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BODI-124/Dossier octobre 2024/"/>
    </mc:Choice>
  </mc:AlternateContent>
  <xr:revisionPtr revIDLastSave="38" documentId="8_{75A48A41-8586-4B0C-ACCB-60970514DA92}" xr6:coauthVersionLast="47" xr6:coauthVersionMax="47" xr10:uidLastSave="{E0D74182-9E1F-48C3-AFD7-8F4B39DEBB9A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9" i="6" l="1"/>
  <c r="E17" i="6"/>
  <c r="E48" i="6"/>
  <c r="E50" i="6" s="1"/>
  <c r="E82" i="6"/>
  <c r="E81" i="6"/>
  <c r="E80" i="6"/>
  <c r="E51" i="6"/>
  <c r="E49" i="6"/>
  <c r="E19" i="6" l="1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2" i="6" l="1"/>
  <c r="I24" i="6"/>
  <c r="I20" i="6"/>
  <c r="U31" i="6" s="1"/>
  <c r="U30" i="6"/>
  <c r="V10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17" i="2" l="1"/>
  <c r="AN32" i="2"/>
  <c r="AN100" i="2"/>
  <c r="AN147" i="2"/>
  <c r="AN164" i="2"/>
  <c r="AN34" i="2"/>
  <c r="AN198" i="2"/>
  <c r="AN193" i="2"/>
  <c r="AN58" i="2"/>
  <c r="AN128" i="2"/>
  <c r="AN113" i="2"/>
  <c r="AN181" i="2"/>
  <c r="AN47" i="2"/>
  <c r="AN182" i="2"/>
  <c r="AN133" i="2"/>
  <c r="AN135" i="2"/>
  <c r="AN187" i="2"/>
  <c r="AN139" i="2"/>
  <c r="AN11" i="2"/>
  <c r="AN140" i="2"/>
  <c r="AN6" i="2"/>
  <c r="AN107" i="2"/>
  <c r="AN60" i="2"/>
  <c r="AN80" i="2"/>
  <c r="AN82" i="2"/>
  <c r="AN9" i="2"/>
  <c r="AN111" i="2"/>
  <c r="AN26" i="2"/>
  <c r="AN19" i="2"/>
  <c r="AN199" i="2"/>
  <c r="AN158" i="2"/>
  <c r="AN3" i="2"/>
  <c r="C7" i="4" s="1"/>
  <c r="E7" i="4" s="1"/>
  <c r="F7" i="4" s="1"/>
  <c r="G7" i="4" s="1"/>
  <c r="L7" i="4" s="1"/>
  <c r="AN185" i="2"/>
  <c r="AN90" i="2"/>
  <c r="AN136" i="2"/>
  <c r="AN8" i="2"/>
  <c r="AN91" i="2"/>
  <c r="AN157" i="2"/>
  <c r="AN114" i="2"/>
  <c r="AN116" i="2"/>
  <c r="AN124" i="2"/>
  <c r="AN25" i="2"/>
  <c r="AN39" i="2"/>
  <c r="AN200" i="2"/>
  <c r="AN44" i="2"/>
  <c r="AN109" i="2"/>
  <c r="AN71" i="2"/>
  <c r="AN191" i="2"/>
  <c r="AN150" i="2"/>
  <c r="AN104" i="2"/>
  <c r="AN98" i="2"/>
  <c r="AN148" i="2"/>
  <c r="AN5" i="2"/>
  <c r="AN96" i="2"/>
  <c r="AN92" i="2"/>
  <c r="AN30" i="2"/>
  <c r="AN54" i="2"/>
  <c r="AN76" i="2"/>
  <c r="AN89" i="2"/>
  <c r="AN167" i="2"/>
  <c r="AN183" i="2"/>
  <c r="AN23" i="2"/>
  <c r="AN95" i="2"/>
  <c r="AN52" i="2"/>
  <c r="AN16" i="2"/>
  <c r="AN28" i="2"/>
  <c r="AN68" i="2"/>
  <c r="AN132" i="2"/>
  <c r="AN122" i="2"/>
  <c r="AN18" i="2"/>
  <c r="AN21" i="2"/>
  <c r="AN152" i="2"/>
  <c r="AN41" i="2"/>
  <c r="AN78" i="2"/>
  <c r="AN121" i="2"/>
  <c r="AN13" i="2"/>
  <c r="AN74" i="2"/>
  <c r="AN4" i="2"/>
  <c r="AN43" i="2"/>
  <c r="AN36" i="2"/>
  <c r="AN62" i="2"/>
  <c r="AN106" i="2"/>
  <c r="AN118" i="2"/>
  <c r="AN162" i="2"/>
  <c r="AN103" i="2"/>
  <c r="AN177" i="2"/>
  <c r="AN81" i="2"/>
  <c r="AN102" i="2"/>
  <c r="AN56" i="2"/>
  <c r="AN97" i="2"/>
  <c r="AN86" i="2"/>
  <c r="AN85" i="2"/>
  <c r="AN176" i="2"/>
  <c r="AN160" i="2"/>
  <c r="AN194" i="2"/>
  <c r="AN65" i="2"/>
  <c r="AN48" i="2"/>
  <c r="AN143" i="2"/>
  <c r="AN179" i="2"/>
  <c r="AN93" i="2"/>
  <c r="AN203" i="2"/>
  <c r="AN75" i="2"/>
  <c r="AN55" i="2"/>
  <c r="AN35" i="2"/>
  <c r="AN134" i="2"/>
  <c r="AN159" i="2"/>
  <c r="AN69" i="2"/>
  <c r="AN142" i="2"/>
  <c r="AN138" i="2"/>
  <c r="AN195" i="2"/>
  <c r="AN83" i="2"/>
  <c r="AN45" i="2"/>
  <c r="AN170" i="2"/>
  <c r="AN127" i="2"/>
  <c r="AN146" i="2"/>
  <c r="AN84" i="2"/>
  <c r="AN59" i="2"/>
  <c r="AN42" i="2"/>
  <c r="AN7" i="2"/>
  <c r="AN46" i="2"/>
  <c r="AN24" i="2"/>
  <c r="AN155" i="2"/>
  <c r="AN202" i="2"/>
  <c r="AN73" i="2"/>
  <c r="AN108" i="2"/>
  <c r="AN137" i="2"/>
  <c r="AN154" i="2"/>
  <c r="AN37" i="2"/>
  <c r="AN123" i="2"/>
  <c r="AN51" i="2"/>
  <c r="AN171" i="2"/>
  <c r="AN153" i="2"/>
  <c r="AN149" i="2"/>
  <c r="AN112" i="2"/>
  <c r="AN77" i="2"/>
  <c r="AN168" i="2"/>
  <c r="AN189" i="2"/>
  <c r="AN63" i="2"/>
  <c r="AN50" i="2"/>
  <c r="AN15" i="2"/>
  <c r="AN94" i="2"/>
  <c r="AN67" i="2"/>
  <c r="AN163" i="2"/>
  <c r="AN197" i="2"/>
  <c r="AN190" i="2"/>
  <c r="AN99" i="2"/>
  <c r="AN141" i="2"/>
  <c r="AN173" i="2"/>
  <c r="AN184" i="2"/>
  <c r="AN79" i="2"/>
  <c r="AN178" i="2"/>
  <c r="AN180" i="2"/>
  <c r="AN166" i="2"/>
  <c r="AN130" i="2"/>
  <c r="AN172" i="2"/>
  <c r="AN22" i="2"/>
  <c r="AN119" i="2"/>
  <c r="AN88" i="2"/>
  <c r="AN129" i="2"/>
  <c r="AN87" i="2"/>
  <c r="AN38" i="2"/>
  <c r="AN70" i="2"/>
  <c r="AN120" i="2"/>
  <c r="AN40" i="2"/>
  <c r="AN29" i="2"/>
  <c r="AN201" i="2"/>
  <c r="AN66" i="2"/>
  <c r="AN161" i="2"/>
  <c r="AN110" i="2"/>
  <c r="AN145" i="2"/>
  <c r="AN101" i="2"/>
  <c r="AN115" i="2"/>
  <c r="AN105" i="2"/>
  <c r="AN20" i="2"/>
  <c r="AN151" i="2"/>
  <c r="AN165" i="2"/>
  <c r="AN53" i="2"/>
  <c r="AN64" i="2"/>
  <c r="AN131" i="2"/>
  <c r="AN192" i="2"/>
  <c r="AN196" i="2"/>
  <c r="AN61" i="2"/>
  <c r="AN156" i="2"/>
  <c r="AN14" i="2"/>
  <c r="AN72" i="2"/>
  <c r="AN27" i="2"/>
  <c r="AN12" i="2"/>
  <c r="AN17" i="2"/>
  <c r="AN186" i="2"/>
  <c r="AN144" i="2"/>
  <c r="AN175" i="2"/>
  <c r="AN169" i="2"/>
  <c r="AN49" i="2"/>
  <c r="AN31" i="2"/>
  <c r="AN33" i="2"/>
  <c r="AN57" i="2"/>
  <c r="AN10" i="2"/>
  <c r="AN174" i="2"/>
  <c r="AN126" i="2"/>
  <c r="AN125" i="2"/>
  <c r="AN18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tc={A9A1EC8B-D8F3-4CD7-8CAA-ED332728D7A9}</author>
    <author>tc={4FE43266-A8F6-45A9-89CA-9CE554014049}</author>
    <author>tc={D145A206-3BBE-4361-ADEE-107B6CC2A75D}</author>
    <author>tc={2F7CE9E0-8872-4A42-B68A-63061D42F3D7}</author>
    <author>tc={83304C4F-5899-4AEE-A4CE-8257BB480538}</author>
    <author>tc={B095258D-3953-4751-8A42-CF73E01D7B31}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A9A1EC8B-D8F3-4CD7-8CAA-ED332728D7A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4FE43266-A8F6-45A9-89CA-9CE55401404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D145A206-3BBE-4361-ADEE-107B6CC2A75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2F7CE9E0-8872-4A42-B68A-63061D42F3D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83304C4F-5899-4AEE-A4CE-8257BB48053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B095258D-3953-4751-8A42-CF73E01D7B3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<sst xmlns="http://schemas.openxmlformats.org/spreadsheetml/2006/main" count="1178" uniqueCount="329">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</sst>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8.7238773521599047</c:v>
                </c:pt>
                <c:pt idx="2">
                  <c:v>17.063280696299408</c:v>
                </c:pt>
                <c:pt idx="3">
                  <c:v>25.278518235236231</c:v>
                </c:pt>
                <c:pt idx="4">
                  <c:v>33.417217082826525</c:v>
                </c:pt>
                <c:pt idx="5">
                  <c:v>41.500963408389929</c:v>
                </c:pt>
                <c:pt idx="6">
                  <c:v>49.54207086415412</c:v>
                </c:pt>
                <c:pt idx="7">
                  <c:v>57.548477585595947</c:v>
                </c:pt>
                <c:pt idx="8">
                  <c:v>65.52571279747248</c:v>
                </c:pt>
                <c:pt idx="9">
                  <c:v>73.477840550317495</c:v>
                </c:pt>
                <c:pt idx="10">
                  <c:v>81.407968790534127</c:v>
                </c:pt>
                <c:pt idx="11">
                  <c:v>89.318547905534516</c:v>
                </c:pt>
                <c:pt idx="12">
                  <c:v>97.211557203899247</c:v>
                </c:pt>
                <c:pt idx="13">
                  <c:v>105.08862729802443</c:v>
                </c:pt>
                <c:pt idx="14">
                  <c:v>112.95112368620271</c:v>
                </c:pt>
                <c:pt idx="15">
                  <c:v>120.80020574188869</c:v>
                </c:pt>
                <c:pt idx="16">
                  <c:v>128.63686950992857</c:v>
                </c:pt>
                <c:pt idx="17">
                  <c:v>136.46197949248327</c:v>
                </c:pt>
                <c:pt idx="18">
                  <c:v>144.2762927401233</c:v>
                </c:pt>
                <c:pt idx="19">
                  <c:v>152.08047743586482</c:v>
                </c:pt>
                <c:pt idx="20">
                  <c:v>159.87512745516435</c:v>
                </c:pt>
                <c:pt idx="21">
                  <c:v>167.66077393116035</c:v>
                </c:pt>
                <c:pt idx="22">
                  <c:v>175.43789455459577</c:v>
                </c:pt>
                <c:pt idx="23">
                  <c:v>183.20692113504819</c:v>
                </c:pt>
                <c:pt idx="24">
                  <c:v>190.96824581005788</c:v>
                </c:pt>
                <c:pt idx="25">
                  <c:v>198.72222619024129</c:v>
                </c:pt>
                <c:pt idx="26">
                  <c:v>206.46918965801322</c:v>
                </c:pt>
                <c:pt idx="27">
                  <c:v>214.20943698636589</c:v>
                </c:pt>
                <c:pt idx="28">
                  <c:v>221.94324540646099</c:v>
                </c:pt>
                <c:pt idx="29">
                  <c:v>229.67087122468024</c:v>
                </c:pt>
                <c:pt idx="30">
                  <c:v>237.3925520685614</c:v>
                </c:pt>
                <c:pt idx="31">
                  <c:v>245.10850882486457</c:v>
                </c:pt>
                <c:pt idx="32">
                  <c:v>252.81894732054016</c:v>
                </c:pt>
                <c:pt idx="33">
                  <c:v>260.52405978767342</c:v>
                </c:pt>
                <c:pt idx="34">
                  <c:v>268.22402614587037</c:v>
                </c:pt>
                <c:pt idx="35">
                  <c:v>275.91901512953666</c:v>
                </c:pt>
                <c:pt idx="36">
                  <c:v>283.60918528270133</c:v>
                </c:pt>
                <c:pt idx="37">
                  <c:v>291.29468584019929</c:v>
                </c:pt>
                <c:pt idx="38">
                  <c:v>298.9756575109102</c:v>
                </c:pt>
                <c:pt idx="39">
                  <c:v>306.65223317623287</c:v>
                </c:pt>
                <c:pt idx="40">
                  <c:v>314.32453851490487</c:v>
                </c:pt>
                <c:pt idx="41">
                  <c:v>321.99269256358195</c:v>
                </c:pt>
                <c:pt idx="42">
                  <c:v>329.6568082211864</c:v>
                </c:pt>
                <c:pt idx="43">
                  <c:v>337.31699270386952</c:v>
                </c:pt>
                <c:pt idx="44">
                  <c:v>344.97334795645929</c:v>
                </c:pt>
                <c:pt idx="45">
                  <c:v>352.62597102544919</c:v>
                </c:pt>
                <c:pt idx="46">
                  <c:v>360.27495439789868</c:v>
                </c:pt>
                <c:pt idx="47">
                  <c:v>367.92038631003089</c:v>
                </c:pt>
                <c:pt idx="48">
                  <c:v>375.56235102882761</c:v>
                </c:pt>
                <c:pt idx="49">
                  <c:v>383.20092910949398</c:v>
                </c:pt>
                <c:pt idx="50">
                  <c:v>390.83619763131333</c:v>
                </c:pt>
                <c:pt idx="51">
                  <c:v>398.46823041410011</c:v>
                </c:pt>
                <c:pt idx="52">
                  <c:v>239.85910246404572</c:v>
                </c:pt>
                <c:pt idx="53">
                  <c:v>252.83074558705485</c:v>
                </c:pt>
                <c:pt idx="54">
                  <c:v>265.78731726655224</c:v>
                </c:pt>
                <c:pt idx="55">
                  <c:v>278.72965595209877</c:v>
                </c:pt>
                <c:pt idx="56">
                  <c:v>291.65851583527427</c:v>
                </c:pt>
                <c:pt idx="57">
                  <c:v>304.57457875644008</c:v>
                </c:pt>
                <c:pt idx="58">
                  <c:v>317.47846398478754</c:v>
                </c:pt>
                <c:pt idx="59">
                  <c:v>330.37073632430099</c:v>
                </c:pt>
                <c:pt idx="60">
                  <c:v>343.25191288767377</c:v>
                </c:pt>
                <c:pt idx="61">
                  <c:v>356.12246879986401</c:v>
                </c:pt>
                <c:pt idx="62">
                  <c:v>267.65291509049001</c:v>
                </c:pt>
                <c:pt idx="63">
                  <c:v>279.57365298312453</c:v>
                </c:pt>
                <c:pt idx="64">
                  <c:v>291.48299371257053</c:v>
                </c:pt>
                <c:pt idx="65">
                  <c:v>303.3814687484749</c:v>
                </c:pt>
                <c:pt idx="66">
                  <c:v>315.26956445016066</c:v>
                </c:pt>
                <c:pt idx="67">
                  <c:v>327.14772748854381</c:v>
                </c:pt>
                <c:pt idx="68">
                  <c:v>339.01636943905493</c:v>
                </c:pt>
                <c:pt idx="69">
                  <c:v>350.87587069749287</c:v>
                </c:pt>
                <c:pt idx="70">
                  <c:v>362.72658383860352</c:v>
                </c:pt>
                <c:pt idx="71">
                  <c:v>374.56883651267782</c:v>
                </c:pt>
                <c:pt idx="72">
                  <c:v>386.40293395661462</c:v>
                </c:pt>
                <c:pt idx="73">
                  <c:v>398.2291611812359</c:v>
                </c:pt>
                <c:pt idx="74">
                  <c:v>307.22146276591042</c:v>
                </c:pt>
                <c:pt idx="75">
                  <c:v>318.22291876813949</c:v>
                </c:pt>
                <c:pt idx="76">
                  <c:v>329.21595499534607</c:v>
                </c:pt>
                <c:pt idx="77">
                  <c:v>340.20089234590097</c:v>
                </c:pt>
                <c:pt idx="78">
                  <c:v>351.17802929444014</c:v>
                </c:pt>
                <c:pt idx="79">
                  <c:v>362.14764412577466</c:v>
                </c:pt>
                <c:pt idx="80">
                  <c:v>373.1099968839053</c:v>
                </c:pt>
                <c:pt idx="81">
                  <c:v>384.06533107994869</c:v>
                </c:pt>
                <c:pt idx="82">
                  <c:v>395.01387519496728</c:v>
                </c:pt>
                <c:pt idx="83">
                  <c:v>405.95584400744838</c:v>
                </c:pt>
                <c:pt idx="84">
                  <c:v>416.89143977016801</c:v>
                </c:pt>
                <c:pt idx="85">
                  <c:v>427.82085325710864</c:v>
                </c:pt>
                <c:pt idx="86">
                  <c:v>343.45578156792436</c:v>
                </c:pt>
                <c:pt idx="87">
                  <c:v>353.50604121858987</c:v>
                </c:pt>
                <c:pt idx="88">
                  <c:v>363.55004087719925</c:v>
                </c:pt>
                <c:pt idx="89">
                  <c:v>373.58797795476374</c:v>
                </c:pt>
                <c:pt idx="90">
                  <c:v>383.62003838338245</c:v>
                </c:pt>
                <c:pt idx="91">
                  <c:v>393.64639757291462</c:v>
                </c:pt>
                <c:pt idx="92">
                  <c:v>403.66722126506875</c:v>
                </c:pt>
                <c:pt idx="93">
                  <c:v>413.68266629823557</c:v>
                </c:pt>
                <c:pt idx="94">
                  <c:v>423.69288129437263</c:v>
                </c:pt>
                <c:pt idx="95">
                  <c:v>433.69800727757553</c:v>
                </c:pt>
                <c:pt idx="96">
                  <c:v>443.69817823258433</c:v>
                </c:pt>
                <c:pt idx="97">
                  <c:v>453.69352161030451</c:v>
                </c:pt>
                <c:pt idx="98">
                  <c:v>373.51565819693059</c:v>
                </c:pt>
                <c:pt idx="99">
                  <c:v>382.53832906741195</c:v>
                </c:pt>
                <c:pt idx="100">
                  <c:v>391.5563737739929</c:v>
                </c:pt>
                <c:pt idx="101">
                  <c:v>400.56991394266532</c:v>
                </c:pt>
                <c:pt idx="102">
                  <c:v>409.57906527648794</c:v>
                </c:pt>
                <c:pt idx="103">
                  <c:v>418.58393797078651</c:v>
                </c:pt>
                <c:pt idx="104">
                  <c:v>427.58463709075022</c:v>
                </c:pt>
                <c:pt idx="105">
                  <c:v>436.58126291557113</c:v>
                </c:pt>
                <c:pt idx="106">
                  <c:v>445.57391125272744</c:v>
                </c:pt>
                <c:pt idx="107">
                  <c:v>454.56267372556914</c:v>
                </c:pt>
                <c:pt idx="108">
                  <c:v>463.54763803696488</c:v>
                </c:pt>
                <c:pt idx="109">
                  <c:v>472.52888821143966</c:v>
                </c:pt>
                <c:pt idx="110">
                  <c:v>389.99513338800875</c:v>
                </c:pt>
                <c:pt idx="111">
                  <c:v>398.06147882289639</c:v>
                </c:pt>
                <c:pt idx="112">
                  <c:v>406.12428489378766</c:v>
                </c:pt>
                <c:pt idx="113">
                  <c:v>414.18363182026269</c:v>
                </c:pt>
                <c:pt idx="114">
                  <c:v>422.23959644349662</c:v>
                </c:pt>
                <c:pt idx="115">
                  <c:v>430.29225243168997</c:v>
                </c:pt>
                <c:pt idx="116">
                  <c:v>438.34167046931583</c:v>
                </c:pt>
                <c:pt idx="117">
                  <c:v>446.38791843173607</c:v>
                </c:pt>
                <c:pt idx="118">
                  <c:v>454.43106154656789</c:v>
                </c:pt>
                <c:pt idx="119">
                  <c:v>462.47116254302722</c:v>
                </c:pt>
                <c:pt idx="120">
                  <c:v>470.50828179034215</c:v>
                </c:pt>
                <c:pt idx="121">
                  <c:v>478.54247742621516</c:v>
                </c:pt>
                <c:pt idx="122">
                  <c:v>251.00231881385491</c:v>
                </c:pt>
                <c:pt idx="123">
                  <c:v>256.67781822926639</c:v>
                </c:pt>
                <c:pt idx="124">
                  <c:v>262.35047928007265</c:v>
                </c:pt>
                <c:pt idx="125">
                  <c:v>268.0203720944408</c:v>
                </c:pt>
                <c:pt idx="126">
                  <c:v>273.68756358672954</c:v>
                </c:pt>
                <c:pt idx="127">
                  <c:v>279.35211766977835</c:v>
                </c:pt>
                <c:pt idx="128">
                  <c:v>285.0140954490592</c:v>
                </c:pt>
                <c:pt idx="129">
                  <c:v>290.6735554005748</c:v>
                </c:pt>
                <c:pt idx="130">
                  <c:v>296.33055353416273</c:v>
                </c:pt>
                <c:pt idx="131">
                  <c:v>301.9851435436637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A9A1EC8B-D8F3-4CD7-8CAA-ED332728D7A9}">
    <text>A recopier sur toutes les essences.
Correspond aux frais fixes d’entretien mécanique + répulsif gibier</text>
  </threadedComment>
  <threadedComment ref="E50" dT="2024-11-27T17:08:05.48" personId="{44BC7BF0-8157-4572-8E12-7E0C99523682}" id="{4FE43266-A8F6-45A9-89CA-9CE554014049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D145A206-3BBE-4361-ADEE-107B6CC2A75D}">
    <text>A recopier sur toutes les essences.
Correspond aux frais fixes d’entretien mécanique + répulsif gibier</text>
  </threadedComment>
  <threadedComment ref="E80" dT="2024-11-27T17:07:34.75" personId="{44BC7BF0-8157-4572-8E12-7E0C99523682}" id="{2F7CE9E0-8872-4A42-B68A-63061D42F3D7}">
    <text>A recopier sur toutes les essences.
Correspond aux frais fixes d’entretien mécanique + répulsif gibier</text>
  </threadedComment>
  <threadedComment ref="E81" dT="2024-11-27T17:08:05.48" personId="{44BC7BF0-8157-4572-8E12-7E0C99523682}" id="{83304C4F-5899-4AEE-A4CE-8257BB480538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B095258D-3953-4751-8A42-CF73E01D7B31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70" zoomScaleNormal="70" workbookViewId="0">
      <selection activeCell="E20" sqref="E2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1.32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0.14499999999999999</v>
      </c>
      <c r="D9" s="33">
        <f t="shared" ref="D9:D18" si="0">C9*$C$5</f>
        <v>0.19139999999999999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3.5999999999999997E-2</v>
      </c>
      <c r="D10" s="33">
        <f t="shared" si="0"/>
        <v>4.752E-2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0.81799999999999995</v>
      </c>
      <c r="D11" s="33">
        <f t="shared" si="0"/>
        <v>1.0797600000000001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0.99899999999999989</v>
      </c>
      <c r="D19" s="38">
        <f>SUM(D9:D18)</f>
        <v>1.3186800000000001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51</v>
      </c>
      <c r="B36" s="258">
        <v>390.67</v>
      </c>
      <c r="C36" s="258">
        <v>1</v>
      </c>
      <c r="D36" s="259">
        <v>171.3</v>
      </c>
      <c r="E36" s="260">
        <v>0.7</v>
      </c>
      <c r="F36" s="260">
        <v>0.3</v>
      </c>
      <c r="G36" s="260">
        <v>0</v>
      </c>
      <c r="H36" s="260">
        <v>0</v>
      </c>
      <c r="I36" s="49">
        <f>IFERROR(B36/A36,"")</f>
        <v>7.6601960784313725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61</v>
      </c>
      <c r="B37" s="262">
        <v>348.21</v>
      </c>
      <c r="C37" s="262">
        <v>2</v>
      </c>
      <c r="D37" s="262">
        <v>100.2</v>
      </c>
      <c r="E37" s="263">
        <v>0.7</v>
      </c>
      <c r="F37" s="263">
        <v>0.3</v>
      </c>
      <c r="G37" s="263">
        <v>0</v>
      </c>
      <c r="H37" s="263">
        <v>0</v>
      </c>
      <c r="I37" s="53">
        <f t="shared" ref="I37:I55" si="1">IF(A37&lt;&gt;0,(B37-(B36-D36))/(A37-A36),"")</f>
        <v>12.883999999999997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73</v>
      </c>
      <c r="B38" s="262">
        <v>390.43</v>
      </c>
      <c r="C38" s="262">
        <v>3</v>
      </c>
      <c r="D38" s="262">
        <v>102.1</v>
      </c>
      <c r="E38" s="263">
        <v>0.7</v>
      </c>
      <c r="F38" s="263">
        <v>0.3</v>
      </c>
      <c r="G38" s="263">
        <v>0</v>
      </c>
      <c r="H38" s="263">
        <v>0</v>
      </c>
      <c r="I38" s="53">
        <f t="shared" si="1"/>
        <v>11.868333333333334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85</v>
      </c>
      <c r="B39" s="262">
        <v>420.16</v>
      </c>
      <c r="C39" s="262">
        <v>4</v>
      </c>
      <c r="D39" s="262">
        <v>94.69</v>
      </c>
      <c r="E39" s="263">
        <v>0.7</v>
      </c>
      <c r="F39" s="263">
        <v>0.3</v>
      </c>
      <c r="G39" s="263">
        <v>0</v>
      </c>
      <c r="H39" s="263">
        <v>0</v>
      </c>
      <c r="I39" s="49">
        <f t="shared" si="1"/>
        <v>10.985833333333332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97</v>
      </c>
      <c r="B40" s="262">
        <v>446.19</v>
      </c>
      <c r="C40" s="262">
        <v>5</v>
      </c>
      <c r="D40" s="262">
        <v>89.6</v>
      </c>
      <c r="E40" s="263">
        <v>0.7</v>
      </c>
      <c r="F40" s="263">
        <v>0.3</v>
      </c>
      <c r="G40" s="263">
        <v>0</v>
      </c>
      <c r="H40" s="263">
        <v>0</v>
      </c>
      <c r="I40" s="49">
        <f t="shared" si="1"/>
        <v>10.059999999999997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109</v>
      </c>
      <c r="B41" s="262">
        <v>465.16</v>
      </c>
      <c r="C41" s="262">
        <v>6</v>
      </c>
      <c r="D41" s="262">
        <v>91.09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9.0474999999999994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121</v>
      </c>
      <c r="B42" s="262">
        <v>471.22</v>
      </c>
      <c r="C42" s="262">
        <v>7</v>
      </c>
      <c r="D42" s="262">
        <v>233.54</v>
      </c>
      <c r="E42" s="263">
        <v>0.7</v>
      </c>
      <c r="F42" s="263">
        <v>0.3</v>
      </c>
      <c r="G42" s="263">
        <v>0</v>
      </c>
      <c r="H42" s="263">
        <v>0</v>
      </c>
      <c r="I42" s="53">
        <f t="shared" si="1"/>
        <v>8.0958333333333314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131</v>
      </c>
      <c r="B43" s="262">
        <v>294.08999999999997</v>
      </c>
      <c r="C43" s="262">
        <v>8</v>
      </c>
      <c r="D43" s="262">
        <v>294.08999999999997</v>
      </c>
      <c r="E43" s="263">
        <v>0.7</v>
      </c>
      <c r="F43" s="263">
        <v>0.3</v>
      </c>
      <c r="G43" s="263">
        <v>0</v>
      </c>
      <c r="H43" s="263">
        <v>0</v>
      </c>
      <c r="I43" s="49">
        <f t="shared" si="1"/>
        <v>5.6409999999999938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17</v>
      </c>
      <c r="B88" s="60">
        <v>122.32</v>
      </c>
      <c r="C88" s="60">
        <v>1</v>
      </c>
      <c r="D88" s="60">
        <v>40.76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7.1952941176470588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23</v>
      </c>
      <c r="B89" s="60">
        <v>187.68</v>
      </c>
      <c r="C89" s="60">
        <v>2</v>
      </c>
      <c r="D89" s="60">
        <v>57.75</v>
      </c>
      <c r="E89" s="51">
        <v>0.1</v>
      </c>
      <c r="F89" s="51">
        <v>0.8</v>
      </c>
      <c r="G89" s="51">
        <v>0</v>
      </c>
      <c r="H89" s="87">
        <v>0.1</v>
      </c>
      <c r="I89" s="53">
        <f t="shared" ref="I89:I107" si="3">IF(A89&lt;&gt;0,(B89-(B88-D88))/(A89-A88),"")</f>
        <v>17.686666666666667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29</v>
      </c>
      <c r="B90" s="60">
        <v>241.61</v>
      </c>
      <c r="C90" s="60">
        <v>3</v>
      </c>
      <c r="D90" s="60">
        <v>54.64</v>
      </c>
      <c r="E90" s="87">
        <v>0.1</v>
      </c>
      <c r="F90" s="87">
        <v>0.8</v>
      </c>
      <c r="G90" s="87">
        <v>0</v>
      </c>
      <c r="H90" s="87">
        <v>0.1</v>
      </c>
      <c r="I90" s="53">
        <f t="shared" si="3"/>
        <v>18.613333333333333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36</v>
      </c>
      <c r="B91" s="60">
        <v>311.13</v>
      </c>
      <c r="C91" s="60">
        <v>4</v>
      </c>
      <c r="D91" s="60">
        <v>76.069999999999993</v>
      </c>
      <c r="E91" s="87">
        <v>0.3</v>
      </c>
      <c r="F91" s="87">
        <v>0.5</v>
      </c>
      <c r="G91" s="87">
        <v>0</v>
      </c>
      <c r="H91" s="87">
        <v>0.2</v>
      </c>
      <c r="I91" s="53">
        <f t="shared" si="3"/>
        <v>17.737142857142853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44</v>
      </c>
      <c r="B92" s="60">
        <v>367.35</v>
      </c>
      <c r="C92" s="60">
        <v>5</v>
      </c>
      <c r="D92" s="60">
        <v>77.91</v>
      </c>
      <c r="E92" s="87">
        <v>0.3</v>
      </c>
      <c r="F92" s="87">
        <v>0.5</v>
      </c>
      <c r="G92" s="87">
        <v>0</v>
      </c>
      <c r="H92" s="87">
        <v>0.2</v>
      </c>
      <c r="I92" s="53">
        <f t="shared" si="3"/>
        <v>16.536250000000003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52</v>
      </c>
      <c r="B93" s="60">
        <v>406.59</v>
      </c>
      <c r="C93" s="60">
        <v>6</v>
      </c>
      <c r="D93" s="60">
        <v>75.37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14.64374999999999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60</v>
      </c>
      <c r="B94" s="60">
        <v>436.34</v>
      </c>
      <c r="C94" s="60">
        <v>7</v>
      </c>
      <c r="D94" s="60">
        <v>436.34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13.14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Cèdre de l'Atlas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sessile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Pin maritime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333.20260838961286</v>
      </c>
      <c r="T3" s="59">
        <f>IF('Données projet'!E9&gt;30,$R$33-$H$33,LOOKUP('Données projet'!$E$9,$A$3:$A$203,R3:R203)-LOOKUP('Données projet'!$E$9,$A$3:$A$203,$H$3:$H$203))</f>
        <v>274.05921873522806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581.88778927327667</v>
      </c>
      <c r="AO3" s="59">
        <f>IF('Données projet'!E10&gt;30,$AM$33-$H$33,LOOKUP('Données projet'!$E$10,$A$3:$A$203,AM3:AM203)-LOOKUP('Données projet'!$E$10,$A$3:$A$203,$H$3:$H$203))</f>
        <v>269.67340993773422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300.80663531652721</v>
      </c>
      <c r="BJ3" s="59">
        <f>IF('Données projet'!E11&gt;30,$BH$33-$H$33,LOOKUP('Données projet'!$E$11,$A$3:$A$203,BH3:BH203)-LOOKUP('Données projet'!$E$11,$A$3:$A$203,$H$3:$H$203))</f>
        <v>306.01967513533549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7.6601960784313725</v>
      </c>
      <c r="N4" s="13">
        <f>IF('Données projet'!$A$36&gt;35,N3+M4-V3,IF(A4&lt;'Données projet'!$A$36,$K$205^A4,IF(A4='Données projet'!$A$36,'Données projet'!$B$36,N3+M4-V3)))</f>
        <v>7.6601960784313725</v>
      </c>
      <c r="O4" s="13">
        <f>N4*VLOOKUP('Données projet'!$B$9,Paramètres!$A$1:$I$89,3,0)*VLOOKUP('Données projet'!$B$9,Paramètres!$A$1:$I$89,5,0)</f>
        <v>3.5849717647058821</v>
      </c>
      <c r="P4" s="13">
        <f>EXP(-1.0587+0.8836*LN(O4)+0.284)</f>
        <v>1.4239530307926282</v>
      </c>
      <c r="Q4" s="20">
        <f t="shared" ref="Q4:Q34" si="2">(O4+P4)*0.475*44/12</f>
        <v>8.7238773521599047</v>
      </c>
      <c r="R4" s="59">
        <f t="shared" si="0"/>
        <v>266.61276624104875</v>
      </c>
      <c r="S4" s="59">
        <f ca="1">AVERAGE(OFFSET($R$3,0,0,'Données projet'!$E$9+1,1))-AVERAGE(OFFSET($H$3,0,0,'Données projet'!$E$9+1,1))</f>
        <v>333.20260838961286</v>
      </c>
      <c r="T4" s="59">
        <f>$T$3</f>
        <v>274.05921873522806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266.45299152627967</v>
      </c>
      <c r="AN4" s="59">
        <f ca="1">AVERAGE(OFFSET($AM$3,0,0,'Données projet'!$E$10+1,1))-AVERAGE(OFFSET($H$3,0,0,'Données projet'!$E$10+1,1))</f>
        <v>581.88778927327667</v>
      </c>
      <c r="AO4" s="59">
        <f>$AO$3</f>
        <v>269.67340993773422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7.1952941176470588</v>
      </c>
      <c r="BD4" s="12">
        <f>IF('Données projet'!$A$88&gt;35,BD3+BC4-BL3,IF(A4&lt;'Données projet'!$A$88,$BA$205^A4,IF(A4='Données projet'!$A$88,'Données projet'!$B$88,BD3+BC4-BL3)))</f>
        <v>1.3267648858502221</v>
      </c>
      <c r="BE4" s="13">
        <f>BD4*VLOOKUP('Données projet'!$B$11,Paramètres!$A$1:$I$89,3,0)*VLOOKUP('Données projet'!$B$11,Paramètres!$A$1:$I$89,5,0)</f>
        <v>0.79340540173843288</v>
      </c>
      <c r="BF4" s="13">
        <f>EXP(-1.0587+0.8836*LN(BE4)+0.284)</f>
        <v>0.37561764201183739</v>
      </c>
      <c r="BG4" s="20">
        <f t="shared" ref="BG4:BG67" si="7">(BE4+BF4)*0.475*44/12</f>
        <v>2.0360484678650539</v>
      </c>
      <c r="BH4" s="59">
        <f t="shared" ref="BH4:BH67" si="8">BG4+(AY4+AZ4)*44/12</f>
        <v>259.9249373567539</v>
      </c>
      <c r="BI4" s="59">
        <f ca="1">AVERAGE(OFFSET($BH$3,0,0,'Données projet'!$E$11+1,1))-AVERAGE(OFFSET($H$3,0,0,'Données projet'!$E$11+1,1))</f>
        <v>300.80663531652721</v>
      </c>
      <c r="BJ4" s="59">
        <f>$BJ$3</f>
        <v>306.01967513533549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7.6601960784313725</v>
      </c>
      <c r="N5" s="13">
        <f>IF('Données projet'!$A$36&gt;35,N4+M5-V4,IF(A5&lt;'Données projet'!$A$36,$K$205^A5,IF(A5='Données projet'!$A$36,'Données projet'!$B$36,N4+M5-V4)))</f>
        <v>15.320392156862745</v>
      </c>
      <c r="O5" s="13">
        <f>N5*VLOOKUP('Données projet'!$B$9,Paramètres!$A$1:$I$89,3,0)*VLOOKUP('Données projet'!$B$9,Paramètres!$A$1:$I$89,5,0)</f>
        <v>7.1699435294117642</v>
      </c>
      <c r="P5" s="13">
        <f t="shared" ref="P5:P68" si="33">EXP(-1.0587+0.8836*LN(O5)+0.284)</f>
        <v>2.6271554349706712</v>
      </c>
      <c r="Q5" s="20">
        <f t="shared" si="2"/>
        <v>17.063280696299408</v>
      </c>
      <c r="R5" s="59">
        <f t="shared" si="0"/>
        <v>276.17439180741053</v>
      </c>
      <c r="S5" s="59">
        <f ca="1">AVERAGE(OFFSET($R$3,0,0,'Données projet'!$E$9+1,1))-AVERAGE(OFFSET($H$3,0,0,'Données projet'!$E$9+1,1))</f>
        <v>333.20260838961286</v>
      </c>
      <c r="T5" s="59">
        <f t="shared" ref="T5:T68" si="34">$T$3</f>
        <v>274.05921873522806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275.86128246803639</v>
      </c>
      <c r="AN5" s="59">
        <f ca="1">AVERAGE(OFFSET($AM$3,0,0,'Données projet'!$E$10+1,1))-AVERAGE(OFFSET($H$3,0,0,'Données projet'!$E$10+1,1))</f>
        <v>581.88778927327667</v>
      </c>
      <c r="AO5" s="59">
        <f t="shared" ref="AO5:AO68" si="36">$AO$3</f>
        <v>269.67340993773422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7.1952941176470588</v>
      </c>
      <c r="BD5" s="12">
        <f>IF('Données projet'!$A$88&gt;35,BD4+BC5-BL4,IF(A5&lt;'Données projet'!$A$88,$BA$205^A5,IF(A5='Données projet'!$A$88,'Données projet'!$B$88,BD4+BC5-BL4)))</f>
        <v>1.7603050623251528</v>
      </c>
      <c r="BE5" s="13">
        <f>BD5*VLOOKUP('Données projet'!$B$11,Paramètres!$A$1:$I$89,3,0)*VLOOKUP('Données projet'!$B$11,Paramètres!$A$1:$I$89,5,0)</f>
        <v>1.0526624272704415</v>
      </c>
      <c r="BF5" s="13">
        <f t="shared" ref="BF5:BF68" si="37">EXP(-1.0587+0.8836*LN(BE5)+0.284)</f>
        <v>0.48222168139326793</v>
      </c>
      <c r="BG5" s="20">
        <f t="shared" si="7"/>
        <v>2.6732564892559605</v>
      </c>
      <c r="BH5" s="59">
        <f t="shared" si="8"/>
        <v>261.78436760036709</v>
      </c>
      <c r="BI5" s="59">
        <f ca="1">AVERAGE(OFFSET($BH$3,0,0,'Données projet'!$E$11+1,1))-AVERAGE(OFFSET($H$3,0,0,'Données projet'!$E$11+1,1))</f>
        <v>300.80663531652721</v>
      </c>
      <c r="BJ5" s="59">
        <f t="shared" ref="BJ5:BJ68" si="38">$BJ$3</f>
        <v>306.01967513533549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7.6601960784313725</v>
      </c>
      <c r="N6" s="13">
        <f>IF('Données projet'!$A$36&gt;35,N5+M6-V5,IF(A6&lt;'Données projet'!$A$36,$K$205^A6,IF(A6='Données projet'!$A$36,'Données projet'!$B$36,N5+M6-V5)))</f>
        <v>22.980588235294118</v>
      </c>
      <c r="O6" s="13">
        <f>N6*VLOOKUP('Données projet'!$B$9,Paramètres!$A$1:$I$89,3,0)*VLOOKUP('Données projet'!$B$9,Paramètres!$A$1:$I$89,5,0)</f>
        <v>10.754915294117646</v>
      </c>
      <c r="P6" s="13">
        <f t="shared" si="33"/>
        <v>3.7590664677404781</v>
      </c>
      <c r="Q6" s="20">
        <f t="shared" si="2"/>
        <v>25.278518235236231</v>
      </c>
      <c r="R6" s="59">
        <f t="shared" si="0"/>
        <v>285.61185156856953</v>
      </c>
      <c r="S6" s="59">
        <f ca="1">AVERAGE(OFFSET($R$3,0,0,'Données projet'!$E$9+1,1))-AVERAGE(OFFSET($H$3,0,0,'Données projet'!$E$9+1,1))</f>
        <v>333.20260838961286</v>
      </c>
      <c r="T6" s="59">
        <f t="shared" si="34"/>
        <v>274.05921873522806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285.147487430441</v>
      </c>
      <c r="AN6" s="59">
        <f ca="1">AVERAGE(OFFSET($AM$3,0,0,'Données projet'!$E$10+1,1))-AVERAGE(OFFSET($H$3,0,0,'Données projet'!$E$10+1,1))</f>
        <v>581.88778927327667</v>
      </c>
      <c r="AO6" s="59">
        <f t="shared" si="36"/>
        <v>269.67340993773422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7.1952941176470588</v>
      </c>
      <c r="BD6" s="12">
        <f>IF('Données projet'!$A$88&gt;35,BD5+BC6-BL5,IF(A6&lt;'Données projet'!$A$88,$BA$205^A6,IF(A6='Données projet'!$A$88,'Données projet'!$B$88,BD5+BC6-BL5)))</f>
        <v>2.3355109450773996</v>
      </c>
      <c r="BE6" s="13">
        <f>BD6*VLOOKUP('Données projet'!$B$11,Paramètres!$A$1:$I$89,3,0)*VLOOKUP('Données projet'!$B$11,Paramètres!$A$1:$I$89,5,0)</f>
        <v>1.3966355451562853</v>
      </c>
      <c r="BF6" s="13">
        <f t="shared" si="37"/>
        <v>0.61908101217040834</v>
      </c>
      <c r="BG6" s="20">
        <f t="shared" si="7"/>
        <v>3.5107063373439913</v>
      </c>
      <c r="BH6" s="59">
        <f t="shared" si="8"/>
        <v>263.84403967067732</v>
      </c>
      <c r="BI6" s="59">
        <f ca="1">AVERAGE(OFFSET($BH$3,0,0,'Données projet'!$E$11+1,1))-AVERAGE(OFFSET($H$3,0,0,'Données projet'!$E$11+1,1))</f>
        <v>300.80663531652721</v>
      </c>
      <c r="BJ6" s="59">
        <f t="shared" si="38"/>
        <v>306.01967513533549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7.6601960784313725</v>
      </c>
      <c r="N7" s="13">
        <f>IF('Données projet'!$A$36&gt;35,N6+M7-V6,IF(A7&lt;'Données projet'!$A$36,$K$205^A7,IF(A7='Données projet'!$A$36,'Données projet'!$B$36,N6+M7-V6)))</f>
        <v>30.64078431372549</v>
      </c>
      <c r="O7" s="13">
        <f>N7*VLOOKUP('Données projet'!$B$9,Paramètres!$A$1:$I$89,3,0)*VLOOKUP('Données projet'!$B$9,Paramètres!$A$1:$I$89,5,0)</f>
        <v>14.339887058823528</v>
      </c>
      <c r="P7" s="13">
        <f t="shared" si="33"/>
        <v>4.8470318404070136</v>
      </c>
      <c r="Q7" s="20">
        <f t="shared" si="2"/>
        <v>33.417217082826525</v>
      </c>
      <c r="R7" s="59">
        <f t="shared" si="0"/>
        <v>294.97277263838208</v>
      </c>
      <c r="S7" s="59">
        <f ca="1">AVERAGE(OFFSET($R$3,0,0,'Données projet'!$E$9+1,1))-AVERAGE(OFFSET($H$3,0,0,'Données projet'!$E$9+1,1))</f>
        <v>333.20260838961286</v>
      </c>
      <c r="T7" s="59">
        <f t="shared" si="34"/>
        <v>274.05921873522806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294.35843575454567</v>
      </c>
      <c r="AN7" s="59">
        <f ca="1">AVERAGE(OFFSET($AM$3,0,0,'Données projet'!$E$10+1,1))-AVERAGE(OFFSET($H$3,0,0,'Données projet'!$E$10+1,1))</f>
        <v>581.88778927327667</v>
      </c>
      <c r="AO7" s="59">
        <f t="shared" si="36"/>
        <v>269.67340993773422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7.1952941176470588</v>
      </c>
      <c r="BD7" s="12">
        <f>IF('Données projet'!$A$88&gt;35,BD6+BC7-BL6,IF(A7&lt;'Données projet'!$A$88,$BA$205^A7,IF(A7='Données projet'!$A$88,'Données projet'!$B$88,BD6+BC7-BL6)))</f>
        <v>3.09867391244756</v>
      </c>
      <c r="BE7" s="13">
        <f>BD7*VLOOKUP('Données projet'!$B$11,Paramètres!$A$1:$I$89,3,0)*VLOOKUP('Données projet'!$B$11,Paramètres!$A$1:$I$89,5,0)</f>
        <v>1.8530069996436409</v>
      </c>
      <c r="BF7" s="13">
        <f t="shared" si="37"/>
        <v>0.79478238830446668</v>
      </c>
      <c r="BG7" s="20">
        <f t="shared" si="7"/>
        <v>4.6115665173429541</v>
      </c>
      <c r="BH7" s="59">
        <f t="shared" si="8"/>
        <v>266.16712207289851</v>
      </c>
      <c r="BI7" s="59">
        <f ca="1">AVERAGE(OFFSET($BH$3,0,0,'Données projet'!$E$11+1,1))-AVERAGE(OFFSET($H$3,0,0,'Données projet'!$E$11+1,1))</f>
        <v>300.80663531652721</v>
      </c>
      <c r="BJ7" s="59">
        <f t="shared" si="38"/>
        <v>306.01967513533549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7.6601960784313725</v>
      </c>
      <c r="N8" s="13">
        <f>IF('Données projet'!$A$36&gt;35,N7+M8-V7,IF(A8&lt;'Données projet'!$A$36,$K$205^A8,IF(A8='Données projet'!$A$36,'Données projet'!$B$36,N7+M8-V7)))</f>
        <v>38.300980392156859</v>
      </c>
      <c r="O8" s="13">
        <f>N8*VLOOKUP('Données projet'!$B$9,Paramètres!$A$1:$I$89,3,0)*VLOOKUP('Données projet'!$B$9,Paramètres!$A$1:$I$89,5,0)</f>
        <v>17.924858823529409</v>
      </c>
      <c r="P8" s="13">
        <f t="shared" si="33"/>
        <v>5.9034455257853864</v>
      </c>
      <c r="Q8" s="20">
        <f t="shared" si="2"/>
        <v>41.500963408389929</v>
      </c>
      <c r="R8" s="59">
        <f t="shared" si="0"/>
        <v>304.27874118616768</v>
      </c>
      <c r="S8" s="59">
        <f ca="1">AVERAGE(OFFSET($R$3,0,0,'Données projet'!$E$9+1,1))-AVERAGE(OFFSET($H$3,0,0,'Données projet'!$E$9+1,1))</f>
        <v>333.20260838961286</v>
      </c>
      <c r="T8" s="59">
        <f t="shared" si="34"/>
        <v>274.05921873522806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303.51535203288245</v>
      </c>
      <c r="AN8" s="59">
        <f ca="1">AVERAGE(OFFSET($AM$3,0,0,'Données projet'!$E$10+1,1))-AVERAGE(OFFSET($H$3,0,0,'Données projet'!$E$10+1,1))</f>
        <v>581.88778927327667</v>
      </c>
      <c r="AO8" s="59">
        <f t="shared" si="36"/>
        <v>269.67340993773422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7.1952941176470588</v>
      </c>
      <c r="BD8" s="12">
        <f>IF('Données projet'!$A$88&gt;35,BD7+BC8-BL7,IF(A8&lt;'Données projet'!$A$88,$BA$205^A8,IF(A8='Données projet'!$A$88,'Données projet'!$B$88,BD7+BC8-BL7)))</f>
        <v>4.1112117397355483</v>
      </c>
      <c r="BE8" s="13">
        <f>BD8*VLOOKUP('Données projet'!$B$11,Paramètres!$A$1:$I$89,3,0)*VLOOKUP('Données projet'!$B$11,Paramètres!$A$1:$I$89,5,0)</f>
        <v>2.4585046203618579</v>
      </c>
      <c r="BF8" s="13">
        <f t="shared" si="37"/>
        <v>1.0203495703161323</v>
      </c>
      <c r="BG8" s="20">
        <f t="shared" si="7"/>
        <v>6.0590043820974993</v>
      </c>
      <c r="BH8" s="59">
        <f t="shared" si="8"/>
        <v>268.83678215987527</v>
      </c>
      <c r="BI8" s="59">
        <f ca="1">AVERAGE(OFFSET($BH$3,0,0,'Données projet'!$E$11+1,1))-AVERAGE(OFFSET($H$3,0,0,'Données projet'!$E$11+1,1))</f>
        <v>300.80663531652721</v>
      </c>
      <c r="BJ8" s="59">
        <f t="shared" si="38"/>
        <v>306.01967513533549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7.6601960784313725</v>
      </c>
      <c r="N9" s="13">
        <f>IF('Données projet'!$A$36&gt;35,N8+M9-V8,IF(A9&lt;'Données projet'!$A$36,$K$205^A9,IF(A9='Données projet'!$A$36,'Données projet'!$B$36,N8+M9-V8)))</f>
        <v>45.961176470588228</v>
      </c>
      <c r="O9" s="13">
        <f>N9*VLOOKUP('Données projet'!$B$9,Paramètres!$A$1:$I$89,3,0)*VLOOKUP('Données projet'!$B$9,Paramètres!$A$1:$I$89,5,0)</f>
        <v>21.509830588235292</v>
      </c>
      <c r="P9" s="13">
        <f t="shared" si="33"/>
        <v>6.9353775634321488</v>
      </c>
      <c r="Q9" s="20">
        <f t="shared" si="2"/>
        <v>49.54207086415412</v>
      </c>
      <c r="R9" s="59">
        <f t="shared" si="0"/>
        <v>313.54207086415414</v>
      </c>
      <c r="S9" s="59">
        <f ca="1">AVERAGE(OFFSET($R$3,0,0,'Données projet'!$E$9+1,1))-AVERAGE(OFFSET($H$3,0,0,'Données projet'!$E$9+1,1))</f>
        <v>333.20260838961286</v>
      </c>
      <c r="T9" s="59">
        <f t="shared" si="34"/>
        <v>274.05921873522806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312.63034365918315</v>
      </c>
      <c r="AN9" s="59">
        <f ca="1">AVERAGE(OFFSET($AM$3,0,0,'Données projet'!$E$10+1,1))-AVERAGE(OFFSET($H$3,0,0,'Données projet'!$E$10+1,1))</f>
        <v>581.88778927327667</v>
      </c>
      <c r="AO9" s="59">
        <f t="shared" si="36"/>
        <v>269.67340993773422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7.1952941176470588</v>
      </c>
      <c r="BD9" s="12">
        <f>IF('Données projet'!$A$88&gt;35,BD8+BC9-BL8,IF(A9&lt;'Données projet'!$A$88,$BA$205^A9,IF(A9='Données projet'!$A$88,'Données projet'!$B$88,BD8+BC9-BL8)))</f>
        <v>5.4546113745763272</v>
      </c>
      <c r="BE9" s="13">
        <f>BD9*VLOOKUP('Données projet'!$B$11,Paramètres!$A$1:$I$89,3,0)*VLOOKUP('Données projet'!$B$11,Paramètres!$A$1:$I$89,5,0)</f>
        <v>3.2618576019966441</v>
      </c>
      <c r="BF9" s="13">
        <f t="shared" si="37"/>
        <v>1.3099349720938758</v>
      </c>
      <c r="BG9" s="20">
        <f t="shared" si="7"/>
        <v>7.962538733207654</v>
      </c>
      <c r="BH9" s="59">
        <f t="shared" si="8"/>
        <v>271.96253873320768</v>
      </c>
      <c r="BI9" s="59">
        <f ca="1">AVERAGE(OFFSET($BH$3,0,0,'Données projet'!$E$11+1,1))-AVERAGE(OFFSET($H$3,0,0,'Données projet'!$E$11+1,1))</f>
        <v>300.80663531652721</v>
      </c>
      <c r="BJ9" s="59">
        <f t="shared" si="38"/>
        <v>306.01967513533549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7.6601960784313725</v>
      </c>
      <c r="N10" s="13">
        <f>IF('Données projet'!$A$36&gt;35,N9+M10-V9,IF(A10&lt;'Données projet'!$A$36,$K$205^A10,IF(A10='Données projet'!$A$36,'Données projet'!$B$36,N9+M10-V9)))</f>
        <v>53.621372549019597</v>
      </c>
      <c r="O10" s="13">
        <f>N10*VLOOKUP('Données projet'!$B$9,Paramètres!$A$1:$I$89,3,0)*VLOOKUP('Données projet'!$B$9,Paramètres!$A$1:$I$89,5,0)</f>
        <v>25.094802352941173</v>
      </c>
      <c r="P10" s="13">
        <f t="shared" si="33"/>
        <v>7.9473857344823413</v>
      </c>
      <c r="Q10" s="20">
        <f t="shared" si="2"/>
        <v>57.548477585595947</v>
      </c>
      <c r="R10" s="59">
        <f t="shared" si="0"/>
        <v>322.77069980781818</v>
      </c>
      <c r="S10" s="59">
        <f ca="1">AVERAGE(OFFSET($R$3,0,0,'Données projet'!$E$9+1,1))-AVERAGE(OFFSET($H$3,0,0,'Données projet'!$E$9+1,1))</f>
        <v>333.20260838961286</v>
      </c>
      <c r="T10" s="59">
        <f t="shared" si="34"/>
        <v>274.05921873522806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321.71121580204749</v>
      </c>
      <c r="AN10" s="59">
        <f ca="1">AVERAGE(OFFSET($AM$3,0,0,'Données projet'!$E$10+1,1))-AVERAGE(OFFSET($H$3,0,0,'Données projet'!$E$10+1,1))</f>
        <v>581.88778927327667</v>
      </c>
      <c r="AO10" s="59">
        <f t="shared" si="36"/>
        <v>269.67340993773422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7.1952941176470588</v>
      </c>
      <c r="BD10" s="12">
        <f>IF('Données projet'!$A$88&gt;35,BD9+BC10-BL9,IF(A10&lt;'Données projet'!$A$88,$BA$205^A10,IF(A10='Données projet'!$A$88,'Données projet'!$B$88,BD9+BC10-BL9)))</f>
        <v>7.2369868377470841</v>
      </c>
      <c r="BE10" s="13">
        <f>BD10*VLOOKUP('Données projet'!$B$11,Paramètres!$A$1:$I$89,3,0)*VLOOKUP('Données projet'!$B$11,Paramètres!$A$1:$I$89,5,0)</f>
        <v>4.3277181289727569</v>
      </c>
      <c r="BF10" s="13">
        <f t="shared" si="37"/>
        <v>1.6817076039762937</v>
      </c>
      <c r="BG10" s="20">
        <f t="shared" si="7"/>
        <v>10.466416484886262</v>
      </c>
      <c r="BH10" s="59">
        <f t="shared" si="8"/>
        <v>275.68863870710851</v>
      </c>
      <c r="BI10" s="59">
        <f ca="1">AVERAGE(OFFSET($BH$3,0,0,'Données projet'!$E$11+1,1))-AVERAGE(OFFSET($H$3,0,0,'Données projet'!$E$11+1,1))</f>
        <v>300.80663531652721</v>
      </c>
      <c r="BJ10" s="59">
        <f t="shared" si="38"/>
        <v>306.01967513533549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7.6601960784313725</v>
      </c>
      <c r="N11" s="13">
        <f>IF('Données projet'!$A$36&gt;35,N10+M11-V10,IF(A11&lt;'Données projet'!$A$36,$K$205^A11,IF(A11='Données projet'!$A$36,'Données projet'!$B$36,N10+M11-V10)))</f>
        <v>61.281568627450966</v>
      </c>
      <c r="O11" s="13">
        <f>N11*VLOOKUP('Données projet'!$B$9,Paramètres!$A$1:$I$89,3,0)*VLOOKUP('Données projet'!$B$9,Paramètres!$A$1:$I$89,5,0)</f>
        <v>28.679774117647053</v>
      </c>
      <c r="P11" s="13">
        <f t="shared" si="33"/>
        <v>8.942644713437625</v>
      </c>
      <c r="Q11" s="20">
        <f t="shared" si="2"/>
        <v>65.52571279747248</v>
      </c>
      <c r="R11" s="59">
        <f t="shared" si="0"/>
        <v>331.97015724191692</v>
      </c>
      <c r="S11" s="59">
        <f ca="1">AVERAGE(OFFSET($R$3,0,0,'Données projet'!$E$9+1,1))-AVERAGE(OFFSET($H$3,0,0,'Données projet'!$E$9+1,1))</f>
        <v>333.20260838961286</v>
      </c>
      <c r="T11" s="59">
        <f t="shared" si="34"/>
        <v>274.05921873522806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330.76340506955302</v>
      </c>
      <c r="AN11" s="59">
        <f ca="1">AVERAGE(OFFSET($AM$3,0,0,'Données projet'!$E$10+1,1))-AVERAGE(OFFSET($H$3,0,0,'Données projet'!$E$10+1,1))</f>
        <v>581.88778927327667</v>
      </c>
      <c r="AO11" s="59">
        <f t="shared" si="36"/>
        <v>269.67340993773422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7.1952941176470588</v>
      </c>
      <c r="BD11" s="12">
        <f>IF('Données projet'!$A$88&gt;35,BD10+BC11-BL10,IF(A11&lt;'Données projet'!$A$88,$BA$205^A11,IF(A11='Données projet'!$A$88,'Données projet'!$B$88,BD10+BC11-BL10)))</f>
        <v>9.6017800156830688</v>
      </c>
      <c r="BE11" s="13">
        <f>BD11*VLOOKUP('Données projet'!$B$11,Paramètres!$A$1:$I$89,3,0)*VLOOKUP('Données projet'!$B$11,Paramètres!$A$1:$I$89,5,0)</f>
        <v>5.7418644493784763</v>
      </c>
      <c r="BF11" s="13">
        <f t="shared" si="37"/>
        <v>2.1589930229521412</v>
      </c>
      <c r="BG11" s="20">
        <f t="shared" si="7"/>
        <v>13.760660097642491</v>
      </c>
      <c r="BH11" s="59">
        <f t="shared" si="8"/>
        <v>280.20510454208693</v>
      </c>
      <c r="BI11" s="59">
        <f ca="1">AVERAGE(OFFSET($BH$3,0,0,'Données projet'!$E$11+1,1))-AVERAGE(OFFSET($H$3,0,0,'Données projet'!$E$11+1,1))</f>
        <v>300.80663531652721</v>
      </c>
      <c r="BJ11" s="59">
        <f t="shared" si="38"/>
        <v>306.01967513533549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7.6601960784313725</v>
      </c>
      <c r="N12" s="13">
        <f>IF('Données projet'!$A$36&gt;35,N11+M12-V11,IF(A12&lt;'Données projet'!$A$36,$K$205^A12,IF(A12='Données projet'!$A$36,'Données projet'!$B$36,N11+M12-V11)))</f>
        <v>68.941764705882335</v>
      </c>
      <c r="O12" s="13">
        <f>N12*VLOOKUP('Données projet'!$B$9,Paramètres!$A$1:$I$89,3,0)*VLOOKUP('Données projet'!$B$9,Paramètres!$A$1:$I$89,5,0)</f>
        <v>32.264745882352933</v>
      </c>
      <c r="P12" s="13">
        <f t="shared" si="33"/>
        <v>9.9234879264418083</v>
      </c>
      <c r="Q12" s="20">
        <f t="shared" si="2"/>
        <v>73.477840550317495</v>
      </c>
      <c r="R12" s="59">
        <f t="shared" si="0"/>
        <v>341.14450721698415</v>
      </c>
      <c r="S12" s="59">
        <f ca="1">AVERAGE(OFFSET($R$3,0,0,'Données projet'!$E$9+1,1))-AVERAGE(OFFSET($H$3,0,0,'Données projet'!$E$9+1,1))</f>
        <v>333.20260838961286</v>
      </c>
      <c r="T12" s="59">
        <f t="shared" si="34"/>
        <v>274.05921873522806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339.79090743779591</v>
      </c>
      <c r="AN12" s="59">
        <f ca="1">AVERAGE(OFFSET($AM$3,0,0,'Données projet'!$E$10+1,1))-AVERAGE(OFFSET($H$3,0,0,'Données projet'!$E$10+1,1))</f>
        <v>581.88778927327667</v>
      </c>
      <c r="AO12" s="59">
        <f t="shared" si="36"/>
        <v>269.67340993773422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7.1952941176470588</v>
      </c>
      <c r="BD12" s="12">
        <f>IF('Données projet'!$A$88&gt;35,BD11+BC12-BL11,IF(A12&lt;'Données projet'!$A$88,$BA$205^A12,IF(A12='Données projet'!$A$88,'Données projet'!$B$88,BD11+BC12-BL11)))</f>
        <v>12.739304566466691</v>
      </c>
      <c r="BE12" s="13">
        <f>BD12*VLOOKUP('Données projet'!$B$11,Paramètres!$A$1:$I$89,3,0)*VLOOKUP('Données projet'!$B$11,Paramètres!$A$1:$I$89,5,0)</f>
        <v>7.6181041307470823</v>
      </c>
      <c r="BF12" s="13">
        <f t="shared" si="37"/>
        <v>2.7717368121157255</v>
      </c>
      <c r="BG12" s="20">
        <f t="shared" si="7"/>
        <v>18.095639642152722</v>
      </c>
      <c r="BH12" s="59">
        <f t="shared" si="8"/>
        <v>285.7623063088194</v>
      </c>
      <c r="BI12" s="59">
        <f ca="1">AVERAGE(OFFSET($BH$3,0,0,'Données projet'!$E$11+1,1))-AVERAGE(OFFSET($H$3,0,0,'Données projet'!$E$11+1,1))</f>
        <v>300.80663531652721</v>
      </c>
      <c r="BJ12" s="59">
        <f t="shared" si="38"/>
        <v>306.01967513533549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7.6601960784313725</v>
      </c>
      <c r="N13" s="13">
        <f>IF('Données projet'!$A$36&gt;35,N12+M13-V12,IF(A13&lt;'Données projet'!$A$36,$K$205^A13,IF(A13='Données projet'!$A$36,'Données projet'!$B$36,N12+M13-V12)))</f>
        <v>76.601960784313704</v>
      </c>
      <c r="O13" s="13">
        <f>N13*VLOOKUP('Données projet'!$B$9,Paramètres!$A$1:$I$89,3,0)*VLOOKUP('Données projet'!$B$9,Paramètres!$A$1:$I$89,5,0)</f>
        <v>35.84971764705881</v>
      </c>
      <c r="P13" s="13">
        <f t="shared" si="33"/>
        <v>10.891699840329213</v>
      </c>
      <c r="Q13" s="20">
        <f t="shared" si="2"/>
        <v>81.407968790534127</v>
      </c>
      <c r="R13" s="59">
        <f t="shared" si="0"/>
        <v>350.296857679423</v>
      </c>
      <c r="S13" s="59">
        <f ca="1">AVERAGE(OFFSET($R$3,0,0,'Données projet'!$E$9+1,1))-AVERAGE(OFFSET($H$3,0,0,'Données projet'!$E$9+1,1))</f>
        <v>333.20260838961286</v>
      </c>
      <c r="T13" s="59">
        <f t="shared" si="34"/>
        <v>274.05921873522806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348.79677879386014</v>
      </c>
      <c r="AN13" s="59">
        <f ca="1">AVERAGE(OFFSET($AM$3,0,0,'Données projet'!$E$10+1,1))-AVERAGE(OFFSET($H$3,0,0,'Données projet'!$E$10+1,1))</f>
        <v>581.88778927327667</v>
      </c>
      <c r="AO13" s="59">
        <f t="shared" si="36"/>
        <v>269.67340993773422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7.1952941176470588</v>
      </c>
      <c r="BD13" s="12">
        <f>IF('Données projet'!$A$88&gt;35,BD12+BC13-BL12,IF(A13&lt;'Données projet'!$A$88,$BA$205^A13,IF(A13='Données projet'!$A$88,'Données projet'!$B$88,BD12+BC13-BL12)))</f>
        <v>16.902061968939393</v>
      </c>
      <c r="BE13" s="13">
        <f>BD13*VLOOKUP('Données projet'!$B$11,Paramètres!$A$1:$I$89,3,0)*VLOOKUP('Données projet'!$B$11,Paramètres!$A$1:$I$89,5,0)</f>
        <v>10.107433057425759</v>
      </c>
      <c r="BF13" s="13">
        <f t="shared" si="37"/>
        <v>3.5583834102125023</v>
      </c>
      <c r="BG13" s="20">
        <f t="shared" si="7"/>
        <v>23.80129701446997</v>
      </c>
      <c r="BH13" s="59">
        <f t="shared" si="8"/>
        <v>292.69018590335884</v>
      </c>
      <c r="BI13" s="59">
        <f ca="1">AVERAGE(OFFSET($BH$3,0,0,'Données projet'!$E$11+1,1))-AVERAGE(OFFSET($H$3,0,0,'Données projet'!$E$11+1,1))</f>
        <v>300.80663531652721</v>
      </c>
      <c r="BJ13" s="59">
        <f t="shared" si="38"/>
        <v>306.01967513533549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7.6601960784313725</v>
      </c>
      <c r="N14" s="13">
        <f>IF('Données projet'!$A$36&gt;35,N13+M14-V13,IF(A14&lt;'Données projet'!$A$36,$K$205^A14,IF(A14='Données projet'!$A$36,'Données projet'!$B$36,N13+M14-V13)))</f>
        <v>84.262156862745073</v>
      </c>
      <c r="O14" s="13">
        <f>N14*VLOOKUP('Données projet'!$B$9,Paramètres!$A$1:$I$89,3,0)*VLOOKUP('Données projet'!$B$9,Paramètres!$A$1:$I$89,5,0)</f>
        <v>39.434689411764694</v>
      </c>
      <c r="P14" s="13">
        <f t="shared" si="33"/>
        <v>11.848687376102017</v>
      </c>
      <c r="Q14" s="20">
        <f t="shared" si="2"/>
        <v>89.318547905534516</v>
      </c>
      <c r="R14" s="59">
        <f t="shared" si="0"/>
        <v>359.42965901664564</v>
      </c>
      <c r="S14" s="59">
        <f ca="1">AVERAGE(OFFSET($R$3,0,0,'Données projet'!$E$9+1,1))-AVERAGE(OFFSET($H$3,0,0,'Données projet'!$E$9+1,1))</f>
        <v>333.20260838961286</v>
      </c>
      <c r="T14" s="59">
        <f t="shared" si="34"/>
        <v>274.05921873522806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357.78342848020947</v>
      </c>
      <c r="AN14" s="59">
        <f ca="1">AVERAGE(OFFSET($AM$3,0,0,'Données projet'!$E$10+1,1))-AVERAGE(OFFSET($H$3,0,0,'Données projet'!$E$10+1,1))</f>
        <v>581.88778927327667</v>
      </c>
      <c r="AO14" s="59">
        <f t="shared" si="36"/>
        <v>269.67340993773422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7.1952941176470588</v>
      </c>
      <c r="BD14" s="12">
        <f>IF('Données projet'!$A$88&gt;35,BD13+BC14-BL13,IF(A14&lt;'Données projet'!$A$88,$BA$205^A14,IF(A14='Données projet'!$A$88,'Données projet'!$B$88,BD13+BC14-BL13)))</f>
        <v>22.425062318853254</v>
      </c>
      <c r="BE14" s="13">
        <f>BD14*VLOOKUP('Données projet'!$B$11,Paramètres!$A$1:$I$89,3,0)*VLOOKUP('Données projet'!$B$11,Paramètres!$A$1:$I$89,5,0)</f>
        <v>13.410187266674248</v>
      </c>
      <c r="BF14" s="13">
        <f t="shared" si="37"/>
        <v>4.5682881717800319</v>
      </c>
      <c r="BG14" s="20">
        <f t="shared" si="7"/>
        <v>31.312511388641202</v>
      </c>
      <c r="BH14" s="59">
        <f t="shared" si="8"/>
        <v>301.42362249975235</v>
      </c>
      <c r="BI14" s="59">
        <f ca="1">AVERAGE(OFFSET($BH$3,0,0,'Données projet'!$E$11+1,1))-AVERAGE(OFFSET($H$3,0,0,'Données projet'!$E$11+1,1))</f>
        <v>300.80663531652721</v>
      </c>
      <c r="BJ14" s="59">
        <f t="shared" si="38"/>
        <v>306.01967513533549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7.6601960784313725</v>
      </c>
      <c r="N15" s="13">
        <f>IF('Données projet'!$A$36&gt;35,N14+M15-V14,IF(A15&lt;'Données projet'!$A$36,$K$205^A15,IF(A15='Données projet'!$A$36,'Données projet'!$B$36,N14+M15-V14)))</f>
        <v>91.922352941176442</v>
      </c>
      <c r="O15" s="13">
        <f>N15*VLOOKUP('Données projet'!$B$9,Paramètres!$A$1:$I$89,3,0)*VLOOKUP('Données projet'!$B$9,Paramètres!$A$1:$I$89,5,0)</f>
        <v>43.019661176470578</v>
      </c>
      <c r="P15" s="13">
        <f t="shared" si="33"/>
        <v>12.795586978878276</v>
      </c>
      <c r="Q15" s="20">
        <f t="shared" si="2"/>
        <v>97.211557203899247</v>
      </c>
      <c r="R15" s="59">
        <f t="shared" si="0"/>
        <v>368.54489053723256</v>
      </c>
      <c r="S15" s="59">
        <f ca="1">AVERAGE(OFFSET($R$3,0,0,'Données projet'!$E$9+1,1))-AVERAGE(OFFSET($H$3,0,0,'Données projet'!$E$9+1,1))</f>
        <v>333.20260838961286</v>
      </c>
      <c r="T15" s="59">
        <f t="shared" si="34"/>
        <v>274.05921873522806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366.7528026512307</v>
      </c>
      <c r="AN15" s="59">
        <f ca="1">AVERAGE(OFFSET($AM$3,0,0,'Données projet'!$E$10+1,1))-AVERAGE(OFFSET($H$3,0,0,'Données projet'!$E$10+1,1))</f>
        <v>581.88778927327667</v>
      </c>
      <c r="AO15" s="59">
        <f t="shared" si="36"/>
        <v>269.67340993773422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7.1952941176470588</v>
      </c>
      <c r="BD15" s="12">
        <f>IF('Données projet'!$A$88&gt;35,BD14+BC15-BL14,IF(A15&lt;'Données projet'!$A$88,$BA$205^A15,IF(A15='Données projet'!$A$88,'Données projet'!$B$88,BD14+BC15-BL14)))</f>
        <v>29.752785247657449</v>
      </c>
      <c r="BE15" s="13">
        <f>BD15*VLOOKUP('Données projet'!$B$11,Paramètres!$A$1:$I$89,3,0)*VLOOKUP('Données projet'!$B$11,Paramètres!$A$1:$I$89,5,0)</f>
        <v>17.792165578099155</v>
      </c>
      <c r="BF15" s="13">
        <f t="shared" si="37"/>
        <v>5.8648139940544119</v>
      </c>
      <c r="BG15" s="20">
        <f t="shared" si="7"/>
        <v>41.202572754834129</v>
      </c>
      <c r="BH15" s="59">
        <f t="shared" si="8"/>
        <v>312.53590608816745</v>
      </c>
      <c r="BI15" s="59">
        <f ca="1">AVERAGE(OFFSET($BH$3,0,0,'Données projet'!$E$11+1,1))-AVERAGE(OFFSET($H$3,0,0,'Données projet'!$E$11+1,1))</f>
        <v>300.80663531652721</v>
      </c>
      <c r="BJ15" s="59">
        <f t="shared" si="38"/>
        <v>306.01967513533549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7.6601960784313725</v>
      </c>
      <c r="N16" s="13">
        <f>IF('Données projet'!$A$36&gt;35,N15+M16-V15,IF(A16&lt;'Données projet'!$A$36,$K$205^A16,IF(A16='Données projet'!$A$36,'Données projet'!$B$36,N15+M16-V15)))</f>
        <v>99.582549019607811</v>
      </c>
      <c r="O16" s="13">
        <f>N16*VLOOKUP('Données projet'!$B$9,Paramètres!$A$1:$I$89,3,0)*VLOOKUP('Données projet'!$B$9,Paramètres!$A$1:$I$89,5,0)</f>
        <v>46.604632941176455</v>
      </c>
      <c r="P16" s="13">
        <f t="shared" si="33"/>
        <v>13.733334885440446</v>
      </c>
      <c r="Q16" s="20">
        <f t="shared" si="2"/>
        <v>105.08862729802443</v>
      </c>
      <c r="R16" s="59">
        <f t="shared" si="0"/>
        <v>377.64418285357999</v>
      </c>
      <c r="S16" s="59">
        <f ca="1">AVERAGE(OFFSET($R$3,0,0,'Données projet'!$E$9+1,1))-AVERAGE(OFFSET($H$3,0,0,'Données projet'!$E$9+1,1))</f>
        <v>333.20260838961286</v>
      </c>
      <c r="T16" s="59">
        <f t="shared" si="34"/>
        <v>274.05921873522806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375.70650460592395</v>
      </c>
      <c r="AN16" s="59">
        <f ca="1">AVERAGE(OFFSET($AM$3,0,0,'Données projet'!$E$10+1,1))-AVERAGE(OFFSET($H$3,0,0,'Données projet'!$E$10+1,1))</f>
        <v>581.88778927327667</v>
      </c>
      <c r="AO16" s="59">
        <f t="shared" si="36"/>
        <v>269.67340993773422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7.1952941176470588</v>
      </c>
      <c r="BD16" s="12">
        <f>IF('Données projet'!$A$88&gt;35,BD15+BC16-BL15,IF(A16&lt;'Données projet'!$A$88,$BA$205^A16,IF(A16='Données projet'!$A$88,'Données projet'!$B$88,BD15+BC16-BL15)))</f>
        <v>39.474950722834407</v>
      </c>
      <c r="BE16" s="13">
        <f>BD16*VLOOKUP('Données projet'!$B$11,Paramètres!$A$1:$I$89,3,0)*VLOOKUP('Données projet'!$B$11,Paramètres!$A$1:$I$89,5,0)</f>
        <v>23.606020532254977</v>
      </c>
      <c r="BF16" s="13">
        <f t="shared" si="37"/>
        <v>7.5293067975293804</v>
      </c>
      <c r="BG16" s="20">
        <f t="shared" si="7"/>
        <v>54.227361766041078</v>
      </c>
      <c r="BH16" s="59">
        <f t="shared" si="8"/>
        <v>326.78291732159664</v>
      </c>
      <c r="BI16" s="59">
        <f ca="1">AVERAGE(OFFSET($BH$3,0,0,'Données projet'!$E$11+1,1))-AVERAGE(OFFSET($H$3,0,0,'Données projet'!$E$11+1,1))</f>
        <v>300.80663531652721</v>
      </c>
      <c r="BJ16" s="59">
        <f t="shared" si="38"/>
        <v>306.01967513533549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7.6601960784313725</v>
      </c>
      <c r="N17" s="13">
        <f>IF('Données projet'!$A$36&gt;35,N16+M17-V16,IF(A17&lt;'Données projet'!$A$36,$K$205^A17,IF(A17='Données projet'!$A$36,'Données projet'!$B$36,N16+M17-V16)))</f>
        <v>107.24274509803918</v>
      </c>
      <c r="O17" s="13">
        <f>N17*VLOOKUP('Données projet'!$B$9,Paramètres!$A$1:$I$89,3,0)*VLOOKUP('Données projet'!$B$9,Paramètres!$A$1:$I$89,5,0)</f>
        <v>50.189604705882338</v>
      </c>
      <c r="P17" s="13">
        <f t="shared" si="33"/>
        <v>14.66271511394697</v>
      </c>
      <c r="Q17" s="20">
        <f t="shared" si="2"/>
        <v>112.95112368620271</v>
      </c>
      <c r="R17" s="59">
        <f t="shared" si="0"/>
        <v>386.72890146398049</v>
      </c>
      <c r="S17" s="59">
        <f ca="1">AVERAGE(OFFSET($R$3,0,0,'Données projet'!$E$9+1,1))-AVERAGE(OFFSET($H$3,0,0,'Données projet'!$E$9+1,1))</f>
        <v>333.20260838961286</v>
      </c>
      <c r="T17" s="59">
        <f t="shared" si="34"/>
        <v>274.05921873522806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384.64587696995079</v>
      </c>
      <c r="AN17" s="59">
        <f ca="1">AVERAGE(OFFSET($AM$3,0,0,'Données projet'!$E$10+1,1))-AVERAGE(OFFSET($H$3,0,0,'Données projet'!$E$10+1,1))</f>
        <v>581.88778927327667</v>
      </c>
      <c r="AO17" s="59">
        <f t="shared" si="36"/>
        <v>269.67340993773422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7.1952941176470588</v>
      </c>
      <c r="BD17" s="12">
        <f>IF('Données projet'!$A$88&gt;35,BD16+BC17-BL16,IF(A17&lt;'Données projet'!$A$88,$BA$205^A17,IF(A17='Données projet'!$A$88,'Données projet'!$B$88,BD16+BC17-BL16)))</f>
        <v>52.373978489724536</v>
      </c>
      <c r="BE17" s="13">
        <f>BD17*VLOOKUP('Données projet'!$B$11,Paramètres!$A$1:$I$89,3,0)*VLOOKUP('Données projet'!$B$11,Paramètres!$A$1:$I$89,5,0)</f>
        <v>31.319639136855276</v>
      </c>
      <c r="BF17" s="13">
        <f t="shared" si="37"/>
        <v>9.6661992876148126</v>
      </c>
      <c r="BG17" s="20">
        <f t="shared" si="7"/>
        <v>71.383668589285392</v>
      </c>
      <c r="BH17" s="59">
        <f t="shared" si="8"/>
        <v>345.16144636706315</v>
      </c>
      <c r="BI17" s="59">
        <f ca="1">AVERAGE(OFFSET($BH$3,0,0,'Données projet'!$E$11+1,1))-AVERAGE(OFFSET($H$3,0,0,'Données projet'!$E$11+1,1))</f>
        <v>300.80663531652721</v>
      </c>
      <c r="BJ17" s="59">
        <f t="shared" si="38"/>
        <v>306.01967513533549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7.6601960784313725</v>
      </c>
      <c r="N18" s="13">
        <f>IF('Données projet'!$A$36&gt;35,N17+M18-V17,IF(A18&lt;'Données projet'!$A$36,$K$205^A18,IF(A18='Données projet'!$A$36,'Données projet'!$B$36,N17+M18-V17)))</f>
        <v>114.90294117647055</v>
      </c>
      <c r="O18" s="13">
        <f>N18*VLOOKUP('Données projet'!$B$9,Paramètres!$A$1:$I$89,3,0)*VLOOKUP('Données projet'!$B$9,Paramètres!$A$1:$I$89,5,0)</f>
        <v>53.774576470588215</v>
      </c>
      <c r="P18" s="13">
        <f t="shared" si="33"/>
        <v>15.584393333367014</v>
      </c>
      <c r="Q18" s="20">
        <f t="shared" si="2"/>
        <v>120.80020574188869</v>
      </c>
      <c r="R18" s="59">
        <f t="shared" si="0"/>
        <v>395.8002057418887</v>
      </c>
      <c r="S18" s="59">
        <f ca="1">AVERAGE(OFFSET($R$3,0,0,'Données projet'!$E$9+1,1))-AVERAGE(OFFSET($H$3,0,0,'Données projet'!$E$9+1,1))</f>
        <v>333.20260838961286</v>
      </c>
      <c r="T18" s="59">
        <f t="shared" si="34"/>
        <v>274.05921873522806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393.5720596968066</v>
      </c>
      <c r="AN18" s="59">
        <f ca="1">AVERAGE(OFFSET($AM$3,0,0,'Données projet'!$E$10+1,1))-AVERAGE(OFFSET($H$3,0,0,'Données projet'!$E$10+1,1))</f>
        <v>581.88778927327667</v>
      </c>
      <c r="AO18" s="59">
        <f t="shared" si="36"/>
        <v>269.67340993773422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7.1952941176470588</v>
      </c>
      <c r="BD18" s="12">
        <f>IF('Données projet'!$A$88&gt;35,BD17+BC18-BL17,IF(A18&lt;'Données projet'!$A$88,$BA$205^A18,IF(A18='Données projet'!$A$88,'Données projet'!$B$88,BD17+BC18-BL17)))</f>
        <v>69.487955592441367</v>
      </c>
      <c r="BE18" s="13">
        <f>BD18*VLOOKUP('Données projet'!$B$11,Paramètres!$A$1:$I$89,3,0)*VLOOKUP('Données projet'!$B$11,Paramètres!$A$1:$I$89,5,0)</f>
        <v>41.553797444279937</v>
      </c>
      <c r="BF18" s="13">
        <f t="shared" si="37"/>
        <v>12.409563214842624</v>
      </c>
      <c r="BG18" s="20">
        <f t="shared" si="7"/>
        <v>93.986186481305097</v>
      </c>
      <c r="BH18" s="59">
        <f t="shared" si="8"/>
        <v>368.98618648130508</v>
      </c>
      <c r="BI18" s="59">
        <f ca="1">AVERAGE(OFFSET($BH$3,0,0,'Données projet'!$E$11+1,1))-AVERAGE(OFFSET($H$3,0,0,'Données projet'!$E$11+1,1))</f>
        <v>300.80663531652721</v>
      </c>
      <c r="BJ18" s="59">
        <f t="shared" si="38"/>
        <v>306.01967513533549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7.6601960784313725</v>
      </c>
      <c r="N19" s="13">
        <f>IF('Données projet'!$A$36&gt;35,N18+M19-V18,IF(A19&lt;'Données projet'!$A$36,$K$205^A19,IF(A19='Données projet'!$A$36,'Données projet'!$B$36,N18+M19-V18)))</f>
        <v>122.56313725490192</v>
      </c>
      <c r="O19" s="13">
        <f>N19*VLOOKUP('Données projet'!$B$9,Paramètres!$A$1:$I$89,3,0)*VLOOKUP('Données projet'!$B$9,Paramètres!$A$1:$I$89,5,0)</f>
        <v>57.359548235294099</v>
      </c>
      <c r="P19" s="13">
        <f t="shared" si="33"/>
        <v>16.49894143547829</v>
      </c>
      <c r="Q19" s="20">
        <f t="shared" si="2"/>
        <v>128.63686950992857</v>
      </c>
      <c r="R19" s="59">
        <f t="shared" si="0"/>
        <v>404.85909173215077</v>
      </c>
      <c r="S19" s="59">
        <f ca="1">AVERAGE(OFFSET($R$3,0,0,'Données projet'!$E$9+1,1))-AVERAGE(OFFSET($H$3,0,0,'Données projet'!$E$9+1,1))</f>
        <v>333.20260838961286</v>
      </c>
      <c r="T19" s="59">
        <f t="shared" si="34"/>
        <v>274.05921873522806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402.4860321471964</v>
      </c>
      <c r="AN19" s="59">
        <f ca="1">AVERAGE(OFFSET($AM$3,0,0,'Données projet'!$E$10+1,1))-AVERAGE(OFFSET($H$3,0,0,'Données projet'!$E$10+1,1))</f>
        <v>581.88778927327667</v>
      </c>
      <c r="AO19" s="59">
        <f t="shared" si="36"/>
        <v>269.67340993773422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7.1952941176470588</v>
      </c>
      <c r="BD19" s="12">
        <f>IF('Données projet'!$A$88&gt;35,BD18+BC19-BL18,IF(A19&lt;'Données projet'!$A$88,$BA$205^A19,IF(A19='Données projet'!$A$88,'Données projet'!$B$88,BD18+BC19-BL18)))</f>
        <v>92.194179469570756</v>
      </c>
      <c r="BE19" s="13">
        <f>BD19*VLOOKUP('Données projet'!$B$11,Paramètres!$A$1:$I$89,3,0)*VLOOKUP('Données projet'!$B$11,Paramètres!$A$1:$I$89,5,0)</f>
        <v>55.13211932280332</v>
      </c>
      <c r="BF19" s="13">
        <f t="shared" si="37"/>
        <v>15.931521231978957</v>
      </c>
      <c r="BG19" s="20">
        <f t="shared" si="7"/>
        <v>123.76917396624582</v>
      </c>
      <c r="BH19" s="59">
        <f t="shared" si="8"/>
        <v>399.99139618846806</v>
      </c>
      <c r="BI19" s="59">
        <f ca="1">AVERAGE(OFFSET($BH$3,0,0,'Données projet'!$E$11+1,1))-AVERAGE(OFFSET($H$3,0,0,'Données projet'!$E$11+1,1))</f>
        <v>300.80663531652721</v>
      </c>
      <c r="BJ19" s="59">
        <f t="shared" si="38"/>
        <v>306.01967513533549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7.6601960784313725</v>
      </c>
      <c r="N20" s="13">
        <f>IF('Données projet'!$A$36&gt;35,N19+M20-V19,IF(A20&lt;'Données projet'!$A$36,$K$205^A20,IF(A20='Données projet'!$A$36,'Données projet'!$B$36,N19+M20-V19)))</f>
        <v>130.2233333333333</v>
      </c>
      <c r="O20" s="13">
        <f>N20*VLOOKUP('Données projet'!$B$9,Paramètres!$A$1:$I$89,3,0)*VLOOKUP('Données projet'!$B$9,Paramètres!$A$1:$I$89,5,0)</f>
        <v>60.944519999999983</v>
      </c>
      <c r="P20" s="13">
        <f t="shared" si="33"/>
        <v>17.406855785157887</v>
      </c>
      <c r="Q20" s="20">
        <f t="shared" si="2"/>
        <v>136.46197949248327</v>
      </c>
      <c r="R20" s="59">
        <f t="shared" si="0"/>
        <v>413.90642393692769</v>
      </c>
      <c r="S20" s="59">
        <f ca="1">AVERAGE(OFFSET($R$3,0,0,'Données projet'!$E$9+1,1))-AVERAGE(OFFSET($H$3,0,0,'Données projet'!$E$9+1,1))</f>
        <v>333.20260838961286</v>
      </c>
      <c r="T20" s="59">
        <f t="shared" si="34"/>
        <v>274.05921873522806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411.38864434253145</v>
      </c>
      <c r="AN20" s="59">
        <f ca="1">AVERAGE(OFFSET($AM$3,0,0,'Données projet'!$E$10+1,1))-AVERAGE(OFFSET($H$3,0,0,'Données projet'!$E$10+1,1))</f>
        <v>581.88778927327667</v>
      </c>
      <c r="AO20" s="59">
        <f t="shared" si="36"/>
        <v>269.67340993773422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122.32</v>
      </c>
      <c r="BB20" s="12">
        <f>VLOOKUP(A20,'Données projet'!$A$87:$I$107,9,0)</f>
        <v>7.1952941176470588</v>
      </c>
      <c r="BC20" s="12">
        <f t="array" ref="BC20">INDEX(BB:BB,MIN(IF(ISNUMBER(BB20:BB216),ROW(BB20:BB216),"")))</f>
        <v>7.1952941176470588</v>
      </c>
      <c r="BD20" s="12">
        <f>IF('Données projet'!$A$88&gt;35,BD19+BC20-BL19,IF(A20&lt;'Données projet'!$A$88,$BA$205^A20,IF(A20='Données projet'!$A$88,'Données projet'!$B$88,BD19+BC20-BL19)))</f>
        <v>122.32</v>
      </c>
      <c r="BE20" s="13">
        <f>BD20*VLOOKUP('Données projet'!$B$11,Paramètres!$A$1:$I$89,3,0)*VLOOKUP('Données projet'!$B$11,Paramètres!$A$1:$I$89,5,0)</f>
        <v>73.147360000000006</v>
      </c>
      <c r="BF20" s="13">
        <f t="shared" si="37"/>
        <v>20.453046120222783</v>
      </c>
      <c r="BG20" s="20">
        <f t="shared" si="7"/>
        <v>163.02070732605469</v>
      </c>
      <c r="BH20" s="59">
        <f t="shared" si="8"/>
        <v>440.46515177049912</v>
      </c>
      <c r="BI20" s="59">
        <f ca="1">AVERAGE(OFFSET($BH$3,0,0,'Données projet'!$E$11+1,1))-AVERAGE(OFFSET($H$3,0,0,'Données projet'!$E$11+1,1))</f>
        <v>300.80663531652721</v>
      </c>
      <c r="BJ20" s="59">
        <f t="shared" si="38"/>
        <v>306.01967513533549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40.76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0.45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14.49315281448583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14.49315281448583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7.6601960784313725</v>
      </c>
      <c r="N21" s="13">
        <f>IF('Données projet'!$A$36&gt;35,N20+M21-V20,IF(A21&lt;'Données projet'!$A$36,$K$205^A21,IF(A21='Données projet'!$A$36,'Données projet'!$B$36,N20+M21-V20)))</f>
        <v>137.88352941176467</v>
      </c>
      <c r="O21" s="13">
        <f>N21*VLOOKUP('Données projet'!$B$9,Paramètres!$A$1:$I$89,3,0)*VLOOKUP('Données projet'!$B$9,Paramètres!$A$1:$I$89,5,0)</f>
        <v>64.529491764705867</v>
      </c>
      <c r="P21" s="13">
        <f t="shared" si="33"/>
        <v>18.308571052589809</v>
      </c>
      <c r="Q21" s="20">
        <f t="shared" si="2"/>
        <v>144.2762927401233</v>
      </c>
      <c r="R21" s="59">
        <f t="shared" si="0"/>
        <v>422.94295940679001</v>
      </c>
      <c r="S21" s="59">
        <f ca="1">AVERAGE(OFFSET($R$3,0,0,'Données projet'!$E$9+1,1))-AVERAGE(OFFSET($H$3,0,0,'Données projet'!$E$9+1,1))</f>
        <v>333.20260838961286</v>
      </c>
      <c r="T21" s="59">
        <f t="shared" si="34"/>
        <v>274.05921873522806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420.28064065248873</v>
      </c>
      <c r="AN21" s="59">
        <f ca="1">AVERAGE(OFFSET($AM$3,0,0,'Données projet'!$E$10+1,1))-AVERAGE(OFFSET($H$3,0,0,'Données projet'!$E$10+1,1))</f>
        <v>581.88778927327667</v>
      </c>
      <c r="AO21" s="59">
        <f t="shared" si="36"/>
        <v>269.67340993773422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17.686666666666667</v>
      </c>
      <c r="BD21" s="12">
        <f>IF('Données projet'!$A$88&gt;35,BD20+BC21-BL20,IF(A21&lt;'Données projet'!$A$88,$BA$205^A21,IF(A21='Données projet'!$A$88,'Données projet'!$B$88,BD20+BC21-BL20)))</f>
        <v>99.24666666666667</v>
      </c>
      <c r="BE21" s="13">
        <f>BD21*VLOOKUP('Données projet'!$B$11,Paramètres!$A$1:$I$89,3,0)*VLOOKUP('Données projet'!$B$11,Paramètres!$A$1:$I$89,5,0)</f>
        <v>59.34950666666667</v>
      </c>
      <c r="BF21" s="13">
        <f t="shared" si="37"/>
        <v>17.003699693551216</v>
      </c>
      <c r="BG21" s="20">
        <f t="shared" si="7"/>
        <v>132.98183441071282</v>
      </c>
      <c r="BH21" s="59">
        <f t="shared" si="8"/>
        <v>411.64850107737948</v>
      </c>
      <c r="BI21" s="59">
        <f ca="1">AVERAGE(OFFSET($BH$3,0,0,'Données projet'!$E$11+1,1))-AVERAGE(OFFSET($H$3,0,0,'Données projet'!$E$11+1,1))</f>
        <v>300.80663531652721</v>
      </c>
      <c r="BJ21" s="59">
        <f t="shared" si="38"/>
        <v>306.01967513533549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14.096836788611933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14.096836788611933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7.6601960784313725</v>
      </c>
      <c r="N22" s="13">
        <f>IF('Données projet'!$A$36&gt;35,N21+M22-V21,IF(A22&lt;'Données projet'!$A$36,$K$205^A22,IF(A22='Données projet'!$A$36,'Données projet'!$B$36,N21+M22-V21)))</f>
        <v>145.54372549019604</v>
      </c>
      <c r="O22" s="13">
        <f>N22*VLOOKUP('Données projet'!$B$9,Paramètres!$A$1:$I$89,3,0)*VLOOKUP('Données projet'!$B$9,Paramètres!$A$1:$I$89,5,0)</f>
        <v>68.114463529411751</v>
      </c>
      <c r="P22" s="13">
        <f t="shared" si="33"/>
        <v>19.204470883524991</v>
      </c>
      <c r="Q22" s="20">
        <f t="shared" si="2"/>
        <v>152.08047743586482</v>
      </c>
      <c r="R22" s="59">
        <f t="shared" si="0"/>
        <v>431.96936632475365</v>
      </c>
      <c r="S22" s="59">
        <f ca="1">AVERAGE(OFFSET($R$3,0,0,'Données projet'!$E$9+1,1))-AVERAGE(OFFSET($H$3,0,0,'Données projet'!$E$9+1,1))</f>
        <v>333.20260838961286</v>
      </c>
      <c r="T22" s="59">
        <f t="shared" si="34"/>
        <v>274.05921873522806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429.16267806775738</v>
      </c>
      <c r="AN22" s="59">
        <f ca="1">AVERAGE(OFFSET($AM$3,0,0,'Données projet'!$E$10+1,1))-AVERAGE(OFFSET($H$3,0,0,'Données projet'!$E$10+1,1))</f>
        <v>581.88778927327667</v>
      </c>
      <c r="AO22" s="59">
        <f t="shared" si="36"/>
        <v>269.67340993773422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17.686666666666667</v>
      </c>
      <c r="BD22" s="12">
        <f>IF('Données projet'!$A$88&gt;35,BD21+BC22-BL21,IF(A22&lt;'Données projet'!$A$88,$BA$205^A22,IF(A22='Données projet'!$A$88,'Données projet'!$B$88,BD21+BC22-BL21)))</f>
        <v>116.93333333333334</v>
      </c>
      <c r="BE22" s="13">
        <f>BD22*VLOOKUP('Données projet'!$B$11,Paramètres!$A$1:$I$89,3,0)*VLOOKUP('Données projet'!$B$11,Paramètres!$A$1:$I$89,5,0)</f>
        <v>69.92613333333334</v>
      </c>
      <c r="BF22" s="13">
        <f t="shared" si="37"/>
        <v>19.655112747639016</v>
      </c>
      <c r="BG22" s="20">
        <f t="shared" si="7"/>
        <v>156.02067025769352</v>
      </c>
      <c r="BH22" s="59">
        <f t="shared" si="8"/>
        <v>435.90955914658241</v>
      </c>
      <c r="BI22" s="59">
        <f ca="1">AVERAGE(OFFSET($BH$3,0,0,'Données projet'!$E$11+1,1))-AVERAGE(OFFSET($H$3,0,0,'Données projet'!$E$11+1,1))</f>
        <v>300.80663531652721</v>
      </c>
      <c r="BJ22" s="59">
        <f t="shared" si="38"/>
        <v>306.01967513533549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13.711358045306911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13.711358045306911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7.6601960784313725</v>
      </c>
      <c r="N23" s="13">
        <f>IF('Données projet'!$A$36&gt;35,N22+M23-V22,IF(A23&lt;'Données projet'!$A$36,$K$205^A23,IF(A23='Données projet'!$A$36,'Données projet'!$B$36,N22+M23-V22)))</f>
        <v>153.20392156862741</v>
      </c>
      <c r="O23" s="13">
        <f>N23*VLOOKUP('Données projet'!$B$9,Paramètres!$A$1:$I$89,3,0)*VLOOKUP('Données projet'!$B$9,Paramètres!$A$1:$I$89,5,0)</f>
        <v>71.69943529411762</v>
      </c>
      <c r="P23" s="13">
        <f t="shared" si="33"/>
        <v>20.094896259086788</v>
      </c>
      <c r="Q23" s="20">
        <f t="shared" si="2"/>
        <v>159.87512745516435</v>
      </c>
      <c r="R23" s="59">
        <f t="shared" si="0"/>
        <v>440.98623856627546</v>
      </c>
      <c r="S23" s="59">
        <f ca="1">AVERAGE(OFFSET($R$3,0,0,'Données projet'!$E$9+1,1))-AVERAGE(OFFSET($H$3,0,0,'Données projet'!$E$9+1,1))</f>
        <v>333.20260838961286</v>
      </c>
      <c r="T23" s="59">
        <f t="shared" si="34"/>
        <v>274.05921873522806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438.03534051614758</v>
      </c>
      <c r="AN23" s="59">
        <f ca="1">AVERAGE(OFFSET($AM$3,0,0,'Données projet'!$E$10+1,1))-AVERAGE(OFFSET($H$3,0,0,'Données projet'!$E$10+1,1))</f>
        <v>581.88778927327667</v>
      </c>
      <c r="AO23" s="59">
        <f t="shared" si="36"/>
        <v>269.67340993773422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17.686666666666667</v>
      </c>
      <c r="BD23" s="12">
        <f>IF('Données projet'!$A$88&gt;35,BD22+BC23-BL22,IF(A23&lt;'Données projet'!$A$88,$BA$205^A23,IF(A23='Données projet'!$A$88,'Données projet'!$B$88,BD22+BC23-BL22)))</f>
        <v>134.62</v>
      </c>
      <c r="BE23" s="13">
        <f>BD23*VLOOKUP('Données projet'!$B$11,Paramètres!$A$1:$I$89,3,0)*VLOOKUP('Données projet'!$B$11,Paramètres!$A$1:$I$89,5,0)</f>
        <v>80.502760000000009</v>
      </c>
      <c r="BF23" s="13">
        <f t="shared" si="37"/>
        <v>22.260066705482632</v>
      </c>
      <c r="BG23" s="20">
        <f t="shared" si="7"/>
        <v>178.97858984538223</v>
      </c>
      <c r="BH23" s="59">
        <f t="shared" si="8"/>
        <v>460.0897009564934</v>
      </c>
      <c r="BI23" s="59">
        <f ca="1">AVERAGE(OFFSET($BH$3,0,0,'Données projet'!$E$11+1,1))-AVERAGE(OFFSET($H$3,0,0,'Données projet'!$E$11+1,1))</f>
        <v>300.80663531652721</v>
      </c>
      <c r="BJ23" s="59">
        <f t="shared" si="38"/>
        <v>306.01967513533549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13.336420238509012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13.336420238509012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7.6601960784313725</v>
      </c>
      <c r="N24" s="13">
        <f>IF('Données projet'!$A$36&gt;35,N23+M24-V23,IF(A24&lt;'Données projet'!$A$36,$K$205^A24,IF(A24='Données projet'!$A$36,'Données projet'!$B$36,N23+M24-V23)))</f>
        <v>160.86411764705878</v>
      </c>
      <c r="O24" s="13">
        <f>N24*VLOOKUP('Données projet'!$B$9,Paramètres!$A$1:$I$89,3,0)*VLOOKUP('Données projet'!$B$9,Paramètres!$A$1:$I$89,5,0)</f>
        <v>75.284407058823504</v>
      </c>
      <c r="P24" s="13">
        <f t="shared" si="33"/>
        <v>20.980152136101097</v>
      </c>
      <c r="Q24" s="20">
        <f t="shared" si="2"/>
        <v>167.66077393116035</v>
      </c>
      <c r="R24" s="59">
        <f t="shared" si="0"/>
        <v>449.99410726449366</v>
      </c>
      <c r="S24" s="59">
        <f ca="1">AVERAGE(OFFSET($R$3,0,0,'Données projet'!$E$9+1,1))-AVERAGE(OFFSET($H$3,0,0,'Données projet'!$E$9+1,1))</f>
        <v>333.20260838961286</v>
      </c>
      <c r="T24" s="59">
        <f t="shared" si="34"/>
        <v>274.05921873522806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446.89915023410947</v>
      </c>
      <c r="AN24" s="59">
        <f ca="1">AVERAGE(OFFSET($AM$3,0,0,'Données projet'!$E$10+1,1))-AVERAGE(OFFSET($H$3,0,0,'Données projet'!$E$10+1,1))</f>
        <v>581.88778927327667</v>
      </c>
      <c r="AO24" s="59">
        <f t="shared" si="36"/>
        <v>269.67340993773422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17.686666666666667</v>
      </c>
      <c r="BD24" s="12">
        <f>IF('Données projet'!$A$88&gt;35,BD23+BC24-BL23,IF(A24&lt;'Données projet'!$A$88,$BA$205^A24,IF(A24='Données projet'!$A$88,'Données projet'!$B$88,BD23+BC24-BL23)))</f>
        <v>152.30666666666667</v>
      </c>
      <c r="BE24" s="13">
        <f>BD24*VLOOKUP('Données projet'!$B$11,Paramètres!$A$1:$I$89,3,0)*VLOOKUP('Données projet'!$B$11,Paramètres!$A$1:$I$89,5,0)</f>
        <v>91.079386666666679</v>
      </c>
      <c r="BF24" s="13">
        <f t="shared" si="37"/>
        <v>24.825366166504242</v>
      </c>
      <c r="BG24" s="20">
        <f t="shared" si="7"/>
        <v>201.8674445177727</v>
      </c>
      <c r="BH24" s="59">
        <f t="shared" si="8"/>
        <v>484.20077785110601</v>
      </c>
      <c r="BI24" s="59">
        <f ca="1">AVERAGE(OFFSET($BH$3,0,0,'Données projet'!$E$11+1,1))-AVERAGE(OFFSET($H$3,0,0,'Données projet'!$E$11+1,1))</f>
        <v>300.80663531652721</v>
      </c>
      <c r="BJ24" s="59">
        <f t="shared" si="38"/>
        <v>306.01967513533549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12.971735125755124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12.971735125755124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7.6601960784313725</v>
      </c>
      <c r="N25" s="13">
        <f>IF('Données projet'!$A$36&gt;35,N24+M25-V24,IF(A25&lt;'Données projet'!$A$36,$K$205^A25,IF(A25='Données projet'!$A$36,'Données projet'!$B$36,N24+M25-V24)))</f>
        <v>168.52431372549015</v>
      </c>
      <c r="O25" s="13">
        <f>N25*VLOOKUP('Données projet'!$B$9,Paramètres!$A$1:$I$89,3,0)*VLOOKUP('Données projet'!$B$9,Paramètres!$A$1:$I$89,5,0)</f>
        <v>78.869378823529388</v>
      </c>
      <c r="P25" s="13">
        <f t="shared" si="33"/>
        <v>21.860512786764833</v>
      </c>
      <c r="Q25" s="20">
        <f t="shared" si="2"/>
        <v>175.43789455459577</v>
      </c>
      <c r="R25" s="59">
        <f t="shared" si="0"/>
        <v>458.99345011015134</v>
      </c>
      <c r="S25" s="59">
        <f ca="1">AVERAGE(OFFSET($R$3,0,0,'Données projet'!$E$9+1,1))-AVERAGE(OFFSET($H$3,0,0,'Données projet'!$E$9+1,1))</f>
        <v>333.20260838961286</v>
      </c>
      <c r="T25" s="59">
        <f t="shared" si="34"/>
        <v>274.05921873522806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455.75457691087945</v>
      </c>
      <c r="AN25" s="59">
        <f ca="1">AVERAGE(OFFSET($AM$3,0,0,'Données projet'!$E$10+1,1))-AVERAGE(OFFSET($H$3,0,0,'Données projet'!$E$10+1,1))</f>
        <v>581.88778927327667</v>
      </c>
      <c r="AO25" s="59">
        <f t="shared" si="36"/>
        <v>269.67340993773422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17.686666666666667</v>
      </c>
      <c r="BD25" s="12">
        <f>IF('Données projet'!$A$88&gt;35,BD24+BC25-BL24,IF(A25&lt;'Données projet'!$A$88,$BA$205^A25,IF(A25='Données projet'!$A$88,'Données projet'!$B$88,BD24+BC25-BL24)))</f>
        <v>169.99333333333334</v>
      </c>
      <c r="BE25" s="13">
        <f>BD25*VLOOKUP('Données projet'!$B$11,Paramètres!$A$1:$I$89,3,0)*VLOOKUP('Données projet'!$B$11,Paramètres!$A$1:$I$89,5,0)</f>
        <v>101.65601333333333</v>
      </c>
      <c r="BF25" s="13">
        <f t="shared" si="37"/>
        <v>27.356141971554642</v>
      </c>
      <c r="BG25" s="20">
        <f t="shared" si="7"/>
        <v>224.6961704893466</v>
      </c>
      <c r="BH25" s="59">
        <f t="shared" si="8"/>
        <v>508.25172604490217</v>
      </c>
      <c r="BI25" s="59">
        <f ca="1">AVERAGE(OFFSET($BH$3,0,0,'Données projet'!$E$11+1,1))-AVERAGE(OFFSET($H$3,0,0,'Données projet'!$E$11+1,1))</f>
        <v>300.80663531652721</v>
      </c>
      <c r="BJ25" s="59">
        <f t="shared" si="38"/>
        <v>306.01967513533549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12.617022346587447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12.617022346587447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7.6601960784313725</v>
      </c>
      <c r="N26" s="13">
        <f>IF('Données projet'!$A$36&gt;35,N25+M26-V25,IF(A26&lt;'Données projet'!$A$36,$K$205^A26,IF(A26='Données projet'!$A$36,'Données projet'!$B$36,N25+M26-V25)))</f>
        <v>176.18450980392151</v>
      </c>
      <c r="O26" s="13">
        <f>N26*VLOOKUP('Données projet'!$B$9,Paramètres!$A$1:$I$89,3,0)*VLOOKUP('Données projet'!$B$9,Paramètres!$A$1:$I$89,5,0)</f>
        <v>82.454350588235272</v>
      </c>
      <c r="P26" s="13">
        <f t="shared" si="33"/>
        <v>22.736226140022069</v>
      </c>
      <c r="Q26" s="20">
        <f t="shared" si="2"/>
        <v>183.20692113504819</v>
      </c>
      <c r="R26" s="59">
        <f t="shared" si="0"/>
        <v>467.98469891282593</v>
      </c>
      <c r="S26" s="59">
        <f ca="1">AVERAGE(OFFSET($R$3,0,0,'Données projet'!$E$9+1,1))-AVERAGE(OFFSET($H$3,0,0,'Données projet'!$E$9+1,1))</f>
        <v>333.20260838961286</v>
      </c>
      <c r="T26" s="59">
        <f t="shared" si="34"/>
        <v>274.05921873522806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464.60204512305518</v>
      </c>
      <c r="AN26" s="59">
        <f ca="1">AVERAGE(OFFSET($AM$3,0,0,'Données projet'!$E$10+1,1))-AVERAGE(OFFSET($H$3,0,0,'Données projet'!$E$10+1,1))</f>
        <v>581.88778927327667</v>
      </c>
      <c r="AO26" s="59">
        <f t="shared" si="36"/>
        <v>269.67340993773422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187.68</v>
      </c>
      <c r="BB26" s="12">
        <f>VLOOKUP(A26,'Données projet'!$A$87:$I$107,9,0)</f>
        <v>17.686666666666667</v>
      </c>
      <c r="BC26" s="12">
        <f t="array" ref="BC26">INDEX(BB:BB,MIN(IF(ISNUMBER(BB26:BB222),ROW(BB26:BB222),"")))</f>
        <v>17.686666666666667</v>
      </c>
      <c r="BD26" s="12">
        <f>IF('Données projet'!$A$88&gt;35,BD25+BC26-BL25,IF(A26&lt;'Données projet'!$A$88,$BA$205^A26,IF(A26='Données projet'!$A$88,'Données projet'!$B$88,BD25+BC26-BL25)))</f>
        <v>187.68</v>
      </c>
      <c r="BE26" s="13">
        <f>BD26*VLOOKUP('Données projet'!$B$11,Paramètres!$A$1:$I$89,3,0)*VLOOKUP('Données projet'!$B$11,Paramètres!$A$1:$I$89,5,0)</f>
        <v>112.23264000000002</v>
      </c>
      <c r="BF26" s="13">
        <f t="shared" si="37"/>
        <v>29.85639523393861</v>
      </c>
      <c r="BG26" s="20">
        <f t="shared" si="7"/>
        <v>247.47173636577645</v>
      </c>
      <c r="BH26" s="59">
        <f t="shared" si="8"/>
        <v>532.24951414355428</v>
      </c>
      <c r="BI26" s="59">
        <f ca="1">AVERAGE(OFFSET($BH$3,0,0,'Données projet'!$E$11+1,1))-AVERAGE(OFFSET($H$3,0,0,'Données projet'!$E$11+1,1))</f>
        <v>300.80663531652721</v>
      </c>
      <c r="BJ26" s="59">
        <f t="shared" si="38"/>
        <v>306.01967513533549</v>
      </c>
      <c r="BK26" s="15">
        <f>IF(ISNA(VLOOKUP(A26,'Données projet'!$A$87:$I$107,3,0)),0,VLOOKUP(A26,'Données projet'!$A$87:$I$107,3,0))</f>
        <v>2</v>
      </c>
      <c r="BL26" s="15">
        <f>IF(ISNA(VLOOKUP(A26,'Données projet'!$A$87:$I$107,4,0)),0,VLOOKUP(A26,'Données projet'!$A$87:$I$107,4,0))</f>
        <v>57.75</v>
      </c>
      <c r="BM26" s="16">
        <f>IF(ISNA(VLOOKUP(A26,'Données projet'!$A$87:$I$107,5,0)),0%,VLOOKUP(A26,'Données projet'!$A$87:$I$107,5,0)*VLOOKUP('Données projet'!$B$11,Paramètres!$A$1:$I$89,7,0))</f>
        <v>4.5000000000000005E-2</v>
      </c>
      <c r="BN26" s="16">
        <f>IF(ISNA(VLOOKUP(A26,'Données projet'!$A$87:$I$107,6,0)),0%,VLOOKUP(A26,'Données projet'!$A$87:$I$107,6,0)*VLOOKUP('Données projet'!$B$11,Paramètres!$A$1:$I$89,7,0))</f>
        <v>0.36000000000000004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2.0615508083869565</v>
      </c>
      <c r="BQ26" s="21">
        <f>EXP(-LN(2)/25)*BQ25+(1-EXP(-LN(2)/25))/(LN(2)/25)*Calculateur!BL26*Calculateur!BN26*VLOOKUP('Données projet'!$B$11,Paramètres!$A$1:$I$89,3,0)*0.475*44/12</f>
        <v>28.699478785754813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30.761029594141771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7.6601960784313725</v>
      </c>
      <c r="N27" s="13">
        <f>IF('Données projet'!$A$36&gt;35,N26+M27-V26,IF(A27&lt;'Données projet'!$A$36,$K$205^A27,IF(A27='Données projet'!$A$36,'Données projet'!$B$36,N26+M27-V26)))</f>
        <v>183.84470588235288</v>
      </c>
      <c r="O27" s="13">
        <f>N27*VLOOKUP('Données projet'!$B$9,Paramètres!$A$1:$I$89,3,0)*VLOOKUP('Données projet'!$B$9,Paramètres!$A$1:$I$89,5,0)</f>
        <v>86.039322352941156</v>
      </c>
      <c r="P27" s="13">
        <f t="shared" si="33"/>
        <v>23.60751734661363</v>
      </c>
      <c r="Q27" s="20">
        <f t="shared" si="2"/>
        <v>190.96824581005788</v>
      </c>
      <c r="R27" s="59">
        <f t="shared" si="0"/>
        <v>476.96824581005785</v>
      </c>
      <c r="S27" s="59">
        <f ca="1">AVERAGE(OFFSET($R$3,0,0,'Données projet'!$E$9+1,1))-AVERAGE(OFFSET($H$3,0,0,'Données projet'!$E$9+1,1))</f>
        <v>333.20260838961286</v>
      </c>
      <c r="T27" s="59">
        <f t="shared" si="34"/>
        <v>274.05921873522806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473.44194043971993</v>
      </c>
      <c r="AN27" s="59">
        <f ca="1">AVERAGE(OFFSET($AM$3,0,0,'Données projet'!$E$10+1,1))-AVERAGE(OFFSET($H$3,0,0,'Données projet'!$E$10+1,1))</f>
        <v>581.88778927327667</v>
      </c>
      <c r="AO27" s="59">
        <f t="shared" si="36"/>
        <v>269.67340993773422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18.613333333333333</v>
      </c>
      <c r="BD27" s="12">
        <f>IF('Données projet'!$A$88&gt;35,BD26+BC27-BL26,IF(A27&lt;'Données projet'!$A$88,$BA$205^A27,IF(A27='Données projet'!$A$88,'Données projet'!$B$88,BD26+BC27-BL26)))</f>
        <v>148.54333333333335</v>
      </c>
      <c r="BE27" s="13">
        <f>BD27*VLOOKUP('Données projet'!$B$11,Paramètres!$A$1:$I$89,3,0)*VLOOKUP('Données projet'!$B$11,Paramètres!$A$1:$I$89,5,0)</f>
        <v>88.828913333333347</v>
      </c>
      <c r="BF27" s="13">
        <f t="shared" si="37"/>
        <v>24.282572155728136</v>
      </c>
      <c r="BG27" s="20">
        <f t="shared" si="7"/>
        <v>197.00250389344876</v>
      </c>
      <c r="BH27" s="59">
        <f t="shared" si="8"/>
        <v>483.00250389344876</v>
      </c>
      <c r="BI27" s="59">
        <f ca="1">AVERAGE(OFFSET($BH$3,0,0,'Données projet'!$E$11+1,1))-AVERAGE(OFFSET($H$3,0,0,'Données projet'!$E$11+1,1))</f>
        <v>300.80663531652721</v>
      </c>
      <c r="BJ27" s="59">
        <f t="shared" si="38"/>
        <v>306.01967513533549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2.0211250544563213</v>
      </c>
      <c r="BQ27" s="21">
        <f>EXP(-LN(2)/25)*BQ26+(1-EXP(-LN(2)/25))/(LN(2)/25)*Calculateur!BL27*Calculateur!BN27*VLOOKUP('Données projet'!$B$11,Paramètres!$A$1:$I$89,3,0)*0.475*44/12</f>
        <v>27.914690029118351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29.935815083574671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7.6601960784313725</v>
      </c>
      <c r="N28" s="13">
        <f>IF('Données projet'!$A$36&gt;35,N27+M28-V27,IF(A28&lt;'Données projet'!$A$36,$K$205^A28,IF(A28='Données projet'!$A$36,'Données projet'!$B$36,N27+M28-V27)))</f>
        <v>191.50490196078425</v>
      </c>
      <c r="O28" s="13">
        <f>N28*VLOOKUP('Données projet'!$B$9,Paramètres!$A$1:$I$89,3,0)*VLOOKUP('Données projet'!$B$9,Paramètres!$A$1:$I$89,5,0)</f>
        <v>89.62429411764704</v>
      </c>
      <c r="P28" s="13">
        <f t="shared" si="33"/>
        <v>24.474591733209216</v>
      </c>
      <c r="Q28" s="20">
        <f t="shared" si="2"/>
        <v>198.72222619024129</v>
      </c>
      <c r="R28" s="59">
        <f t="shared" si="0"/>
        <v>485.94444841246354</v>
      </c>
      <c r="S28" s="59">
        <f ca="1">AVERAGE(OFFSET($R$3,0,0,'Données projet'!$E$9+1,1))-AVERAGE(OFFSET($H$3,0,0,'Données projet'!$E$9+1,1))</f>
        <v>333.20260838961286</v>
      </c>
      <c r="T28" s="59">
        <f t="shared" si="34"/>
        <v>274.05921873522806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482.27461448137217</v>
      </c>
      <c r="AN28" s="59">
        <f ca="1">AVERAGE(OFFSET($AM$3,0,0,'Données projet'!$E$10+1,1))-AVERAGE(OFFSET($H$3,0,0,'Données projet'!$E$10+1,1))</f>
        <v>581.88778927327667</v>
      </c>
      <c r="AO28" s="59">
        <f t="shared" si="36"/>
        <v>269.67340993773422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18.613333333333333</v>
      </c>
      <c r="BD28" s="12">
        <f>IF('Données projet'!$A$88&gt;35,BD27+BC28-BL27,IF(A28&lt;'Données projet'!$A$88,$BA$205^A28,IF(A28='Données projet'!$A$88,'Données projet'!$B$88,BD27+BC28-BL27)))</f>
        <v>167.15666666666669</v>
      </c>
      <c r="BE28" s="13">
        <f>BD28*VLOOKUP('Données projet'!$B$11,Paramètres!$A$1:$I$89,3,0)*VLOOKUP('Données projet'!$B$11,Paramètres!$A$1:$I$89,5,0)</f>
        <v>99.959686666666684</v>
      </c>
      <c r="BF28" s="13">
        <f t="shared" si="37"/>
        <v>26.952393227223038</v>
      </c>
      <c r="BG28" s="20">
        <f t="shared" si="7"/>
        <v>221.03853914852459</v>
      </c>
      <c r="BH28" s="59">
        <f t="shared" si="8"/>
        <v>508.26076137074682</v>
      </c>
      <c r="BI28" s="59">
        <f ca="1">AVERAGE(OFFSET($BH$3,0,0,'Données projet'!$E$11+1,1))-AVERAGE(OFFSET($H$3,0,0,'Données projet'!$E$11+1,1))</f>
        <v>300.80663531652721</v>
      </c>
      <c r="BJ28" s="59">
        <f t="shared" si="38"/>
        <v>306.01967513533549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1.9814920249029906</v>
      </c>
      <c r="BQ28" s="21">
        <f>EXP(-LN(2)/25)*BQ27+(1-EXP(-LN(2)/25))/(LN(2)/25)*Calculateur!BL28*Calculateur!BN28*VLOOKUP('Données projet'!$B$11,Paramètres!$A$1:$I$89,3,0)*0.475*44/12</f>
        <v>27.15136136230236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29.132853387205351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7.6601960784313725</v>
      </c>
      <c r="N29" s="13">
        <f>IF('Données projet'!$A$36&gt;35,N28+M29-V28,IF(A29&lt;'Données projet'!$A$36,$K$205^A29,IF(A29='Données projet'!$A$36,'Données projet'!$B$36,N28+M29-V28)))</f>
        <v>199.16509803921562</v>
      </c>
      <c r="O29" s="13">
        <f>N29*VLOOKUP('Données projet'!$B$9,Paramètres!$A$1:$I$89,3,0)*VLOOKUP('Données projet'!$B$9,Paramètres!$A$1:$I$89,5,0)</f>
        <v>93.209265882352909</v>
      </c>
      <c r="P29" s="13">
        <f t="shared" si="33"/>
        <v>25.33763727057336</v>
      </c>
      <c r="Q29" s="20">
        <f t="shared" si="2"/>
        <v>206.46918965801322</v>
      </c>
      <c r="R29" s="59">
        <f t="shared" si="0"/>
        <v>494.91363410245765</v>
      </c>
      <c r="S29" s="59">
        <f ca="1">AVERAGE(OFFSET($R$3,0,0,'Données projet'!$E$9+1,1))-AVERAGE(OFFSET($H$3,0,0,'Données projet'!$E$9+1,1))</f>
        <v>333.20260838961286</v>
      </c>
      <c r="T29" s="59">
        <f t="shared" si="34"/>
        <v>274.05921873522806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491.10038914664312</v>
      </c>
      <c r="AN29" s="59">
        <f ca="1">AVERAGE(OFFSET($AM$3,0,0,'Données projet'!$E$10+1,1))-AVERAGE(OFFSET($H$3,0,0,'Données projet'!$E$10+1,1))</f>
        <v>581.88778927327667</v>
      </c>
      <c r="AO29" s="59">
        <f t="shared" si="36"/>
        <v>269.67340993773422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18.613333333333333</v>
      </c>
      <c r="BD29" s="12">
        <f>IF('Données projet'!$A$88&gt;35,BD28+BC29-BL28,IF(A29&lt;'Données projet'!$A$88,$BA$205^A29,IF(A29='Données projet'!$A$88,'Données projet'!$B$88,BD28+BC29-BL28)))</f>
        <v>185.77000000000004</v>
      </c>
      <c r="BE29" s="13">
        <f>BD29*VLOOKUP('Données projet'!$B$11,Paramètres!$A$1:$I$89,3,0)*VLOOKUP('Données projet'!$B$11,Paramètres!$A$1:$I$89,5,0)</f>
        <v>111.09046000000004</v>
      </c>
      <c r="BF29" s="13">
        <f t="shared" si="37"/>
        <v>29.587757766677999</v>
      </c>
      <c r="BG29" s="20">
        <f t="shared" si="7"/>
        <v>245.01456261029759</v>
      </c>
      <c r="BH29" s="59">
        <f t="shared" si="8"/>
        <v>533.45900705474207</v>
      </c>
      <c r="BI29" s="59">
        <f ca="1">AVERAGE(OFFSET($BH$3,0,0,'Données projet'!$E$11+1,1))-AVERAGE(OFFSET($H$3,0,0,'Données projet'!$E$11+1,1))</f>
        <v>300.80663531652721</v>
      </c>
      <c r="BJ29" s="59">
        <f t="shared" si="38"/>
        <v>306.01967513533549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1.9426361748854397</v>
      </c>
      <c r="BQ29" s="21">
        <f>EXP(-LN(2)/25)*BQ28+(1-EXP(-LN(2)/25))/(LN(2)/25)*Calculateur!BL29*Calculateur!BN29*VLOOKUP('Données projet'!$B$11,Paramètres!$A$1:$I$89,3,0)*0.475*44/12</f>
        <v>26.408905958022164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28.351542132907603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7.6601960784313725</v>
      </c>
      <c r="N30" s="13">
        <f>IF('Données projet'!$A$36&gt;35,N29+M30-V29,IF(A30&lt;'Données projet'!$A$36,$K$205^A30,IF(A30='Données projet'!$A$36,'Données projet'!$B$36,N29+M30-V29)))</f>
        <v>206.82529411764699</v>
      </c>
      <c r="O30" s="13">
        <f>N30*VLOOKUP('Données projet'!$B$9,Paramètres!$A$1:$I$89,3,0)*VLOOKUP('Données projet'!$B$9,Paramètres!$A$1:$I$89,5,0)</f>
        <v>96.794237647058793</v>
      </c>
      <c r="P30" s="13">
        <f t="shared" si="33"/>
        <v>26.196826651333119</v>
      </c>
      <c r="Q30" s="20">
        <f t="shared" si="2"/>
        <v>214.20943698636589</v>
      </c>
      <c r="R30" s="59">
        <f t="shared" si="0"/>
        <v>503.8761036530326</v>
      </c>
      <c r="S30" s="59">
        <f ca="1">AVERAGE(OFFSET($R$3,0,0,'Données projet'!$E$9+1,1))-AVERAGE(OFFSET($H$3,0,0,'Données projet'!$E$9+1,1))</f>
        <v>333.20260838961286</v>
      </c>
      <c r="T30" s="59">
        <f t="shared" si="34"/>
        <v>274.05921873522806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499.91956017045948</v>
      </c>
      <c r="AN30" s="59">
        <f ca="1">AVERAGE(OFFSET($AM$3,0,0,'Données projet'!$E$10+1,1))-AVERAGE(OFFSET($H$3,0,0,'Données projet'!$E$10+1,1))</f>
        <v>581.88778927327667</v>
      </c>
      <c r="AO30" s="59">
        <f t="shared" si="36"/>
        <v>269.67340993773422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18.613333333333333</v>
      </c>
      <c r="BD30" s="12">
        <f>IF('Données projet'!$A$88&gt;35,BD29+BC30-BL29,IF(A30&lt;'Données projet'!$A$88,$BA$205^A30,IF(A30='Données projet'!$A$88,'Données projet'!$B$88,BD29+BC30-BL29)))</f>
        <v>204.38333333333338</v>
      </c>
      <c r="BE30" s="13">
        <f>BD30*VLOOKUP('Données projet'!$B$11,Paramètres!$A$1:$I$89,3,0)*VLOOKUP('Données projet'!$B$11,Paramètres!$A$1:$I$89,5,0)</f>
        <v>122.22123333333337</v>
      </c>
      <c r="BF30" s="13">
        <f t="shared" si="37"/>
        <v>32.192511187778997</v>
      </c>
      <c r="BG30" s="20">
        <f t="shared" si="7"/>
        <v>268.937271707604</v>
      </c>
      <c r="BH30" s="59">
        <f t="shared" si="8"/>
        <v>558.60393837427068</v>
      </c>
      <c r="BI30" s="59">
        <f ca="1">AVERAGE(OFFSET($BH$3,0,0,'Données projet'!$E$11+1,1))-AVERAGE(OFFSET($H$3,0,0,'Données projet'!$E$11+1,1))</f>
        <v>300.80663531652721</v>
      </c>
      <c r="BJ30" s="59">
        <f t="shared" si="38"/>
        <v>306.01967513533549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1.9045422643870047</v>
      </c>
      <c r="BQ30" s="21">
        <f>EXP(-LN(2)/25)*BQ29+(1-EXP(-LN(2)/25))/(LN(2)/25)*Calculateur!BL30*Calculateur!BN30*VLOOKUP('Données projet'!$B$11,Paramètres!$A$1:$I$89,3,0)*0.475*44/12</f>
        <v>25.686753035816043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27.591295300203047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7.6601960784313725</v>
      </c>
      <c r="N31" s="13">
        <f>IF('Données projet'!$A$36&gt;35,N30+M31-V30,IF(A31&lt;'Données projet'!$A$36,$K$205^A31,IF(A31='Données projet'!$A$36,'Données projet'!$B$36,N30+M31-V30)))</f>
        <v>214.48549019607836</v>
      </c>
      <c r="O31" s="13">
        <f>N31*VLOOKUP('Données projet'!$B$9,Paramètres!$A$1:$I$89,3,0)*VLOOKUP('Données projet'!$B$9,Paramètres!$A$1:$I$89,5,0)</f>
        <v>100.37920941176468</v>
      </c>
      <c r="P31" s="13">
        <f t="shared" si="33"/>
        <v>27.052319051275138</v>
      </c>
      <c r="Q31" s="20">
        <f t="shared" si="2"/>
        <v>221.94324540646099</v>
      </c>
      <c r="R31" s="59">
        <f t="shared" si="0"/>
        <v>512.83213429534987</v>
      </c>
      <c r="S31" s="59">
        <f ca="1">AVERAGE(OFFSET($R$3,0,0,'Données projet'!$E$9+1,1))-AVERAGE(OFFSET($H$3,0,0,'Données projet'!$E$9+1,1))</f>
        <v>333.20260838961286</v>
      </c>
      <c r="T31" s="59">
        <f t="shared" si="34"/>
        <v>274.05921873522806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508.73240014025259</v>
      </c>
      <c r="AN31" s="59">
        <f ca="1">AVERAGE(OFFSET($AM$3,0,0,'Données projet'!$E$10+1,1))-AVERAGE(OFFSET($H$3,0,0,'Données projet'!$E$10+1,1))</f>
        <v>581.88778927327667</v>
      </c>
      <c r="AO31" s="59">
        <f t="shared" si="36"/>
        <v>269.67340993773422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18.613333333333333</v>
      </c>
      <c r="BD31" s="12">
        <f>IF('Données projet'!$A$88&gt;35,BD30+BC31-BL30,IF(A31&lt;'Données projet'!$A$88,$BA$205^A31,IF(A31='Données projet'!$A$88,'Données projet'!$B$88,BD30+BC31-BL30)))</f>
        <v>222.99666666666673</v>
      </c>
      <c r="BE31" s="13">
        <f>BD31*VLOOKUP('Données projet'!$B$11,Paramètres!$A$1:$I$89,3,0)*VLOOKUP('Données projet'!$B$11,Paramètres!$A$1:$I$89,5,0)</f>
        <v>133.35200666666671</v>
      </c>
      <c r="BF31" s="13">
        <f t="shared" si="37"/>
        <v>34.769758316414304</v>
      </c>
      <c r="BG31" s="20">
        <f t="shared" si="7"/>
        <v>292.81207401219939</v>
      </c>
      <c r="BH31" s="59">
        <f t="shared" si="8"/>
        <v>583.70096290108825</v>
      </c>
      <c r="BI31" s="59">
        <f ca="1">AVERAGE(OFFSET($BH$3,0,0,'Données projet'!$E$11+1,1))-AVERAGE(OFFSET($H$3,0,0,'Données projet'!$E$11+1,1))</f>
        <v>300.80663531652721</v>
      </c>
      <c r="BJ31" s="59">
        <f t="shared" si="38"/>
        <v>306.01967513533549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1.8671953522384528</v>
      </c>
      <c r="BQ31" s="21">
        <f>EXP(-LN(2)/25)*BQ30+(1-EXP(-LN(2)/25))/(LN(2)/25)*Calculateur!BL31*Calculateur!BN31*VLOOKUP('Données projet'!$B$11,Paramètres!$A$1:$I$89,3,0)*0.475*44/12</f>
        <v>24.984347423244017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26.851542775482471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7.6601960784313725</v>
      </c>
      <c r="N32" s="13">
        <f>IF('Données projet'!$A$36&gt;35,N31+M32-V31,IF(A32&lt;'Données projet'!$A$36,$K$205^A32,IF(A32='Données projet'!$A$36,'Données projet'!$B$36,N31+M32-V31)))</f>
        <v>222.14568627450973</v>
      </c>
      <c r="O32" s="13">
        <f>N32*VLOOKUP('Données projet'!$B$9,Paramètres!$A$1:$I$89,3,0)*VLOOKUP('Données projet'!$B$9,Paramètres!$A$1:$I$89,5,0)</f>
        <v>103.96418117647056</v>
      </c>
      <c r="P32" s="13">
        <f t="shared" si="33"/>
        <v>27.904261631958295</v>
      </c>
      <c r="Q32" s="20">
        <f t="shared" si="2"/>
        <v>229.67087122468024</v>
      </c>
      <c r="R32" s="59">
        <f t="shared" si="0"/>
        <v>521.78198233579133</v>
      </c>
      <c r="S32" s="59">
        <f ca="1">AVERAGE(OFFSET($R$3,0,0,'Données projet'!$E$9+1,1))-AVERAGE(OFFSET($H$3,0,0,'Données projet'!$E$9+1,1))</f>
        <v>333.20260838961286</v>
      </c>
      <c r="T32" s="59">
        <f t="shared" si="34"/>
        <v>274.05921873522806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517.539161069172</v>
      </c>
      <c r="AN32" s="59">
        <f ca="1">AVERAGE(OFFSET($AM$3,0,0,'Données projet'!$E$10+1,1))-AVERAGE(OFFSET($H$3,0,0,'Données projet'!$E$10+1,1))</f>
        <v>581.88778927327667</v>
      </c>
      <c r="AO32" s="59">
        <f t="shared" si="36"/>
        <v>269.67340993773422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241.61</v>
      </c>
      <c r="BB32" s="12">
        <f>VLOOKUP(A32,'Données projet'!$A$87:$I$107,9,0)</f>
        <v>18.613333333333333</v>
      </c>
      <c r="BC32" s="12">
        <f t="array" ref="BC32">INDEX(BB:BB,MIN(IF(ISNUMBER(BB32:BB228),ROW(BB32:BB228),"")))</f>
        <v>18.613333333333333</v>
      </c>
      <c r="BD32" s="12">
        <f>IF('Données projet'!$A$88&gt;35,BD31+BC32-BL31,IF(A32&lt;'Données projet'!$A$88,$BA$205^A32,IF(A32='Données projet'!$A$88,'Données projet'!$B$88,BD31+BC32-BL31)))</f>
        <v>241.61000000000007</v>
      </c>
      <c r="BE32" s="13">
        <f>BD32*VLOOKUP('Données projet'!$B$11,Paramètres!$A$1:$I$89,3,0)*VLOOKUP('Données projet'!$B$11,Paramètres!$A$1:$I$89,5,0)</f>
        <v>144.48278000000005</v>
      </c>
      <c r="BF32" s="13">
        <f t="shared" si="37"/>
        <v>37.322056105193219</v>
      </c>
      <c r="BG32" s="20">
        <f t="shared" si="7"/>
        <v>316.6434228832116</v>
      </c>
      <c r="BH32" s="59">
        <f t="shared" si="8"/>
        <v>608.75453399432274</v>
      </c>
      <c r="BI32" s="59">
        <f ca="1">AVERAGE(OFFSET($BH$3,0,0,'Données projet'!$E$11+1,1))-AVERAGE(OFFSET($H$3,0,0,'Données projet'!$E$11+1,1))</f>
        <v>300.80663531652721</v>
      </c>
      <c r="BJ32" s="59">
        <f t="shared" si="38"/>
        <v>306.01967513533549</v>
      </c>
      <c r="BK32" s="15">
        <f>IF(ISNA(VLOOKUP(A32,'Données projet'!$A$87:$I$107,3,0)),0,VLOOKUP(A32,'Données projet'!$A$87:$I$107,3,0))</f>
        <v>3</v>
      </c>
      <c r="BL32" s="15">
        <f>IF(ISNA(VLOOKUP(A32,'Données projet'!$A$87:$I$107,4,0)),0,VLOOKUP(A32,'Données projet'!$A$87:$I$107,4,0))</f>
        <v>54.64</v>
      </c>
      <c r="BM32" s="16">
        <f>IF(ISNA(VLOOKUP(A32,'Données projet'!$A$87:$I$107,5,0)),0%,VLOOKUP(A32,'Données projet'!$A$87:$I$107,5,0)*VLOOKUP('Données projet'!$B$11,Paramètres!$A$1:$I$89,7,0))</f>
        <v>4.5000000000000005E-2</v>
      </c>
      <c r="BN32" s="16">
        <f>IF(ISNA(VLOOKUP(A32,'Données projet'!$A$87:$I$107,6,0)),0%,VLOOKUP(A32,'Données projet'!$A$87:$I$107,6,0)*VLOOKUP('Données projet'!$B$11,Paramètres!$A$1:$I$89,7,0))</f>
        <v>0.36000000000000004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3.7811112867125427</v>
      </c>
      <c r="BQ32" s="21">
        <f>EXP(-LN(2)/25)*BQ31+(1-EXP(-LN(2)/25))/(LN(2)/25)*Calculateur!BL32*Calculateur!BN32*VLOOKUP('Données projet'!$B$11,Paramètres!$A$1:$I$89,3,0)*0.475*44/12</f>
        <v>39.843953246524457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43.625064533237001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7.6601960784313725</v>
      </c>
      <c r="N33" s="13">
        <f>IF('Données projet'!$A$36&gt;35,N32+M33-V32,IF(A33&lt;'Données projet'!$A$36,$K$205^A33,IF(A33='Données projet'!$A$36,'Données projet'!$B$36,N32+M33-V32)))</f>
        <v>229.8058823529411</v>
      </c>
      <c r="O33" s="13">
        <f>N33*VLOOKUP('Données projet'!$B$9,Paramètres!$A$1:$I$89,3,0)*VLOOKUP('Données projet'!$B$9,Paramètres!$A$1:$I$89,5,0)</f>
        <v>107.54915294117643</v>
      </c>
      <c r="P33" s="13">
        <f t="shared" si="33"/>
        <v>28.752790830246401</v>
      </c>
      <c r="Q33" s="20">
        <f t="shared" si="2"/>
        <v>237.3925520685614</v>
      </c>
      <c r="R33" s="59">
        <f t="shared" si="0"/>
        <v>530.72588540189474</v>
      </c>
      <c r="S33" s="59">
        <f ca="1">AVERAGE(OFFSET($R$3,0,0,'Données projet'!$E$9+1,1))-AVERAGE(OFFSET($H$3,0,0,'Données projet'!$E$9+1,1))</f>
        <v>333.20260838961286</v>
      </c>
      <c r="T33" s="59">
        <f t="shared" si="34"/>
        <v>274.05921873522806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581.88778927327667</v>
      </c>
      <c r="AO33" s="59">
        <f t="shared" si="36"/>
        <v>269.67340993773422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17.737142857142853</v>
      </c>
      <c r="BD33" s="12">
        <f>IF('Données projet'!$A$88&gt;35,BD32+BC33-BL32,IF(A33&lt;'Données projet'!$A$88,$BA$205^A33,IF(A33='Données projet'!$A$88,'Données projet'!$B$88,BD32+BC33-BL32)))</f>
        <v>204.70714285714291</v>
      </c>
      <c r="BE33" s="13">
        <f>BD33*VLOOKUP('Données projet'!$B$11,Paramètres!$A$1:$I$89,3,0)*VLOOKUP('Données projet'!$B$11,Paramètres!$A$1:$I$89,5,0)</f>
        <v>122.41487142857147</v>
      </c>
      <c r="BF33" s="13">
        <f t="shared" si="37"/>
        <v>32.237573625209684</v>
      </c>
      <c r="BG33" s="20">
        <f t="shared" si="7"/>
        <v>269.35300846866886</v>
      </c>
      <c r="BH33" s="59">
        <f t="shared" si="8"/>
        <v>562.68634180200218</v>
      </c>
      <c r="BI33" s="59">
        <f ca="1">AVERAGE(OFFSET($BH$3,0,0,'Données projet'!$E$11+1,1))-AVERAGE(OFFSET($H$3,0,0,'Données projet'!$E$11+1,1))</f>
        <v>300.80663531652721</v>
      </c>
      <c r="BJ33" s="59">
        <f t="shared" si="38"/>
        <v>306.01967513533549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3.7069660006302714</v>
      </c>
      <c r="BQ33" s="21">
        <f>EXP(-LN(2)/25)*BQ32+(1-EXP(-LN(2)/25))/(LN(2)/25)*Calculateur!BL33*Calculateur!BN33*VLOOKUP('Données projet'!$B$11,Paramètres!$A$1:$I$89,3,0)*0.475*44/12</f>
        <v>38.75441824969581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42.461384250326084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7.6601960784313725</v>
      </c>
      <c r="N34" s="13">
        <f>IF('Données projet'!$A$36&gt;35,N33+M34-V33,IF(A34&lt;'Données projet'!$A$36,$K$205^A34,IF(A34='Données projet'!$A$36,'Données projet'!$B$36,N33+M34-V33)))</f>
        <v>237.46607843137247</v>
      </c>
      <c r="O34" s="13">
        <f>N34*VLOOKUP('Données projet'!$B$9,Paramètres!$A$1:$I$89,3,0)*VLOOKUP('Données projet'!$B$9,Paramètres!$A$1:$I$89,5,0)</f>
        <v>111.13412470588231</v>
      </c>
      <c r="P34" s="13">
        <f t="shared" si="33"/>
        <v>29.59803347107345</v>
      </c>
      <c r="Q34" s="20">
        <f t="shared" si="2"/>
        <v>245.10850882486457</v>
      </c>
      <c r="R34" s="59">
        <f t="shared" si="0"/>
        <v>538.44184215819791</v>
      </c>
      <c r="S34" s="59">
        <f ca="1">AVERAGE(OFFSET($R$3,0,0,'Données projet'!$E$9+1,1))-AVERAGE(OFFSET($H$3,0,0,'Données projet'!$E$9+1,1))</f>
        <v>333.20260838961286</v>
      </c>
      <c r="T34" s="59">
        <f t="shared" si="34"/>
        <v>274.05921873522806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581.88778927327667</v>
      </c>
      <c r="AO34" s="59">
        <f t="shared" si="36"/>
        <v>269.67340993773422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17.737142857142853</v>
      </c>
      <c r="BD34" s="12">
        <f>IF('Données projet'!$A$88&gt;35,BD33+BC34-BL33,IF(A34&lt;'Données projet'!$A$88,$BA$205^A34,IF(A34='Données projet'!$A$88,'Données projet'!$B$88,BD33+BC34-BL33)))</f>
        <v>222.44428571428577</v>
      </c>
      <c r="BE34" s="13">
        <f>BD34*VLOOKUP('Données projet'!$B$11,Paramètres!$A$1:$I$89,3,0)*VLOOKUP('Données projet'!$B$11,Paramètres!$A$1:$I$89,5,0)</f>
        <v>133.02168285714291</v>
      </c>
      <c r="BF34" s="13">
        <f t="shared" si="37"/>
        <v>34.693645048951552</v>
      </c>
      <c r="BG34" s="20">
        <f t="shared" si="7"/>
        <v>292.10419610311448</v>
      </c>
      <c r="BH34" s="59">
        <f t="shared" si="8"/>
        <v>585.43752943644779</v>
      </c>
      <c r="BI34" s="59">
        <f ca="1">AVERAGE(OFFSET($BH$3,0,0,'Données projet'!$E$11+1,1))-AVERAGE(OFFSET($H$3,0,0,'Données projet'!$E$11+1,1))</f>
        <v>300.80663531652721</v>
      </c>
      <c r="BJ34" s="59">
        <f t="shared" si="38"/>
        <v>306.01967513533549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3.6342746583839145</v>
      </c>
      <c r="BQ34" s="21">
        <f>EXP(-LN(2)/25)*BQ33+(1-EXP(-LN(2)/25))/(LN(2)/25)*Calculateur!BL34*Calculateur!BN34*VLOOKUP('Données projet'!$B$11,Paramètres!$A$1:$I$89,3,0)*0.475*44/12</f>
        <v>37.694676644651594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41.32895130303551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7.6601960784313725</v>
      </c>
      <c r="N35" s="13">
        <f>IF('Données projet'!$A$36&gt;35,N34+M35-V34,IF(A35&lt;'Données projet'!$A$36,$K$205^A35,IF(A35='Données projet'!$A$36,'Données projet'!$B$36,N34+M35-V34)))</f>
        <v>245.12627450980384</v>
      </c>
      <c r="O35" s="13">
        <f>N35*VLOOKUP('Données projet'!$B$9,Paramètres!$A$1:$I$89,3,0)*VLOOKUP('Données projet'!$B$9,Paramètres!$A$1:$I$89,5,0)</f>
        <v>114.7190964705882</v>
      </c>
      <c r="P35" s="13">
        <f t="shared" si="33"/>
        <v>30.440107732592779</v>
      </c>
      <c r="Q35" s="20">
        <f t="shared" ref="Q35:Q66" si="53">(O35+P35)*0.475*44/12</f>
        <v>252.81894732054016</v>
      </c>
      <c r="R35" s="59">
        <f t="shared" si="0"/>
        <v>546.1522806538735</v>
      </c>
      <c r="S35" s="59">
        <f ca="1">AVERAGE(OFFSET($R$3,0,0,'Données projet'!$E$9+1,1))-AVERAGE(OFFSET($H$3,0,0,'Données projet'!$E$9+1,1))</f>
        <v>333.20260838961286</v>
      </c>
      <c r="T35" s="59">
        <f t="shared" si="34"/>
        <v>274.05921873522806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581.88778927327667</v>
      </c>
      <c r="AO35" s="59">
        <f t="shared" si="36"/>
        <v>269.67340993773422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17.737142857142853</v>
      </c>
      <c r="BD35" s="12">
        <f>IF('Données projet'!$A$88&gt;35,BD34+BC35-BL34,IF(A35&lt;'Données projet'!$A$88,$BA$205^A35,IF(A35='Données projet'!$A$88,'Données projet'!$B$88,BD34+BC35-BL34)))</f>
        <v>240.18142857142863</v>
      </c>
      <c r="BE35" s="13">
        <f>BD35*VLOOKUP('Données projet'!$B$11,Paramètres!$A$1:$I$89,3,0)*VLOOKUP('Données projet'!$B$11,Paramètres!$A$1:$I$89,5,0)</f>
        <v>143.62849428571434</v>
      </c>
      <c r="BF35" s="13">
        <f t="shared" si="37"/>
        <v>37.127000660847131</v>
      </c>
      <c r="BG35" s="20">
        <f t="shared" si="7"/>
        <v>314.81582036526123</v>
      </c>
      <c r="BH35" s="59">
        <f t="shared" si="8"/>
        <v>608.14915369859455</v>
      </c>
      <c r="BI35" s="59">
        <f ca="1">AVERAGE(OFFSET($BH$3,0,0,'Données projet'!$E$11+1,1))-AVERAGE(OFFSET($H$3,0,0,'Données projet'!$E$11+1,1))</f>
        <v>300.80663531652721</v>
      </c>
      <c r="BJ35" s="59">
        <f t="shared" si="38"/>
        <v>306.01967513533549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3.5630087490216678</v>
      </c>
      <c r="BQ35" s="21">
        <f>EXP(-LN(2)/25)*BQ34+(1-EXP(-LN(2)/25))/(LN(2)/25)*Calculateur!BL35*Calculateur!BN35*VLOOKUP('Données projet'!$B$11,Paramètres!$A$1:$I$89,3,0)*0.475*44/12</f>
        <v>36.663913729526705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40.226922478548374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7.6601960784313725</v>
      </c>
      <c r="N36" s="13">
        <f>IF('Données projet'!$A$36&gt;35,N35+M36-V35,IF(A36&lt;'Données projet'!$A$36,$K$205^A36,IF(A36='Données projet'!$A$36,'Données projet'!$B$36,N35+M36-V35)))</f>
        <v>252.7864705882352</v>
      </c>
      <c r="O36" s="13">
        <f>N36*VLOOKUP('Données projet'!$B$9,Paramètres!$A$1:$I$89,3,0)*VLOOKUP('Données projet'!$B$9,Paramètres!$A$1:$I$89,5,0)</f>
        <v>118.30406823529408</v>
      </c>
      <c r="P36" s="13">
        <f t="shared" si="33"/>
        <v>31.279123987293506</v>
      </c>
      <c r="Q36" s="20">
        <f t="shared" si="53"/>
        <v>260.52405978767342</v>
      </c>
      <c r="R36" s="59">
        <f t="shared" si="0"/>
        <v>553.85739312100668</v>
      </c>
      <c r="S36" s="59">
        <f ca="1">AVERAGE(OFFSET($R$3,0,0,'Données projet'!$E$9+1,1))-AVERAGE(OFFSET($H$3,0,0,'Données projet'!$E$9+1,1))</f>
        <v>333.20260838961286</v>
      </c>
      <c r="T36" s="59">
        <f t="shared" si="34"/>
        <v>274.05921873522806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581.88778927327667</v>
      </c>
      <c r="AO36" s="59">
        <f t="shared" si="36"/>
        <v>269.67340993773422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17.737142857142853</v>
      </c>
      <c r="BD36" s="12">
        <f>IF('Données projet'!$A$88&gt;35,BD35+BC36-BL35,IF(A36&lt;'Données projet'!$A$88,$BA$205^A36,IF(A36='Données projet'!$A$88,'Données projet'!$B$88,BD35+BC36-BL35)))</f>
        <v>257.91857142857145</v>
      </c>
      <c r="BE36" s="13">
        <f>BD36*VLOOKUP('Données projet'!$B$11,Paramètres!$A$1:$I$89,3,0)*VLOOKUP('Données projet'!$B$11,Paramètres!$A$1:$I$89,5,0)</f>
        <v>154.23530571428574</v>
      </c>
      <c r="BF36" s="13">
        <f t="shared" si="37"/>
        <v>39.539508761330566</v>
      </c>
      <c r="BG36" s="20">
        <f t="shared" si="7"/>
        <v>337.49113521169841</v>
      </c>
      <c r="BH36" s="59">
        <f t="shared" si="8"/>
        <v>630.82446854503178</v>
      </c>
      <c r="BI36" s="59">
        <f ca="1">AVERAGE(OFFSET($BH$3,0,0,'Données projet'!$E$11+1,1))-AVERAGE(OFFSET($H$3,0,0,'Données projet'!$E$11+1,1))</f>
        <v>300.80663531652721</v>
      </c>
      <c r="BJ36" s="59">
        <f t="shared" si="38"/>
        <v>306.01967513533549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3.4931403206741019</v>
      </c>
      <c r="BQ36" s="21">
        <f>EXP(-LN(2)/25)*BQ35+(1-EXP(-LN(2)/25))/(LN(2)/25)*Calculateur!BL36*Calculateur!BN36*VLOOKUP('Données projet'!$B$11,Paramètres!$A$1:$I$89,3,0)*0.475*44/12</f>
        <v>35.661337080521371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39.154477401195471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7.6601960784313725</v>
      </c>
      <c r="N37" s="13">
        <f>IF('Données projet'!$A$36&gt;35,N36+M37-V36,IF(A37&lt;'Données projet'!$A$36,$K$205^A37,IF(A37='Données projet'!$A$36,'Données projet'!$B$36,N36+M37-V36)))</f>
        <v>260.4466666666666</v>
      </c>
      <c r="O37" s="13">
        <f>N37*VLOOKUP('Données projet'!$B$9,Paramètres!$A$1:$I$89,3,0)*VLOOKUP('Données projet'!$B$9,Paramètres!$A$1:$I$89,5,0)</f>
        <v>121.88903999999997</v>
      </c>
      <c r="P37" s="13">
        <f t="shared" si="33"/>
        <v>32.115185538298832</v>
      </c>
      <c r="Q37" s="20">
        <f t="shared" si="53"/>
        <v>268.22402614587037</v>
      </c>
      <c r="R37" s="59">
        <f t="shared" si="0"/>
        <v>561.55735947920368</v>
      </c>
      <c r="S37" s="59">
        <f ca="1">AVERAGE(OFFSET($R$3,0,0,'Données projet'!$E$9+1,1))-AVERAGE(OFFSET($H$3,0,0,'Données projet'!$E$9+1,1))</f>
        <v>333.20260838961286</v>
      </c>
      <c r="T37" s="59">
        <f t="shared" si="34"/>
        <v>274.05921873522806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581.88778927327667</v>
      </c>
      <c r="AO37" s="59">
        <f t="shared" si="36"/>
        <v>269.67340993773422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17.737142857142853</v>
      </c>
      <c r="BD37" s="12">
        <f>IF('Données projet'!$A$88&gt;35,BD36+BC37-BL36,IF(A37&lt;'Données projet'!$A$88,$BA$205^A37,IF(A37='Données projet'!$A$88,'Données projet'!$B$88,BD36+BC37-BL36)))</f>
        <v>275.65571428571428</v>
      </c>
      <c r="BE37" s="13">
        <f>BD37*VLOOKUP('Données projet'!$B$11,Paramètres!$A$1:$I$89,3,0)*VLOOKUP('Données projet'!$B$11,Paramètres!$A$1:$I$89,5,0)</f>
        <v>164.84211714285715</v>
      </c>
      <c r="BF37" s="13">
        <f t="shared" si="37"/>
        <v>41.932766136496305</v>
      </c>
      <c r="BG37" s="20">
        <f t="shared" si="7"/>
        <v>360.13292171154058</v>
      </c>
      <c r="BH37" s="59">
        <f t="shared" si="8"/>
        <v>653.46625504487383</v>
      </c>
      <c r="BI37" s="59">
        <f ca="1">AVERAGE(OFFSET($BH$3,0,0,'Données projet'!$E$11+1,1))-AVERAGE(OFFSET($H$3,0,0,'Données projet'!$E$11+1,1))</f>
        <v>300.80663531652721</v>
      </c>
      <c r="BJ37" s="59">
        <f t="shared" si="38"/>
        <v>306.01967513533549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3.4246419695908985</v>
      </c>
      <c r="BQ37" s="21">
        <f>EXP(-LN(2)/25)*BQ36+(1-EXP(-LN(2)/25))/(LN(2)/25)*Calculateur!BL37*Calculateur!BN37*VLOOKUP('Données projet'!$B$11,Paramètres!$A$1:$I$89,3,0)*0.475*44/12</f>
        <v>34.686175942706299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38.1108179122972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7.6601960784313725</v>
      </c>
      <c r="N38" s="13">
        <f>IF('Données projet'!$A$36&gt;35,N37+M38-V37,IF(A38&lt;'Données projet'!$A$36,$K$205^A38,IF(A38='Données projet'!$A$36,'Données projet'!$B$36,N37+M38-V37)))</f>
        <v>268.106862745098</v>
      </c>
      <c r="O38" s="13">
        <f>N38*VLOOKUP('Données projet'!$B$9,Paramètres!$A$1:$I$89,3,0)*VLOOKUP('Données projet'!$B$9,Paramètres!$A$1:$I$89,5,0)</f>
        <v>125.47401176470586</v>
      </c>
      <c r="P38" s="13">
        <f t="shared" si="33"/>
        <v>32.948389266607037</v>
      </c>
      <c r="Q38" s="20">
        <f t="shared" si="53"/>
        <v>275.91901512953666</v>
      </c>
      <c r="R38" s="59">
        <f t="shared" si="0"/>
        <v>569.25234846287003</v>
      </c>
      <c r="S38" s="59">
        <f ca="1">AVERAGE(OFFSET($R$3,0,0,'Données projet'!$E$9+1,1))-AVERAGE(OFFSET($H$3,0,0,'Données projet'!$E$9+1,1))</f>
        <v>333.20260838961286</v>
      </c>
      <c r="T38" s="59">
        <f t="shared" si="34"/>
        <v>274.05921873522806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581.88778927327667</v>
      </c>
      <c r="AO38" s="59">
        <f t="shared" si="36"/>
        <v>269.67340993773422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17.737142857142853</v>
      </c>
      <c r="BD38" s="12">
        <f>IF('Données projet'!$A$88&gt;35,BD37+BC38-BL37,IF(A38&lt;'Données projet'!$A$88,$BA$205^A38,IF(A38='Données projet'!$A$88,'Données projet'!$B$88,BD37+BC38-BL37)))</f>
        <v>293.39285714285711</v>
      </c>
      <c r="BE38" s="13">
        <f>BD38*VLOOKUP('Données projet'!$B$11,Paramètres!$A$1:$I$89,3,0)*VLOOKUP('Données projet'!$B$11,Paramètres!$A$1:$I$89,5,0)</f>
        <v>175.44892857142858</v>
      </c>
      <c r="BF38" s="13">
        <f t="shared" si="37"/>
        <v>44.308152462369684</v>
      </c>
      <c r="BG38" s="20">
        <f t="shared" si="7"/>
        <v>382.7435828005319</v>
      </c>
      <c r="BH38" s="59">
        <f t="shared" si="8"/>
        <v>676.07691613386521</v>
      </c>
      <c r="BI38" s="59">
        <f ca="1">AVERAGE(OFFSET($BH$3,0,0,'Données projet'!$E$11+1,1))-AVERAGE(OFFSET($H$3,0,0,'Données projet'!$E$11+1,1))</f>
        <v>300.80663531652721</v>
      </c>
      <c r="BJ38" s="59">
        <f t="shared" si="38"/>
        <v>306.01967513533549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3.3574868293925682</v>
      </c>
      <c r="BQ38" s="21">
        <f>EXP(-LN(2)/25)*BQ37+(1-EXP(-LN(2)/25))/(LN(2)/25)*Calculateur!BL38*Calculateur!BN38*VLOOKUP('Données projet'!$B$11,Paramètres!$A$1:$I$89,3,0)*0.475*44/12</f>
        <v>33.737680637486278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37.095167466878848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7.6601960784313725</v>
      </c>
      <c r="N39" s="13">
        <f>IF('Données projet'!$A$36&gt;35,N38+M39-V38,IF(A39&lt;'Données projet'!$A$36,$K$205^A39,IF(A39='Données projet'!$A$36,'Données projet'!$B$36,N38+M39-V38)))</f>
        <v>275.7670588235294</v>
      </c>
      <c r="O39" s="13">
        <f>N39*VLOOKUP('Données projet'!$B$9,Paramètres!$A$1:$I$89,3,0)*VLOOKUP('Données projet'!$B$9,Paramètres!$A$1:$I$89,5,0)</f>
        <v>129.05898352941176</v>
      </c>
      <c r="P39" s="13">
        <f t="shared" si="33"/>
        <v>33.778826202282794</v>
      </c>
      <c r="Q39" s="20">
        <f t="shared" si="53"/>
        <v>283.60918528270133</v>
      </c>
      <c r="R39" s="59">
        <f t="shared" si="0"/>
        <v>576.9425186160347</v>
      </c>
      <c r="S39" s="59">
        <f ca="1">AVERAGE(OFFSET($R$3,0,0,'Données projet'!$E$9+1,1))-AVERAGE(OFFSET($H$3,0,0,'Données projet'!$E$9+1,1))</f>
        <v>333.20260838961286</v>
      </c>
      <c r="T39" s="59">
        <f t="shared" si="34"/>
        <v>274.05921873522806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581.88778927327667</v>
      </c>
      <c r="AO39" s="59">
        <f t="shared" si="36"/>
        <v>269.67340993773422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311.13</v>
      </c>
      <c r="BB39" s="12">
        <f>VLOOKUP(A39,'Données projet'!$A$87:$I$107,9,0)</f>
        <v>17.737142857142853</v>
      </c>
      <c r="BC39" s="12">
        <f t="array" ref="BC39">INDEX(BB:BB,MIN(IF(ISNUMBER(BB39:BB235),ROW(BB39:BB235),"")))</f>
        <v>17.737142857142853</v>
      </c>
      <c r="BD39" s="12">
        <f>IF('Données projet'!$A$88&gt;35,BD38+BC39-BL38,IF(A39&lt;'Données projet'!$A$88,$BA$205^A39,IF(A39='Données projet'!$A$88,'Données projet'!$B$88,BD38+BC39-BL38)))</f>
        <v>311.12999999999994</v>
      </c>
      <c r="BE39" s="13">
        <f>BD39*VLOOKUP('Données projet'!$B$11,Paramètres!$A$1:$I$89,3,0)*VLOOKUP('Données projet'!$B$11,Paramètres!$A$1:$I$89,5,0)</f>
        <v>186.05573999999996</v>
      </c>
      <c r="BF39" s="13">
        <f t="shared" si="37"/>
        <v>46.66687117215772</v>
      </c>
      <c r="BG39" s="20">
        <f t="shared" si="7"/>
        <v>405.32521445817457</v>
      </c>
      <c r="BH39" s="59">
        <f t="shared" si="8"/>
        <v>698.65854779150789</v>
      </c>
      <c r="BI39" s="59">
        <f ca="1">AVERAGE(OFFSET($BH$3,0,0,'Données projet'!$E$11+1,1))-AVERAGE(OFFSET($H$3,0,0,'Données projet'!$E$11+1,1))</f>
        <v>300.80663531652721</v>
      </c>
      <c r="BJ39" s="59">
        <f t="shared" si="38"/>
        <v>306.01967513533549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76.069999999999993</v>
      </c>
      <c r="BM39" s="16">
        <f>IF(ISNA(VLOOKUP(A39,'Données projet'!$A$87:$I$107,5,0)),0%,VLOOKUP(A39,'Données projet'!$A$87:$I$107,5,0)*VLOOKUP('Données projet'!$B$11,Paramètres!$A$1:$I$89,7,0))</f>
        <v>0.13500000000000001</v>
      </c>
      <c r="BN39" s="16">
        <f>IF(ISNA(VLOOKUP(A39,'Données projet'!$A$87:$I$107,6,0)),0%,VLOOKUP(A39,'Données projet'!$A$87:$I$107,6,0)*VLOOKUP('Données projet'!$B$11,Paramètres!$A$1:$I$89,7,0))</f>
        <v>0.22500000000000001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11.438254793987262</v>
      </c>
      <c r="BQ39" s="21">
        <f>EXP(-LN(2)/25)*BQ38+(1-EXP(-LN(2)/25))/(LN(2)/25)*Calculateur!BL39*Calculateur!BN39*VLOOKUP('Données projet'!$B$11,Paramètres!$A$1:$I$89,3,0)*0.475*44/12</f>
        <v>46.339338553954832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57.777593347942094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7.6601960784313725</v>
      </c>
      <c r="N40" s="13">
        <f>IF('Données projet'!$A$36&gt;35,N39+M40-V39,IF(A40&lt;'Données projet'!$A$36,$K$205^A40,IF(A40='Données projet'!$A$36,'Données projet'!$B$36,N39+M40-V39)))</f>
        <v>283.42725490196079</v>
      </c>
      <c r="O40" s="13">
        <f>N40*VLOOKUP('Données projet'!$B$9,Paramètres!$A$1:$I$89,3,0)*VLOOKUP('Données projet'!$B$9,Paramètres!$A$1:$I$89,5,0)</f>
        <v>132.64395529411766</v>
      </c>
      <c r="P40" s="13">
        <f t="shared" si="33"/>
        <v>34.606582030398712</v>
      </c>
      <c r="Q40" s="20">
        <f t="shared" si="53"/>
        <v>291.29468584019929</v>
      </c>
      <c r="R40" s="59">
        <f t="shared" si="0"/>
        <v>584.62801917353261</v>
      </c>
      <c r="S40" s="59">
        <f ca="1">AVERAGE(OFFSET($R$3,0,0,'Données projet'!$E$9+1,1))-AVERAGE(OFFSET($H$3,0,0,'Données projet'!$E$9+1,1))</f>
        <v>333.20260838961286</v>
      </c>
      <c r="T40" s="59">
        <f t="shared" si="34"/>
        <v>274.05921873522806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581.88778927327667</v>
      </c>
      <c r="AO40" s="59">
        <f t="shared" si="36"/>
        <v>269.67340993773422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16.536250000000003</v>
      </c>
      <c r="BD40" s="12">
        <f>IF('Données projet'!$A$88&gt;35,BD39+BC40-BL39,IF(A40&lt;'Données projet'!$A$88,$BA$205^A40,IF(A40='Données projet'!$A$88,'Données projet'!$B$88,BD39+BC40-BL39)))</f>
        <v>251.59624999999994</v>
      </c>
      <c r="BE40" s="13">
        <f>BD40*VLOOKUP('Données projet'!$B$11,Paramètres!$A$1:$I$89,3,0)*VLOOKUP('Données projet'!$B$11,Paramètres!$A$1:$I$89,5,0)</f>
        <v>150.45455749999999</v>
      </c>
      <c r="BF40" s="13">
        <f t="shared" si="37"/>
        <v>38.681867245543785</v>
      </c>
      <c r="BG40" s="20">
        <f t="shared" si="7"/>
        <v>329.4126064318221</v>
      </c>
      <c r="BH40" s="59">
        <f t="shared" si="8"/>
        <v>622.74593976515541</v>
      </c>
      <c r="BI40" s="59">
        <f ca="1">AVERAGE(OFFSET($BH$3,0,0,'Données projet'!$E$11+1,1))-AVERAGE(OFFSET($H$3,0,0,'Données projet'!$E$11+1,1))</f>
        <v>300.80663531652721</v>
      </c>
      <c r="BJ40" s="59">
        <f t="shared" si="38"/>
        <v>306.01967513533549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11.213957594123709</v>
      </c>
      <c r="BQ40" s="21">
        <f>EXP(-LN(2)/25)*BQ39+(1-EXP(-LN(2)/25))/(LN(2)/25)*Calculateur!BL40*Calculateur!BN40*VLOOKUP('Données projet'!$B$11,Paramètres!$A$1:$I$89,3,0)*0.475*44/12</f>
        <v>45.072186904317036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56.286144498440748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7.6601960784313725</v>
      </c>
      <c r="N41" s="13">
        <f>IF('Données projet'!$A$36&gt;35,N40+M41-V40,IF(A41&lt;'Données projet'!$A$36,$K$205^A41,IF(A41='Données projet'!$A$36,'Données projet'!$B$36,N40+M41-V40)))</f>
        <v>291.08745098039219</v>
      </c>
      <c r="O41" s="13">
        <f>N41*VLOOKUP('Données projet'!$B$9,Paramètres!$A$1:$I$89,3,0)*VLOOKUP('Données projet'!$B$9,Paramètres!$A$1:$I$89,5,0)</f>
        <v>136.22892705882356</v>
      </c>
      <c r="P41" s="13">
        <f t="shared" si="33"/>
        <v>35.431737540742127</v>
      </c>
      <c r="Q41" s="20">
        <f t="shared" si="53"/>
        <v>298.9756575109102</v>
      </c>
      <c r="R41" s="59">
        <f t="shared" si="0"/>
        <v>592.30899084424345</v>
      </c>
      <c r="S41" s="59">
        <f ca="1">AVERAGE(OFFSET($R$3,0,0,'Données projet'!$E$9+1,1))-AVERAGE(OFFSET($H$3,0,0,'Données projet'!$E$9+1,1))</f>
        <v>333.20260838961286</v>
      </c>
      <c r="T41" s="59">
        <f t="shared" si="34"/>
        <v>274.05921873522806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581.88778927327667</v>
      </c>
      <c r="AO41" s="59">
        <f t="shared" si="36"/>
        <v>269.67340993773422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16.536250000000003</v>
      </c>
      <c r="BD41" s="12">
        <f>IF('Données projet'!$A$88&gt;35,BD40+BC41-BL40,IF(A41&lt;'Données projet'!$A$88,$BA$205^A41,IF(A41='Données projet'!$A$88,'Données projet'!$B$88,BD40+BC41-BL40)))</f>
        <v>268.13249999999994</v>
      </c>
      <c r="BE41" s="13">
        <f>BD41*VLOOKUP('Données projet'!$B$11,Paramètres!$A$1:$I$89,3,0)*VLOOKUP('Données projet'!$B$11,Paramètres!$A$1:$I$89,5,0)</f>
        <v>160.34323499999996</v>
      </c>
      <c r="BF41" s="13">
        <f t="shared" si="37"/>
        <v>40.919923361013716</v>
      </c>
      <c r="BG41" s="20">
        <f t="shared" si="7"/>
        <v>350.53333414543209</v>
      </c>
      <c r="BH41" s="59">
        <f t="shared" si="8"/>
        <v>643.86666747876541</v>
      </c>
      <c r="BI41" s="59">
        <f ca="1">AVERAGE(OFFSET($BH$3,0,0,'Données projet'!$E$11+1,1))-AVERAGE(OFFSET($H$3,0,0,'Données projet'!$E$11+1,1))</f>
        <v>300.80663531652721</v>
      </c>
      <c r="BJ41" s="59">
        <f t="shared" si="38"/>
        <v>306.01967513533549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10.994058725541697</v>
      </c>
      <c r="BQ41" s="21">
        <f>EXP(-LN(2)/25)*BQ40+(1-EXP(-LN(2)/25))/(LN(2)/25)*Calculateur!BL41*Calculateur!BN41*VLOOKUP('Données projet'!$B$11,Paramètres!$A$1:$I$89,3,0)*0.475*44/12</f>
        <v>43.839685583175189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54.833744308716888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7.6601960784313725</v>
      </c>
      <c r="N42" s="13">
        <f>IF('Données projet'!$A$36&gt;35,N41+M42-V41,IF(A42&lt;'Données projet'!$A$36,$K$205^A42,IF(A42='Données projet'!$A$36,'Données projet'!$B$36,N41+M42-V41)))</f>
        <v>298.74764705882359</v>
      </c>
      <c r="O42" s="13">
        <f>N42*VLOOKUP('Données projet'!$B$9,Paramètres!$A$1:$I$89,3,0)*VLOOKUP('Données projet'!$B$9,Paramètres!$A$1:$I$89,5,0)</f>
        <v>139.81389882352943</v>
      </c>
      <c r="P42" s="13">
        <f t="shared" si="33"/>
        <v>36.254369028853056</v>
      </c>
      <c r="Q42" s="20">
        <f t="shared" si="53"/>
        <v>306.65223317623287</v>
      </c>
      <c r="R42" s="59">
        <f t="shared" si="0"/>
        <v>599.98556650956618</v>
      </c>
      <c r="S42" s="59">
        <f ca="1">AVERAGE(OFFSET($R$3,0,0,'Données projet'!$E$9+1,1))-AVERAGE(OFFSET($H$3,0,0,'Données projet'!$E$9+1,1))</f>
        <v>333.20260838961286</v>
      </c>
      <c r="T42" s="59">
        <f t="shared" si="34"/>
        <v>274.05921873522806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581.88778927327667</v>
      </c>
      <c r="AO42" s="59">
        <f t="shared" si="36"/>
        <v>269.67340993773422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16.536250000000003</v>
      </c>
      <c r="BD42" s="12">
        <f>IF('Données projet'!$A$88&gt;35,BD41+BC42-BL41,IF(A42&lt;'Données projet'!$A$88,$BA$205^A42,IF(A42='Données projet'!$A$88,'Données projet'!$B$88,BD41+BC42-BL41)))</f>
        <v>284.66874999999993</v>
      </c>
      <c r="BE42" s="13">
        <f>BD42*VLOOKUP('Données projet'!$B$11,Paramètres!$A$1:$I$89,3,0)*VLOOKUP('Données projet'!$B$11,Paramètres!$A$1:$I$89,5,0)</f>
        <v>170.23191249999999</v>
      </c>
      <c r="BF42" s="13">
        <f t="shared" si="37"/>
        <v>43.141960148805921</v>
      </c>
      <c r="BG42" s="20">
        <f t="shared" si="7"/>
        <v>371.62616153000363</v>
      </c>
      <c r="BH42" s="59">
        <f t="shared" si="8"/>
        <v>664.95949486333689</v>
      </c>
      <c r="BI42" s="59">
        <f ca="1">AVERAGE(OFFSET($BH$3,0,0,'Données projet'!$E$11+1,1))-AVERAGE(OFFSET($H$3,0,0,'Données projet'!$E$11+1,1))</f>
        <v>300.80663531652721</v>
      </c>
      <c r="BJ42" s="59">
        <f t="shared" si="38"/>
        <v>306.01967513533549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10.778471939647513</v>
      </c>
      <c r="BQ42" s="21">
        <f>EXP(-LN(2)/25)*BQ41+(1-EXP(-LN(2)/25))/(LN(2)/25)*Calculateur!BL42*Calculateur!BN42*VLOOKUP('Données projet'!$B$11,Paramètres!$A$1:$I$89,3,0)*0.475*44/12</f>
        <v>42.640887075474396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53.419359015121913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7.6601960784313725</v>
      </c>
      <c r="N43" s="13">
        <f>IF('Données projet'!$A$36&gt;35,N42+M43-V42,IF(A43&lt;'Données projet'!$A$36,$K$205^A43,IF(A43='Données projet'!$A$36,'Données projet'!$B$36,N42+M43-V42)))</f>
        <v>306.40784313725499</v>
      </c>
      <c r="O43" s="13">
        <f>N43*VLOOKUP('Données projet'!$B$9,Paramètres!$A$1:$I$89,3,0)*VLOOKUP('Données projet'!$B$9,Paramètres!$A$1:$I$89,5,0)</f>
        <v>143.39887058823533</v>
      </c>
      <c r="P43" s="13">
        <f t="shared" si="33"/>
        <v>37.074548654772258</v>
      </c>
      <c r="Q43" s="20">
        <f t="shared" si="53"/>
        <v>314.32453851490487</v>
      </c>
      <c r="R43" s="59">
        <f t="shared" si="0"/>
        <v>607.65787184823819</v>
      </c>
      <c r="S43" s="59">
        <f ca="1">AVERAGE(OFFSET($R$3,0,0,'Données projet'!$E$9+1,1))-AVERAGE(OFFSET($H$3,0,0,'Données projet'!$E$9+1,1))</f>
        <v>333.20260838961286</v>
      </c>
      <c r="T43" s="59">
        <f t="shared" si="34"/>
        <v>274.05921873522806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581.88778927327667</v>
      </c>
      <c r="AO43" s="59">
        <f t="shared" si="36"/>
        <v>269.67340993773422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16.536250000000003</v>
      </c>
      <c r="BD43" s="12">
        <f>IF('Données projet'!$A$88&gt;35,BD42+BC43-BL42,IF(A43&lt;'Données projet'!$A$88,$BA$205^A43,IF(A43='Données projet'!$A$88,'Données projet'!$B$88,BD42+BC43-BL42)))</f>
        <v>301.20499999999993</v>
      </c>
      <c r="BE43" s="13">
        <f>BD43*VLOOKUP('Données projet'!$B$11,Paramètres!$A$1:$I$89,3,0)*VLOOKUP('Données projet'!$B$11,Paramètres!$A$1:$I$89,5,0)</f>
        <v>180.12058999999999</v>
      </c>
      <c r="BF43" s="13">
        <f t="shared" si="37"/>
        <v>45.349014174000445</v>
      </c>
      <c r="BG43" s="20">
        <f t="shared" si="7"/>
        <v>392.69289393638411</v>
      </c>
      <c r="BH43" s="59">
        <f t="shared" si="8"/>
        <v>686.02622726971742</v>
      </c>
      <c r="BI43" s="59">
        <f ca="1">AVERAGE(OFFSET($BH$3,0,0,'Données projet'!$E$11+1,1))-AVERAGE(OFFSET($H$3,0,0,'Données projet'!$E$11+1,1))</f>
        <v>300.80663531652721</v>
      </c>
      <c r="BJ43" s="59">
        <f t="shared" si="38"/>
        <v>306.01967513533549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10.567112679129758</v>
      </c>
      <c r="BQ43" s="21">
        <f>EXP(-LN(2)/25)*BQ42+(1-EXP(-LN(2)/25))/(LN(2)/25)*Calculateur!BL43*Calculateur!BN43*VLOOKUP('Données projet'!$B$11,Paramètres!$A$1:$I$89,3,0)*0.475*44/12</f>
        <v>41.474869776008752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52.041982455138509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7.6601960784313725</v>
      </c>
      <c r="N44" s="13">
        <f>IF('Données projet'!$A$36&gt;35,N43+M44-V43,IF(A44&lt;'Données projet'!$A$36,$K$205^A44,IF(A44='Données projet'!$A$36,'Données projet'!$B$36,N43+M44-V43)))</f>
        <v>314.06803921568638</v>
      </c>
      <c r="O44" s="13">
        <f>N44*VLOOKUP('Données projet'!$B$9,Paramètres!$A$1:$I$89,3,0)*VLOOKUP('Données projet'!$B$9,Paramètres!$A$1:$I$89,5,0)</f>
        <v>146.98384235294122</v>
      </c>
      <c r="P44" s="13">
        <f t="shared" si="33"/>
        <v>37.892344764904891</v>
      </c>
      <c r="Q44" s="20">
        <f t="shared" si="53"/>
        <v>321.99269256358195</v>
      </c>
      <c r="R44" s="59">
        <f t="shared" si="0"/>
        <v>615.32602589691533</v>
      </c>
      <c r="S44" s="59">
        <f ca="1">AVERAGE(OFFSET($R$3,0,0,'Données projet'!$E$9+1,1))-AVERAGE(OFFSET($H$3,0,0,'Données projet'!$E$9+1,1))</f>
        <v>333.20260838961286</v>
      </c>
      <c r="T44" s="59">
        <f t="shared" si="34"/>
        <v>274.05921873522806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581.88778927327667</v>
      </c>
      <c r="AO44" s="59">
        <f t="shared" si="36"/>
        <v>269.67340993773422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16.536250000000003</v>
      </c>
      <c r="BD44" s="12">
        <f>IF('Données projet'!$A$88&gt;35,BD43+BC44-BL43,IF(A44&lt;'Données projet'!$A$88,$BA$205^A44,IF(A44='Données projet'!$A$88,'Données projet'!$B$88,BD43+BC44-BL43)))</f>
        <v>317.74124999999992</v>
      </c>
      <c r="BE44" s="13">
        <f>BD44*VLOOKUP('Données projet'!$B$11,Paramètres!$A$1:$I$89,3,0)*VLOOKUP('Données projet'!$B$11,Paramètres!$A$1:$I$89,5,0)</f>
        <v>190.00926749999999</v>
      </c>
      <c r="BF44" s="13">
        <f t="shared" si="37"/>
        <v>47.542001758079778</v>
      </c>
      <c r="BG44" s="20">
        <f t="shared" si="7"/>
        <v>413.73512729115561</v>
      </c>
      <c r="BH44" s="59">
        <f t="shared" si="8"/>
        <v>707.06846062448892</v>
      </c>
      <c r="BI44" s="59">
        <f ca="1">AVERAGE(OFFSET($BH$3,0,0,'Données projet'!$E$11+1,1))-AVERAGE(OFFSET($H$3,0,0,'Données projet'!$E$11+1,1))</f>
        <v>300.80663531652721</v>
      </c>
      <c r="BJ44" s="59">
        <f t="shared" si="38"/>
        <v>306.01967513533549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10.359898044794338</v>
      </c>
      <c r="BQ44" s="21">
        <f>EXP(-LN(2)/25)*BQ43+(1-EXP(-LN(2)/25))/(LN(2)/25)*Calculateur!BL44*Calculateur!BN44*VLOOKUP('Données projet'!$B$11,Paramètres!$A$1:$I$89,3,0)*0.475*44/12</f>
        <v>40.340737280915185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50.700635325709527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7.6601960784313725</v>
      </c>
      <c r="N45" s="13">
        <f>IF('Données projet'!$A$36&gt;35,N44+M45-V44,IF(A45&lt;'Données projet'!$A$36,$K$205^A45,IF(A45='Données projet'!$A$36,'Données projet'!$B$36,N44+M45-V44)))</f>
        <v>321.72823529411778</v>
      </c>
      <c r="O45" s="13">
        <f>N45*VLOOKUP('Données projet'!$B$9,Paramètres!$A$1:$I$89,3,0)*VLOOKUP('Données projet'!$B$9,Paramètres!$A$1:$I$89,5,0)</f>
        <v>150.56881411764712</v>
      </c>
      <c r="P45" s="13">
        <f t="shared" si="33"/>
        <v>38.707822181598679</v>
      </c>
      <c r="Q45" s="20">
        <f t="shared" si="53"/>
        <v>329.6568082211864</v>
      </c>
      <c r="R45" s="59">
        <f t="shared" si="0"/>
        <v>622.99014155451971</v>
      </c>
      <c r="S45" s="59">
        <f ca="1">AVERAGE(OFFSET($R$3,0,0,'Données projet'!$E$9+1,1))-AVERAGE(OFFSET($H$3,0,0,'Données projet'!$E$9+1,1))</f>
        <v>333.20260838961286</v>
      </c>
      <c r="T45" s="59">
        <f t="shared" si="34"/>
        <v>274.05921873522806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581.88778927327667</v>
      </c>
      <c r="AO45" s="59">
        <f t="shared" si="36"/>
        <v>269.67340993773422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16.536250000000003</v>
      </c>
      <c r="BD45" s="12">
        <f>IF('Données projet'!$A$88&gt;35,BD44+BC45-BL44,IF(A45&lt;'Données projet'!$A$88,$BA$205^A45,IF(A45='Données projet'!$A$88,'Données projet'!$B$88,BD44+BC45-BL44)))</f>
        <v>334.27749999999992</v>
      </c>
      <c r="BE45" s="13">
        <f>BD45*VLOOKUP('Données projet'!$B$11,Paramètres!$A$1:$I$89,3,0)*VLOOKUP('Données projet'!$B$11,Paramètres!$A$1:$I$89,5,0)</f>
        <v>199.89794499999996</v>
      </c>
      <c r="BF45" s="13">
        <f t="shared" si="37"/>
        <v>49.721738459069584</v>
      </c>
      <c r="BG45" s="20">
        <f t="shared" si="7"/>
        <v>434.75428202454617</v>
      </c>
      <c r="BH45" s="59">
        <f t="shared" si="8"/>
        <v>728.08761535787949</v>
      </c>
      <c r="BI45" s="59">
        <f ca="1">AVERAGE(OFFSET($BH$3,0,0,'Données projet'!$E$11+1,1))-AVERAGE(OFFSET($H$3,0,0,'Données projet'!$E$11+1,1))</f>
        <v>300.80663531652721</v>
      </c>
      <c r="BJ45" s="59">
        <f t="shared" si="38"/>
        <v>306.01967513533549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10.156746763049787</v>
      </c>
      <c r="BQ45" s="21">
        <f>EXP(-LN(2)/25)*BQ44+(1-EXP(-LN(2)/25))/(LN(2)/25)*Calculateur!BL45*Calculateur!BN45*VLOOKUP('Données projet'!$B$11,Paramètres!$A$1:$I$89,3,0)*0.475*44/12</f>
        <v>39.237617698541385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49.394364461591174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7.6601960784313725</v>
      </c>
      <c r="N46" s="13">
        <f>IF('Données projet'!$A$36&gt;35,N45+M46-V45,IF(A46&lt;'Données projet'!$A$36,$K$205^A46,IF(A46='Données projet'!$A$36,'Données projet'!$B$36,N45+M46-V45)))</f>
        <v>329.38843137254918</v>
      </c>
      <c r="O46" s="13">
        <f>N46*VLOOKUP('Données projet'!$B$9,Paramètres!$A$1:$I$89,3,0)*VLOOKUP('Données projet'!$B$9,Paramètres!$A$1:$I$89,5,0)</f>
        <v>154.15378588235302</v>
      </c>
      <c r="P46" s="13">
        <f t="shared" si="33"/>
        <v>39.521042464366339</v>
      </c>
      <c r="Q46" s="20">
        <f t="shared" si="53"/>
        <v>337.31699270386952</v>
      </c>
      <c r="R46" s="59">
        <f t="shared" si="0"/>
        <v>630.65032603720283</v>
      </c>
      <c r="S46" s="59">
        <f ca="1">AVERAGE(OFFSET($R$3,0,0,'Données projet'!$E$9+1,1))-AVERAGE(OFFSET($H$3,0,0,'Données projet'!$E$9+1,1))</f>
        <v>333.20260838961286</v>
      </c>
      <c r="T46" s="59">
        <f t="shared" si="34"/>
        <v>274.05921873522806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581.88778927327667</v>
      </c>
      <c r="AO46" s="59">
        <f t="shared" si="36"/>
        <v>269.67340993773422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16.536250000000003</v>
      </c>
      <c r="BD46" s="12">
        <f>IF('Données projet'!$A$88&gt;35,BD45+BC46-BL45,IF(A46&lt;'Données projet'!$A$88,$BA$205^A46,IF(A46='Données projet'!$A$88,'Données projet'!$B$88,BD45+BC46-BL45)))</f>
        <v>350.81374999999991</v>
      </c>
      <c r="BE46" s="13">
        <f>BD46*VLOOKUP('Données projet'!$B$11,Paramètres!$A$1:$I$89,3,0)*VLOOKUP('Données projet'!$B$11,Paramètres!$A$1:$I$89,5,0)</f>
        <v>209.78662249999996</v>
      </c>
      <c r="BF46" s="13">
        <f t="shared" si="37"/>
        <v>51.888954587591464</v>
      </c>
      <c r="BG46" s="20">
        <f t="shared" si="7"/>
        <v>455.75163009422175</v>
      </c>
      <c r="BH46" s="59">
        <f t="shared" si="8"/>
        <v>749.08496342755507</v>
      </c>
      <c r="BI46" s="59">
        <f ca="1">AVERAGE(OFFSET($BH$3,0,0,'Données projet'!$E$11+1,1))-AVERAGE(OFFSET($H$3,0,0,'Données projet'!$E$11+1,1))</f>
        <v>300.80663531652721</v>
      </c>
      <c r="BJ46" s="59">
        <f t="shared" si="38"/>
        <v>306.01967513533549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9.957579154030201</v>
      </c>
      <c r="BQ46" s="21">
        <f>EXP(-LN(2)/25)*BQ45+(1-EXP(-LN(2)/25))/(LN(2)/25)*Calculateur!BL46*Calculateur!BN46*VLOOKUP('Données projet'!$B$11,Paramètres!$A$1:$I$89,3,0)*0.475*44/12</f>
        <v>38.164662979158138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48.122242133188337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7.6601960784313725</v>
      </c>
      <c r="N47" s="13">
        <f>IF('Données projet'!$A$36&gt;35,N46+M47-V46,IF(A47&lt;'Données projet'!$A$36,$K$205^A47,IF(A47='Données projet'!$A$36,'Données projet'!$B$36,N46+M47-V46)))</f>
        <v>337.04862745098058</v>
      </c>
      <c r="O47" s="13">
        <f>N47*VLOOKUP('Données projet'!$B$9,Paramètres!$A$1:$I$89,3,0)*VLOOKUP('Données projet'!$B$9,Paramètres!$A$1:$I$89,5,0)</f>
        <v>157.73875764705892</v>
      </c>
      <c r="P47" s="13">
        <f t="shared" si="33"/>
        <v>40.332064146123422</v>
      </c>
      <c r="Q47" s="20">
        <f t="shared" si="53"/>
        <v>344.97334795645929</v>
      </c>
      <c r="R47" s="59">
        <f t="shared" si="0"/>
        <v>638.30668128979255</v>
      </c>
      <c r="S47" s="59">
        <f ca="1">AVERAGE(OFFSET($R$3,0,0,'Données projet'!$E$9+1,1))-AVERAGE(OFFSET($H$3,0,0,'Données projet'!$E$9+1,1))</f>
        <v>333.20260838961286</v>
      </c>
      <c r="T47" s="59">
        <f t="shared" si="34"/>
        <v>274.05921873522806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581.88778927327667</v>
      </c>
      <c r="AO47" s="59">
        <f t="shared" si="36"/>
        <v>269.67340993773422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367.35</v>
      </c>
      <c r="BB47" s="12">
        <f>VLOOKUP(A47,'Données projet'!$A$87:$I$107,9,0)</f>
        <v>16.536250000000003</v>
      </c>
      <c r="BC47" s="12">
        <f t="array" ref="BC47">INDEX(BB:BB,MIN(IF(ISNUMBER(BB47:BB243),ROW(BB47:BB243),"")))</f>
        <v>16.536250000000003</v>
      </c>
      <c r="BD47" s="12">
        <f>IF('Données projet'!$A$88&gt;35,BD46+BC47-BL46,IF(A47&lt;'Données projet'!$A$88,$BA$205^A47,IF(A47='Données projet'!$A$88,'Données projet'!$B$88,BD46+BC47-BL46)))</f>
        <v>367.34999999999991</v>
      </c>
      <c r="BE47" s="13">
        <f>BD47*VLOOKUP('Données projet'!$B$11,Paramètres!$A$1:$I$89,3,0)*VLOOKUP('Données projet'!$B$11,Paramètres!$A$1:$I$89,5,0)</f>
        <v>219.67529999999996</v>
      </c>
      <c r="BF47" s="13">
        <f t="shared" si="37"/>
        <v>54.044307714561441</v>
      </c>
      <c r="BG47" s="20">
        <f t="shared" si="7"/>
        <v>476.72831676952774</v>
      </c>
      <c r="BH47" s="59">
        <f t="shared" si="8"/>
        <v>770.06165010286099</v>
      </c>
      <c r="BI47" s="59">
        <f ca="1">AVERAGE(OFFSET($BH$3,0,0,'Données projet'!$E$11+1,1))-AVERAGE(OFFSET($H$3,0,0,'Données projet'!$E$11+1,1))</f>
        <v>300.80663531652721</v>
      </c>
      <c r="BJ47" s="59">
        <f t="shared" si="38"/>
        <v>306.01967513533549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77.91</v>
      </c>
      <c r="BM47" s="16">
        <f>IF(ISNA(VLOOKUP(A47,'Données projet'!$A$87:$I$107,5,0)),0%,VLOOKUP(A47,'Données projet'!$A$87:$I$107,5,0)*VLOOKUP('Données projet'!$B$11,Paramètres!$A$1:$I$89,7,0))</f>
        <v>0.13500000000000001</v>
      </c>
      <c r="BN47" s="16">
        <f>IF(ISNA(VLOOKUP(A47,'Données projet'!$A$87:$I$107,6,0)),0%,VLOOKUP(A47,'Données projet'!$A$87:$I$107,6,0)*VLOOKUP('Données projet'!$B$11,Paramètres!$A$1:$I$89,7,0))</f>
        <v>0.22500000000000001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18.105975463014815</v>
      </c>
      <c r="BQ47" s="21">
        <f>EXP(-LN(2)/25)*BQ46+(1-EXP(-LN(2)/25))/(LN(2)/25)*Calculateur!BL47*Calculateur!BN47*VLOOKUP('Données projet'!$B$11,Paramètres!$A$1:$I$89,3,0)*0.475*44/12</f>
        <v>50.972391930525085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69.078367393539907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7.6601960784313725</v>
      </c>
      <c r="N48" s="13">
        <f>IF('Données projet'!$A$36&gt;35,N47+M48-V47,IF(A48&lt;'Données projet'!$A$36,$K$205^A48,IF(A48='Données projet'!$A$36,'Données projet'!$B$36,N47+M48-V47)))</f>
        <v>344.70882352941197</v>
      </c>
      <c r="O48" s="13">
        <f>N48*VLOOKUP('Données projet'!$B$9,Paramètres!$A$1:$I$89,3,0)*VLOOKUP('Données projet'!$B$9,Paramètres!$A$1:$I$89,5,0)</f>
        <v>161.32372941176479</v>
      </c>
      <c r="P48" s="13">
        <f t="shared" si="33"/>
        <v>41.140942947344818</v>
      </c>
      <c r="Q48" s="20">
        <f t="shared" si="53"/>
        <v>352.62597102544919</v>
      </c>
      <c r="R48" s="59">
        <f t="shared" si="0"/>
        <v>645.95930435878245</v>
      </c>
      <c r="S48" s="59">
        <f ca="1">AVERAGE(OFFSET($R$3,0,0,'Données projet'!$E$9+1,1))-AVERAGE(OFFSET($H$3,0,0,'Données projet'!$E$9+1,1))</f>
        <v>333.20260838961286</v>
      </c>
      <c r="T48" s="59">
        <f t="shared" si="34"/>
        <v>274.05921873522806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581.88778927327667</v>
      </c>
      <c r="AO48" s="59">
        <f t="shared" si="36"/>
        <v>269.67340993773422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14.64374999999999</v>
      </c>
      <c r="BD48" s="12">
        <f>IF('Données projet'!$A$88&gt;35,BD47+BC48-BL47,IF(A48&lt;'Données projet'!$A$88,$BA$205^A48,IF(A48='Données projet'!$A$88,'Données projet'!$B$88,BD47+BC48-BL47)))</f>
        <v>304.0837499999999</v>
      </c>
      <c r="BE48" s="13">
        <f>BD48*VLOOKUP('Données projet'!$B$11,Paramètres!$A$1:$I$89,3,0)*VLOOKUP('Données projet'!$B$11,Paramètres!$A$1:$I$89,5,0)</f>
        <v>181.84208249999998</v>
      </c>
      <c r="BF48" s="13">
        <f t="shared" si="37"/>
        <v>45.731772411922861</v>
      </c>
      <c r="BG48" s="20">
        <f t="shared" si="7"/>
        <v>396.35779730493226</v>
      </c>
      <c r="BH48" s="59">
        <f t="shared" si="8"/>
        <v>689.69113063826558</v>
      </c>
      <c r="BI48" s="59">
        <f ca="1">AVERAGE(OFFSET($BH$3,0,0,'Données projet'!$E$11+1,1))-AVERAGE(OFFSET($H$3,0,0,'Données projet'!$E$11+1,1))</f>
        <v>300.80663531652721</v>
      </c>
      <c r="BJ48" s="59">
        <f t="shared" si="38"/>
        <v>306.01967513533549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17.750928327739665</v>
      </c>
      <c r="BQ48" s="21">
        <f>EXP(-LN(2)/25)*BQ47+(1-EXP(-LN(2)/25))/(LN(2)/25)*Calculateur!BL48*Calculateur!BN48*VLOOKUP('Données projet'!$B$11,Paramètres!$A$1:$I$89,3,0)*0.475*44/12</f>
        <v>49.578549192663282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67.329477520402946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7.6601960784313725</v>
      </c>
      <c r="N49" s="13">
        <f>IF('Données projet'!$A$36&gt;35,N48+M49-V48,IF(A49&lt;'Données projet'!$A$36,$K$205^A49,IF(A49='Données projet'!$A$36,'Données projet'!$B$36,N48+M49-V48)))</f>
        <v>352.36901960784337</v>
      </c>
      <c r="O49" s="13">
        <f>N49*VLOOKUP('Données projet'!$B$9,Paramètres!$A$1:$I$89,3,0)*VLOOKUP('Données projet'!$B$9,Paramètres!$A$1:$I$89,5,0)</f>
        <v>164.90870117647071</v>
      </c>
      <c r="P49" s="13">
        <f t="shared" si="33"/>
        <v>41.947731970648171</v>
      </c>
      <c r="Q49" s="20">
        <f t="shared" si="53"/>
        <v>360.27495439789868</v>
      </c>
      <c r="R49" s="59">
        <f t="shared" si="0"/>
        <v>653.60828773123194</v>
      </c>
      <c r="S49" s="59">
        <f ca="1">AVERAGE(OFFSET($R$3,0,0,'Données projet'!$E$9+1,1))-AVERAGE(OFFSET($H$3,0,0,'Données projet'!$E$9+1,1))</f>
        <v>333.20260838961286</v>
      </c>
      <c r="T49" s="59">
        <f t="shared" si="34"/>
        <v>274.05921873522806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581.88778927327667</v>
      </c>
      <c r="AO49" s="59">
        <f t="shared" si="36"/>
        <v>269.67340993773422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14.64374999999999</v>
      </c>
      <c r="BD49" s="12">
        <f>IF('Données projet'!$A$88&gt;35,BD48+BC49-BL48,IF(A49&lt;'Données projet'!$A$88,$BA$205^A49,IF(A49='Données projet'!$A$88,'Données projet'!$B$88,BD48+BC49-BL48)))</f>
        <v>318.72749999999991</v>
      </c>
      <c r="BE49" s="13">
        <f>BD49*VLOOKUP('Données projet'!$B$11,Paramètres!$A$1:$I$89,3,0)*VLOOKUP('Données projet'!$B$11,Paramètres!$A$1:$I$89,5,0)</f>
        <v>190.59904499999996</v>
      </c>
      <c r="BF49" s="13">
        <f t="shared" si="37"/>
        <v>47.672368921426973</v>
      </c>
      <c r="BG49" s="20">
        <f t="shared" si="7"/>
        <v>414.98937924648521</v>
      </c>
      <c r="BH49" s="59">
        <f t="shared" si="8"/>
        <v>708.32271257981847</v>
      </c>
      <c r="BI49" s="59">
        <f ca="1">AVERAGE(OFFSET($BH$3,0,0,'Données projet'!$E$11+1,1))-AVERAGE(OFFSET($H$3,0,0,'Données projet'!$E$11+1,1))</f>
        <v>300.80663531652721</v>
      </c>
      <c r="BJ49" s="59">
        <f t="shared" si="38"/>
        <v>306.01967513533549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17.402843450229891</v>
      </c>
      <c r="BQ49" s="21">
        <f>EXP(-LN(2)/25)*BQ48+(1-EXP(-LN(2)/25))/(LN(2)/25)*Calculateur!BL49*Calculateur!BN49*VLOOKUP('Données projet'!$B$11,Paramètres!$A$1:$I$89,3,0)*0.475*44/12</f>
        <v>48.222821157767314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65.625664607997209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7.6601960784313725</v>
      </c>
      <c r="N50" s="13">
        <f>IF('Données projet'!$A$36&gt;35,N49+M50-V49,IF(A50&lt;'Données projet'!$A$36,$K$205^A50,IF(A50='Données projet'!$A$36,'Données projet'!$B$36,N49+M50-V49)))</f>
        <v>360.02921568627477</v>
      </c>
      <c r="O50" s="13">
        <f>N50*VLOOKUP('Données projet'!$B$9,Paramètres!$A$1:$I$89,3,0)*VLOOKUP('Données projet'!$B$9,Paramètres!$A$1:$I$89,5,0)</f>
        <v>168.49367294117658</v>
      </c>
      <c r="P50" s="13">
        <f t="shared" si="33"/>
        <v>42.752481877979932</v>
      </c>
      <c r="Q50" s="20">
        <f t="shared" si="53"/>
        <v>367.92038631003089</v>
      </c>
      <c r="R50" s="59">
        <f t="shared" si="0"/>
        <v>661.25371964336421</v>
      </c>
      <c r="S50" s="59">
        <f ca="1">AVERAGE(OFFSET($R$3,0,0,'Données projet'!$E$9+1,1))-AVERAGE(OFFSET($H$3,0,0,'Données projet'!$E$9+1,1))</f>
        <v>333.20260838961286</v>
      </c>
      <c r="T50" s="59">
        <f t="shared" si="34"/>
        <v>274.05921873522806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581.88778927327667</v>
      </c>
      <c r="AO50" s="59">
        <f t="shared" si="36"/>
        <v>269.67340993773422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14.64374999999999</v>
      </c>
      <c r="BD50" s="12">
        <f>IF('Données projet'!$A$88&gt;35,BD49+BC50-BL49,IF(A50&lt;'Données projet'!$A$88,$BA$205^A50,IF(A50='Données projet'!$A$88,'Données projet'!$B$88,BD49+BC50-BL49)))</f>
        <v>333.37124999999992</v>
      </c>
      <c r="BE50" s="13">
        <f>BD50*VLOOKUP('Données projet'!$B$11,Paramètres!$A$1:$I$89,3,0)*VLOOKUP('Données projet'!$B$11,Paramètres!$A$1:$I$89,5,0)</f>
        <v>199.35600749999998</v>
      </c>
      <c r="BF50" s="13">
        <f t="shared" si="37"/>
        <v>49.602611110771242</v>
      </c>
      <c r="BG50" s="20">
        <f t="shared" si="7"/>
        <v>433.6029274137598</v>
      </c>
      <c r="BH50" s="59">
        <f t="shared" si="8"/>
        <v>726.93626074709312</v>
      </c>
      <c r="BI50" s="59">
        <f ca="1">AVERAGE(OFFSET($BH$3,0,0,'Données projet'!$E$11+1,1))-AVERAGE(OFFSET($H$3,0,0,'Données projet'!$E$11+1,1))</f>
        <v>300.80663531652721</v>
      </c>
      <c r="BJ50" s="59">
        <f t="shared" si="38"/>
        <v>306.01967513533549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17.061584304857274</v>
      </c>
      <c r="BQ50" s="21">
        <f>EXP(-LN(2)/25)*BQ49+(1-EXP(-LN(2)/25))/(LN(2)/25)*Calculateur!BL50*Calculateur!BN50*VLOOKUP('Données projet'!$B$11,Paramètres!$A$1:$I$89,3,0)*0.475*44/12</f>
        <v>46.904165577280217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63.965749882137487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7.6601960784313725</v>
      </c>
      <c r="N51" s="13">
        <f>IF('Données projet'!$A$36&gt;35,N50+M51-V50,IF(A51&lt;'Données projet'!$A$36,$K$205^A51,IF(A51='Données projet'!$A$36,'Données projet'!$B$36,N50+M51-V50)))</f>
        <v>367.68941176470616</v>
      </c>
      <c r="O51" s="13">
        <f>N51*VLOOKUP('Données projet'!$B$9,Paramètres!$A$1:$I$89,3,0)*VLOOKUP('Données projet'!$B$9,Paramètres!$A$1:$I$89,5,0)</f>
        <v>172.07864470588248</v>
      </c>
      <c r="P51" s="13">
        <f t="shared" si="33"/>
        <v>43.555241052296047</v>
      </c>
      <c r="Q51" s="20">
        <f t="shared" si="53"/>
        <v>375.56235102882761</v>
      </c>
      <c r="R51" s="59">
        <f t="shared" si="0"/>
        <v>668.89568436216086</v>
      </c>
      <c r="S51" s="59">
        <f ca="1">AVERAGE(OFFSET($R$3,0,0,'Données projet'!$E$9+1,1))-AVERAGE(OFFSET($H$3,0,0,'Données projet'!$E$9+1,1))</f>
        <v>333.20260838961286</v>
      </c>
      <c r="T51" s="59">
        <f t="shared" si="34"/>
        <v>274.05921873522806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581.88778927327667</v>
      </c>
      <c r="AO51" s="59">
        <f t="shared" si="36"/>
        <v>269.67340993773422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14.64374999999999</v>
      </c>
      <c r="BD51" s="12">
        <f>IF('Données projet'!$A$88&gt;35,BD50+BC51-BL50,IF(A51&lt;'Données projet'!$A$88,$BA$205^A51,IF(A51='Données projet'!$A$88,'Données projet'!$B$88,BD50+BC51-BL50)))</f>
        <v>348.01499999999993</v>
      </c>
      <c r="BE51" s="13">
        <f>BD51*VLOOKUP('Données projet'!$B$11,Paramètres!$A$1:$I$89,3,0)*VLOOKUP('Données projet'!$B$11,Paramètres!$A$1:$I$89,5,0)</f>
        <v>208.11296999999999</v>
      </c>
      <c r="BF51" s="13">
        <f t="shared" si="37"/>
        <v>51.52300578513217</v>
      </c>
      <c r="BG51" s="20">
        <f t="shared" si="7"/>
        <v>452.19932449243839</v>
      </c>
      <c r="BH51" s="59">
        <f t="shared" si="8"/>
        <v>745.53265782577171</v>
      </c>
      <c r="BI51" s="59">
        <f ca="1">AVERAGE(OFFSET($BH$3,0,0,'Données projet'!$E$11+1,1))-AVERAGE(OFFSET($H$3,0,0,'Données projet'!$E$11+1,1))</f>
        <v>300.80663531652721</v>
      </c>
      <c r="BJ51" s="59">
        <f t="shared" si="38"/>
        <v>306.01967513533549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16.727017043177888</v>
      </c>
      <c r="BQ51" s="21">
        <f>EXP(-LN(2)/25)*BQ50+(1-EXP(-LN(2)/25))/(LN(2)/25)*Calculateur!BL51*Calculateur!BN51*VLOOKUP('Données projet'!$B$11,Paramètres!$A$1:$I$89,3,0)*0.475*44/12</f>
        <v>45.621568702986622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62.34858574616451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7.6601960784313725</v>
      </c>
      <c r="N52" s="13">
        <f>IF('Données projet'!$A$36&gt;35,N51+M52-V51,IF(A52&lt;'Données projet'!$A$36,$K$205^A52,IF(A52='Données projet'!$A$36,'Données projet'!$B$36,N51+M52-V51)))</f>
        <v>375.34960784313756</v>
      </c>
      <c r="O52" s="13">
        <f>N52*VLOOKUP('Données projet'!$B$9,Paramètres!$A$1:$I$89,3,0)*VLOOKUP('Données projet'!$B$9,Paramètres!$A$1:$I$89,5,0)</f>
        <v>175.66361647058838</v>
      </c>
      <c r="P52" s="13">
        <f t="shared" si="33"/>
        <v>44.356055745389057</v>
      </c>
      <c r="Q52" s="20">
        <f t="shared" si="53"/>
        <v>383.20092910949398</v>
      </c>
      <c r="R52" s="59">
        <f t="shared" si="0"/>
        <v>676.5342624428273</v>
      </c>
      <c r="S52" s="59">
        <f ca="1">AVERAGE(OFFSET($R$3,0,0,'Données projet'!$E$9+1,1))-AVERAGE(OFFSET($H$3,0,0,'Données projet'!$E$9+1,1))</f>
        <v>333.20260838961286</v>
      </c>
      <c r="T52" s="59">
        <f t="shared" si="34"/>
        <v>274.05921873522806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581.88778927327667</v>
      </c>
      <c r="AO52" s="59">
        <f t="shared" si="36"/>
        <v>269.67340993773422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14.64374999999999</v>
      </c>
      <c r="BD52" s="12">
        <f>IF('Données projet'!$A$88&gt;35,BD51+BC52-BL51,IF(A52&lt;'Données projet'!$A$88,$BA$205^A52,IF(A52='Données projet'!$A$88,'Données projet'!$B$88,BD51+BC52-BL51)))</f>
        <v>362.65874999999994</v>
      </c>
      <c r="BE52" s="13">
        <f>BD52*VLOOKUP('Données projet'!$B$11,Paramètres!$A$1:$I$89,3,0)*VLOOKUP('Données projet'!$B$11,Paramètres!$A$1:$I$89,5,0)</f>
        <v>216.86993249999998</v>
      </c>
      <c r="BF52" s="13">
        <f t="shared" si="37"/>
        <v>53.434014686329654</v>
      </c>
      <c r="BG52" s="20">
        <f t="shared" si="7"/>
        <v>470.77937468285745</v>
      </c>
      <c r="BH52" s="59">
        <f t="shared" si="8"/>
        <v>764.11270801619071</v>
      </c>
      <c r="BI52" s="59">
        <f ca="1">AVERAGE(OFFSET($BH$3,0,0,'Données projet'!$E$11+1,1))-AVERAGE(OFFSET($H$3,0,0,'Données projet'!$E$11+1,1))</f>
        <v>300.80663531652721</v>
      </c>
      <c r="BJ52" s="59">
        <f t="shared" si="38"/>
        <v>306.01967513533549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16.399010441434154</v>
      </c>
      <c r="BQ52" s="21">
        <f>EXP(-LN(2)/25)*BQ51+(1-EXP(-LN(2)/25))/(LN(2)/25)*Calculateur!BL52*Calculateur!BN52*VLOOKUP('Données projet'!$B$11,Paramètres!$A$1:$I$89,3,0)*0.475*44/12</f>
        <v>44.374044507669424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60.773054949103582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7.6601960784313725</v>
      </c>
      <c r="N53" s="13">
        <f>IF('Données projet'!$A$36&gt;35,N52+M53-V52,IF(A53&lt;'Données projet'!$A$36,$K$205^A53,IF(A53='Données projet'!$A$36,'Données projet'!$B$36,N52+M53-V52)))</f>
        <v>383.00980392156896</v>
      </c>
      <c r="O53" s="13">
        <f>N53*VLOOKUP('Données projet'!$B$9,Paramètres!$A$1:$I$89,3,0)*VLOOKUP('Données projet'!$B$9,Paramètres!$A$1:$I$89,5,0)</f>
        <v>179.24858823529425</v>
      </c>
      <c r="P53" s="13">
        <f t="shared" si="33"/>
        <v>45.154970213306711</v>
      </c>
      <c r="Q53" s="20">
        <f t="shared" si="53"/>
        <v>390.83619763131333</v>
      </c>
      <c r="R53" s="59">
        <f t="shared" si="0"/>
        <v>684.16953096464658</v>
      </c>
      <c r="S53" s="59">
        <f ca="1">AVERAGE(OFFSET($R$3,0,0,'Données projet'!$E$9+1,1))-AVERAGE(OFFSET($H$3,0,0,'Données projet'!$E$9+1,1))</f>
        <v>333.20260838961286</v>
      </c>
      <c r="T53" s="59">
        <f t="shared" si="34"/>
        <v>274.05921873522806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581.88778927327667</v>
      </c>
      <c r="AO53" s="59">
        <f t="shared" si="36"/>
        <v>269.67340993773422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14.64374999999999</v>
      </c>
      <c r="BD53" s="12">
        <f>IF('Données projet'!$A$88&gt;35,BD52+BC53-BL52,IF(A53&lt;'Données projet'!$A$88,$BA$205^A53,IF(A53='Données projet'!$A$88,'Données projet'!$B$88,BD52+BC53-BL52)))</f>
        <v>377.30249999999995</v>
      </c>
      <c r="BE53" s="13">
        <f>BD53*VLOOKUP('Données projet'!$B$11,Paramètres!$A$1:$I$89,3,0)*VLOOKUP('Données projet'!$B$11,Paramètres!$A$1:$I$89,5,0)</f>
        <v>225.62689499999999</v>
      </c>
      <c r="BF53" s="13">
        <f t="shared" si="37"/>
        <v>55.336060156511813</v>
      </c>
      <c r="BG53" s="20">
        <f t="shared" si="7"/>
        <v>489.34381356425803</v>
      </c>
      <c r="BH53" s="59">
        <f t="shared" si="8"/>
        <v>782.67714689759134</v>
      </c>
      <c r="BI53" s="59">
        <f ca="1">AVERAGE(OFFSET($BH$3,0,0,'Données projet'!$E$11+1,1))-AVERAGE(OFFSET($H$3,0,0,'Données projet'!$E$11+1,1))</f>
        <v>300.80663531652721</v>
      </c>
      <c r="BJ53" s="59">
        <f t="shared" si="38"/>
        <v>306.01967513533549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16.077435849086342</v>
      </c>
      <c r="BQ53" s="21">
        <f>EXP(-LN(2)/25)*BQ52+(1-EXP(-LN(2)/25))/(LN(2)/25)*Calculateur!BL53*Calculateur!BN53*VLOOKUP('Données projet'!$B$11,Paramètres!$A$1:$I$89,3,0)*0.475*44/12</f>
        <v>43.160633927077619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59.238069776163961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390.67</v>
      </c>
      <c r="L54" s="12">
        <f>VLOOKUP(A54,'Données projet'!$A$35:$I$55,9,0)</f>
        <v>7.6601960784313725</v>
      </c>
      <c r="M54" s="12">
        <f t="array" ref="M54">INDEX(L:L,MIN(IF(ISNUMBER(L54:L250),ROW(L54:L250),"")))</f>
        <v>7.6601960784313725</v>
      </c>
      <c r="N54" s="13">
        <f>IF('Données projet'!$A$36&gt;35,N53+M54-V53,IF(A54&lt;'Données projet'!$A$36,$K$205^A54,IF(A54='Données projet'!$A$36,'Données projet'!$B$36,N53+M54-V53)))</f>
        <v>390.67000000000036</v>
      </c>
      <c r="O54" s="13">
        <f>N54*VLOOKUP('Données projet'!$B$9,Paramètres!$A$1:$I$89,3,0)*VLOOKUP('Données projet'!$B$9,Paramètres!$A$1:$I$89,5,0)</f>
        <v>182.83356000000015</v>
      </c>
      <c r="P54" s="13">
        <f t="shared" si="33"/>
        <v>45.95202684063149</v>
      </c>
      <c r="Q54" s="20">
        <f t="shared" si="53"/>
        <v>398.46823041410011</v>
      </c>
      <c r="R54" s="59">
        <f t="shared" si="0"/>
        <v>691.80156374743342</v>
      </c>
      <c r="S54" s="59">
        <f ca="1">AVERAGE(OFFSET($R$3,0,0,'Données projet'!$E$9+1,1))-AVERAGE(OFFSET($H$3,0,0,'Données projet'!$E$9+1,1))</f>
        <v>333.20260838961286</v>
      </c>
      <c r="T54" s="59">
        <f t="shared" si="34"/>
        <v>274.05921873522806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171.3</v>
      </c>
      <c r="W54" s="16">
        <f>IF(ISNA(VLOOKUP(A54,'Données projet'!$A$35:$I$55,5,0)),0%,VLOOKUP(A54,'Données projet'!$A$35:$I$55,5,0)*VLOOKUP('Données projet'!$B$9,Paramètres!$A$1:$I$89,7,0))</f>
        <v>0.38500000000000001</v>
      </c>
      <c r="X54" s="16">
        <f>IF(ISNA(VLOOKUP(A54,'Données projet'!$A$35:$I$55,6,0)),0%,VLOOKUP(A54,'Données projet'!$A$35:$I$55,6,0)*VLOOKUP('Données projet'!$B$9,Paramètres!$A$1:$I$89,7,0))</f>
        <v>0.16500000000000001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40.944191707441796</v>
      </c>
      <c r="AA54" s="21">
        <f>EXP(-LN(2)/25)*AA53+(1-EXP(-LN(2)/25))/(LN(2)/25)*Calculateur!V54*Calculateur!X54*VLOOKUP('Données projet'!$B$9,Paramètres!$A$1:$I$89,3,0)*0.475*44/12</f>
        <v>17.478419495884058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58.422611203325857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581.88778927327667</v>
      </c>
      <c r="AO54" s="59">
        <f t="shared" si="36"/>
        <v>269.67340993773422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14.64374999999999</v>
      </c>
      <c r="BD54" s="12">
        <f>IF('Données projet'!$A$88&gt;35,BD53+BC54-BL53,IF(A54&lt;'Données projet'!$A$88,$BA$205^A54,IF(A54='Données projet'!$A$88,'Données projet'!$B$88,BD53+BC54-BL53)))</f>
        <v>391.94624999999996</v>
      </c>
      <c r="BE54" s="13">
        <f>BD54*VLOOKUP('Données projet'!$B$11,Paramètres!$A$1:$I$89,3,0)*VLOOKUP('Données projet'!$B$11,Paramètres!$A$1:$I$89,5,0)</f>
        <v>234.3838575</v>
      </c>
      <c r="BF54" s="13">
        <f t="shared" si="37"/>
        <v>57.229529897835612</v>
      </c>
      <c r="BG54" s="20">
        <f t="shared" si="7"/>
        <v>507.89331638456366</v>
      </c>
      <c r="BH54" s="59">
        <f t="shared" si="8"/>
        <v>801.22664971789698</v>
      </c>
      <c r="BI54" s="59">
        <f ca="1">AVERAGE(OFFSET($BH$3,0,0,'Données projet'!$E$11+1,1))-AVERAGE(OFFSET($H$3,0,0,'Données projet'!$E$11+1,1))</f>
        <v>300.80663531652721</v>
      </c>
      <c r="BJ54" s="59">
        <f t="shared" si="38"/>
        <v>306.01967513533549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15.762167138353337</v>
      </c>
      <c r="BQ54" s="21">
        <f>EXP(-LN(2)/25)*BQ53+(1-EXP(-LN(2)/25))/(LN(2)/25)*Calculateur!BL54*Calculateur!BN54*VLOOKUP('Données projet'!$B$11,Paramètres!$A$1:$I$89,3,0)*0.475*44/12</f>
        <v>41.980404122622588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57.742571260975922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12.883999999999997</v>
      </c>
      <c r="N55" s="13">
        <f>IF('Données projet'!$A$36&gt;35,N54+M55-V54,IF(A55&lt;'Données projet'!$A$36,$K$205^A55,IF(A55='Données projet'!$A$36,'Données projet'!$B$36,N54+M55-V54)))</f>
        <v>232.25400000000036</v>
      </c>
      <c r="O55" s="13">
        <f>N55*VLOOKUP('Données projet'!$B$9,Paramètres!$A$1:$I$89,3,0)*VLOOKUP('Données projet'!$B$9,Paramètres!$A$1:$I$89,5,0)</f>
        <v>108.69487200000017</v>
      </c>
      <c r="P55" s="13">
        <f t="shared" si="33"/>
        <v>29.023272955432798</v>
      </c>
      <c r="Q55" s="20">
        <f t="shared" si="53"/>
        <v>239.85910246404572</v>
      </c>
      <c r="R55" s="59">
        <f t="shared" si="0"/>
        <v>533.19243579737906</v>
      </c>
      <c r="S55" s="59">
        <f ca="1">AVERAGE(OFFSET($R$3,0,0,'Données projet'!$E$9+1,1))-AVERAGE(OFFSET($H$3,0,0,'Données projet'!$E$9+1,1))</f>
        <v>333.20260838961286</v>
      </c>
      <c r="T55" s="59">
        <f t="shared" si="34"/>
        <v>274.05921873522806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40.141301081549877</v>
      </c>
      <c r="AA55" s="21">
        <f>EXP(-LN(2)/25)*AA54+(1-EXP(-LN(2)/25))/(LN(2)/25)*Calculateur!V55*Calculateur!X55*VLOOKUP('Données projet'!$B$9,Paramètres!$A$1:$I$89,3,0)*0.475*44/12</f>
        <v>17.000471195618974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57.141772277168855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581.88778927327667</v>
      </c>
      <c r="AO55" s="59">
        <f t="shared" si="36"/>
        <v>269.67340993773422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406.59</v>
      </c>
      <c r="BB55" s="12">
        <f>VLOOKUP(A55,'Données projet'!$A$87:$I$107,9,0)</f>
        <v>14.64374999999999</v>
      </c>
      <c r="BC55" s="12">
        <f t="array" ref="BC55">INDEX(BB:BB,MIN(IF(ISNUMBER(BB55:BB251),ROW(BB55:BB251),"")))</f>
        <v>14.64374999999999</v>
      </c>
      <c r="BD55" s="12">
        <f>IF('Données projet'!$A$88&gt;35,BD54+BC55-BL54,IF(A55&lt;'Données projet'!$A$88,$BA$205^A55,IF(A55='Données projet'!$A$88,'Données projet'!$B$88,BD54+BC55-BL54)))</f>
        <v>406.59</v>
      </c>
      <c r="BE55" s="13">
        <f>BD55*VLOOKUP('Données projet'!$B$11,Paramètres!$A$1:$I$89,3,0)*VLOOKUP('Données projet'!$B$11,Paramètres!$A$1:$I$89,5,0)</f>
        <v>243.14081999999999</v>
      </c>
      <c r="BF55" s="13">
        <f t="shared" si="37"/>
        <v>59.114781000830845</v>
      </c>
      <c r="BG55" s="20">
        <f t="shared" si="7"/>
        <v>526.42850507644698</v>
      </c>
      <c r="BH55" s="59">
        <f t="shared" si="8"/>
        <v>819.76183840978024</v>
      </c>
      <c r="BI55" s="59">
        <f ca="1">AVERAGE(OFFSET($BH$3,0,0,'Données projet'!$E$11+1,1))-AVERAGE(OFFSET($H$3,0,0,'Données projet'!$E$11+1,1))</f>
        <v>300.80663531652721</v>
      </c>
      <c r="BJ55" s="59">
        <f t="shared" si="38"/>
        <v>306.01967513533549</v>
      </c>
      <c r="BK55" s="15">
        <f>IF(ISNA(VLOOKUP(A55,'Données projet'!$A$87:$I$107,3,0)),0,VLOOKUP(A55,'Données projet'!$A$87:$I$107,3,0))</f>
        <v>6</v>
      </c>
      <c r="BL55" s="15">
        <f>IF(ISNA(VLOOKUP(A55,'Données projet'!$A$87:$I$107,4,0)),0,VLOOKUP(A55,'Données projet'!$A$87:$I$107,4,0))</f>
        <v>75.37</v>
      </c>
      <c r="BM55" s="16">
        <f>IF(ISNA(VLOOKUP(A55,'Données projet'!$A$87:$I$107,5,0)),0%,VLOOKUP(A55,'Données projet'!$A$87:$I$107,5,0)*VLOOKUP('Données projet'!$B$11,Paramètres!$A$1:$I$89,7,0))</f>
        <v>0.315</v>
      </c>
      <c r="BN55" s="16">
        <f>IF(ISNA(VLOOKUP(A55,'Données projet'!$A$87:$I$107,6,0)),0%,VLOOKUP(A55,'Données projet'!$A$87:$I$107,6,0)*VLOOKUP('Données projet'!$B$11,Paramètres!$A$1:$I$89,7,0))</f>
        <v>0.13500000000000001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34.286909070273168</v>
      </c>
      <c r="BQ55" s="21">
        <f>EXP(-LN(2)/25)*BQ54+(1-EXP(-LN(2)/25))/(LN(2)/25)*Calculateur!BL55*Calculateur!BN55*VLOOKUP('Données projet'!$B$11,Paramètres!$A$1:$I$89,3,0)*0.475*44/12</f>
        <v>48.872307388581874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83.159216458855042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12.883999999999997</v>
      </c>
      <c r="N56" s="13">
        <f>IF('Données projet'!$A$36&gt;35,N55+M56-V55,IF(A56&lt;'Données projet'!$A$36,$K$205^A56,IF(A56='Données projet'!$A$36,'Données projet'!$B$36,N55+M56-V55)))</f>
        <v>245.13800000000035</v>
      </c>
      <c r="O56" s="13">
        <f>N56*VLOOKUP('Données projet'!$B$9,Paramètres!$A$1:$I$89,3,0)*VLOOKUP('Données projet'!$B$9,Paramètres!$A$1:$I$89,5,0)</f>
        <v>114.72458400000016</v>
      </c>
      <c r="P56" s="13">
        <f t="shared" si="33"/>
        <v>30.441394327495473</v>
      </c>
      <c r="Q56" s="20">
        <f t="shared" si="53"/>
        <v>252.83074558705485</v>
      </c>
      <c r="R56" s="59">
        <f t="shared" si="0"/>
        <v>546.16407892038819</v>
      </c>
      <c r="S56" s="59">
        <f ca="1">AVERAGE(OFFSET($R$3,0,0,'Données projet'!$E$9+1,1))-AVERAGE(OFFSET($H$3,0,0,'Données projet'!$E$9+1,1))</f>
        <v>333.20260838961286</v>
      </c>
      <c r="T56" s="59">
        <f t="shared" si="34"/>
        <v>274.05921873522806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39.354154651116772</v>
      </c>
      <c r="AA56" s="21">
        <f>EXP(-LN(2)/25)*AA55+(1-EXP(-LN(2)/25))/(LN(2)/25)*Calculateur!V56*Calculateur!X56*VLOOKUP('Données projet'!$B$9,Paramètres!$A$1:$I$89,3,0)*0.475*44/12</f>
        <v>16.535592416758849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55.889747067875618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581.88778927327667</v>
      </c>
      <c r="AO56" s="59">
        <f t="shared" si="36"/>
        <v>269.67340993773422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13.14</v>
      </c>
      <c r="BD56" s="12">
        <f>IF('Données projet'!$A$88&gt;35,BD55+BC56-BL55,IF(A56&lt;'Données projet'!$A$88,$BA$205^A56,IF(A56='Données projet'!$A$88,'Données projet'!$B$88,BD55+BC56-BL55)))</f>
        <v>344.35999999999996</v>
      </c>
      <c r="BE56" s="13">
        <f>BD56*VLOOKUP('Données projet'!$B$11,Paramètres!$A$1:$I$89,3,0)*VLOOKUP('Données projet'!$B$11,Paramètres!$A$1:$I$89,5,0)</f>
        <v>205.92728</v>
      </c>
      <c r="BF56" s="13">
        <f t="shared" si="37"/>
        <v>51.04458202864172</v>
      </c>
      <c r="BG56" s="20">
        <f t="shared" si="7"/>
        <v>447.55932636655098</v>
      </c>
      <c r="BH56" s="59">
        <f t="shared" si="8"/>
        <v>740.89265969988423</v>
      </c>
      <c r="BI56" s="59">
        <f ca="1">AVERAGE(OFFSET($BH$3,0,0,'Données projet'!$E$11+1,1))-AVERAGE(OFFSET($H$3,0,0,'Données projet'!$E$11+1,1))</f>
        <v>300.80663531652721</v>
      </c>
      <c r="BJ56" s="59">
        <f t="shared" si="38"/>
        <v>306.01967513533549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33.614563696354665</v>
      </c>
      <c r="BQ56" s="21">
        <f>EXP(-LN(2)/25)*BQ55+(1-EXP(-LN(2)/25))/(LN(2)/25)*Calculateur!BL56*Calculateur!BN56*VLOOKUP('Données projet'!$B$11,Paramètres!$A$1:$I$89,3,0)*0.475*44/12</f>
        <v>47.535891572958157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81.150455269312829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12.883999999999997</v>
      </c>
      <c r="N57" s="13">
        <f>IF('Données projet'!$A$36&gt;35,N56+M57-V56,IF(A57&lt;'Données projet'!$A$36,$K$205^A57,IF(A57='Données projet'!$A$36,'Données projet'!$B$36,N56+M57-V56)))</f>
        <v>258.02200000000033</v>
      </c>
      <c r="O57" s="13">
        <f>N57*VLOOKUP('Données projet'!$B$9,Paramètres!$A$1:$I$89,3,0)*VLOOKUP('Données projet'!$B$9,Paramètres!$A$1:$I$89,5,0)</f>
        <v>120.75429600000017</v>
      </c>
      <c r="P57" s="13">
        <f t="shared" si="33"/>
        <v>31.850862239168588</v>
      </c>
      <c r="Q57" s="20">
        <f t="shared" si="53"/>
        <v>265.78731726655224</v>
      </c>
      <c r="R57" s="59">
        <f t="shared" si="0"/>
        <v>559.12065059988549</v>
      </c>
      <c r="S57" s="59">
        <f ca="1">AVERAGE(OFFSET($R$3,0,0,'Données projet'!$E$9+1,1))-AVERAGE(OFFSET($H$3,0,0,'Données projet'!$E$9+1,1))</f>
        <v>333.20260838961286</v>
      </c>
      <c r="T57" s="59">
        <f t="shared" si="34"/>
        <v>274.05921873522806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38.582443682072544</v>
      </c>
      <c r="AA57" s="21">
        <f>EXP(-LN(2)/25)*AA56+(1-EXP(-LN(2)/25))/(LN(2)/25)*Calculateur!V57*Calculateur!X57*VLOOKUP('Données projet'!$B$9,Paramètres!$A$1:$I$89,3,0)*0.475*44/12</f>
        <v>16.083425772553564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54.665869454626105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581.88778927327667</v>
      </c>
      <c r="AO57" s="59">
        <f t="shared" si="36"/>
        <v>269.67340993773422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13.14</v>
      </c>
      <c r="BD57" s="12">
        <f>IF('Données projet'!$A$88&gt;35,BD56+BC57-BL56,IF(A57&lt;'Données projet'!$A$88,$BA$205^A57,IF(A57='Données projet'!$A$88,'Données projet'!$B$88,BD56+BC57-BL56)))</f>
        <v>357.49999999999994</v>
      </c>
      <c r="BE57" s="13">
        <f>BD57*VLOOKUP('Données projet'!$B$11,Paramètres!$A$1:$I$89,3,0)*VLOOKUP('Données projet'!$B$11,Paramètres!$A$1:$I$89,5,0)</f>
        <v>213.785</v>
      </c>
      <c r="BF57" s="13">
        <f t="shared" si="37"/>
        <v>52.761841557402377</v>
      </c>
      <c r="BG57" s="20">
        <f t="shared" si="7"/>
        <v>464.23574904580914</v>
      </c>
      <c r="BH57" s="59">
        <f t="shared" si="8"/>
        <v>757.5690823791424</v>
      </c>
      <c r="BI57" s="59">
        <f ca="1">AVERAGE(OFFSET($BH$3,0,0,'Données projet'!$E$11+1,1))-AVERAGE(OFFSET($H$3,0,0,'Données projet'!$E$11+1,1))</f>
        <v>300.80663531652721</v>
      </c>
      <c r="BJ57" s="59">
        <f t="shared" si="38"/>
        <v>306.01967513533549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32.955402605128512</v>
      </c>
      <c r="BQ57" s="21">
        <f>EXP(-LN(2)/25)*BQ56+(1-EXP(-LN(2)/25))/(LN(2)/25)*Calculateur!BL57*Calculateur!BN57*VLOOKUP('Données projet'!$B$11,Paramètres!$A$1:$I$89,3,0)*0.475*44/12</f>
        <v>46.236020118091723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79.191422723220228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12.883999999999997</v>
      </c>
      <c r="N58" s="13">
        <f>IF('Données projet'!$A$36&gt;35,N57+M58-V57,IF(A58&lt;'Données projet'!$A$36,$K$205^A58,IF(A58='Données projet'!$A$36,'Données projet'!$B$36,N57+M58-V57)))</f>
        <v>270.90600000000035</v>
      </c>
      <c r="O58" s="13">
        <f>N58*VLOOKUP('Données projet'!$B$9,Paramètres!$A$1:$I$89,3,0)*VLOOKUP('Données projet'!$B$9,Paramètres!$A$1:$I$89,5,0)</f>
        <v>126.78400800000016</v>
      </c>
      <c r="P58" s="13">
        <f t="shared" si="33"/>
        <v>33.252158096898668</v>
      </c>
      <c r="Q58" s="20">
        <f t="shared" si="53"/>
        <v>278.72965595209877</v>
      </c>
      <c r="R58" s="59">
        <f t="shared" si="0"/>
        <v>572.06298928543208</v>
      </c>
      <c r="S58" s="59">
        <f ca="1">AVERAGE(OFFSET($R$3,0,0,'Données projet'!$E$9+1,1))-AVERAGE(OFFSET($H$3,0,0,'Données projet'!$E$9+1,1))</f>
        <v>333.20260838961286</v>
      </c>
      <c r="T58" s="59">
        <f t="shared" si="34"/>
        <v>274.05921873522806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37.825865494434062</v>
      </c>
      <c r="AA58" s="21">
        <f>EXP(-LN(2)/25)*AA57+(1-EXP(-LN(2)/25))/(LN(2)/25)*Calculateur!V58*Calculateur!X58*VLOOKUP('Données projet'!$B$9,Paramètres!$A$1:$I$89,3,0)*0.475*44/12</f>
        <v>15.643623649012484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53.469489143446545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581.88778927327667</v>
      </c>
      <c r="AO58" s="59">
        <f t="shared" si="36"/>
        <v>269.67340993773422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13.14</v>
      </c>
      <c r="BD58" s="12">
        <f>IF('Données projet'!$A$88&gt;35,BD57+BC58-BL57,IF(A58&lt;'Données projet'!$A$88,$BA$205^A58,IF(A58='Données projet'!$A$88,'Données projet'!$B$88,BD57+BC58-BL57)))</f>
        <v>370.63999999999993</v>
      </c>
      <c r="BE58" s="13">
        <f>BD58*VLOOKUP('Données projet'!$B$11,Paramètres!$A$1:$I$89,3,0)*VLOOKUP('Données projet'!$B$11,Paramètres!$A$1:$I$89,5,0)</f>
        <v>221.64272</v>
      </c>
      <c r="BF58" s="13">
        <f t="shared" si="37"/>
        <v>54.471768066609272</v>
      </c>
      <c r="BG58" s="20">
        <f t="shared" si="7"/>
        <v>480.89940004934442</v>
      </c>
      <c r="BH58" s="59">
        <f t="shared" si="8"/>
        <v>774.23273338267768</v>
      </c>
      <c r="BI58" s="59">
        <f ca="1">AVERAGE(OFFSET($BH$3,0,0,'Données projet'!$E$11+1,1))-AVERAGE(OFFSET($H$3,0,0,'Données projet'!$E$11+1,1))</f>
        <v>300.80663531652721</v>
      </c>
      <c r="BJ58" s="59">
        <f t="shared" si="38"/>
        <v>306.01967513533549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32.309167260852739</v>
      </c>
      <c r="BQ58" s="21">
        <f>EXP(-LN(2)/25)*BQ57+(1-EXP(-LN(2)/25))/(LN(2)/25)*Calculateur!BL58*Calculateur!BN58*VLOOKUP('Données projet'!$B$11,Paramètres!$A$1:$I$89,3,0)*0.475*44/12</f>
        <v>44.97169371651588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77.280860977368619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12.883999999999997</v>
      </c>
      <c r="N59" s="13">
        <f>IF('Données projet'!$A$36&gt;35,N58+M59-V58,IF(A59&lt;'Données projet'!$A$36,$K$205^A59,IF(A59='Données projet'!$A$36,'Données projet'!$B$36,N58+M59-V58)))</f>
        <v>283.79000000000036</v>
      </c>
      <c r="O59" s="13">
        <f>N59*VLOOKUP('Données projet'!$B$9,Paramètres!$A$1:$I$89,3,0)*VLOOKUP('Données projet'!$B$9,Paramètres!$A$1:$I$89,5,0)</f>
        <v>132.81372000000016</v>
      </c>
      <c r="P59" s="13">
        <f t="shared" si="33"/>
        <v>34.645714929343931</v>
      </c>
      <c r="Q59" s="20">
        <f t="shared" si="53"/>
        <v>291.65851583527427</v>
      </c>
      <c r="R59" s="59">
        <f t="shared" si="0"/>
        <v>584.99184916860759</v>
      </c>
      <c r="S59" s="59">
        <f ca="1">AVERAGE(OFFSET($R$3,0,0,'Données projet'!$E$9+1,1))-AVERAGE(OFFSET($H$3,0,0,'Données projet'!$E$9+1,1))</f>
        <v>333.20260838961286</v>
      </c>
      <c r="T59" s="59">
        <f t="shared" si="34"/>
        <v>274.05921873522806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37.08412334358804</v>
      </c>
      <c r="AA59" s="21">
        <f>EXP(-LN(2)/25)*AA58+(1-EXP(-LN(2)/25))/(LN(2)/25)*Calculateur!V59*Calculateur!X59*VLOOKUP('Données projet'!$B$9,Paramètres!$A$1:$I$89,3,0)*0.475*44/12</f>
        <v>15.215847937667824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52.299971281255864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581.88778927327667</v>
      </c>
      <c r="AO59" s="59">
        <f t="shared" si="36"/>
        <v>269.67340993773422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13.14</v>
      </c>
      <c r="BD59" s="12">
        <f>IF('Données projet'!$A$88&gt;35,BD58+BC59-BL58,IF(A59&lt;'Données projet'!$A$88,$BA$205^A59,IF(A59='Données projet'!$A$88,'Données projet'!$B$88,BD58+BC59-BL58)))</f>
        <v>383.77999999999992</v>
      </c>
      <c r="BE59" s="13">
        <f>BD59*VLOOKUP('Données projet'!$B$11,Paramètres!$A$1:$I$89,3,0)*VLOOKUP('Données projet'!$B$11,Paramètres!$A$1:$I$89,5,0)</f>
        <v>229.50043999999997</v>
      </c>
      <c r="BF59" s="13">
        <f t="shared" si="37"/>
        <v>56.174651313961498</v>
      </c>
      <c r="BG59" s="20">
        <f t="shared" si="7"/>
        <v>497.55078403848285</v>
      </c>
      <c r="BH59" s="59">
        <f t="shared" si="8"/>
        <v>790.88411737181616</v>
      </c>
      <c r="BI59" s="59">
        <f ca="1">AVERAGE(OFFSET($BH$3,0,0,'Données projet'!$E$11+1,1))-AVERAGE(OFFSET($H$3,0,0,'Données projet'!$E$11+1,1))</f>
        <v>300.80663531652721</v>
      </c>
      <c r="BJ59" s="59">
        <f t="shared" si="38"/>
        <v>306.01967513533549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31.675604197513575</v>
      </c>
      <c r="BQ59" s="21">
        <f>EXP(-LN(2)/25)*BQ58+(1-EXP(-LN(2)/25))/(LN(2)/25)*Calculateur!BL59*Calculateur!BN59*VLOOKUP('Données projet'!$B$11,Paramètres!$A$1:$I$89,3,0)*0.475*44/12</f>
        <v>43.741940386879165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75.417544584392743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12.883999999999997</v>
      </c>
      <c r="N60" s="13">
        <f>IF('Données projet'!$A$36&gt;35,N59+M60-V59,IF(A60&lt;'Données projet'!$A$36,$K$205^A60,IF(A60='Données projet'!$A$36,'Données projet'!$B$36,N59+M60-V59)))</f>
        <v>296.67400000000038</v>
      </c>
      <c r="O60" s="13">
        <f>N60*VLOOKUP('Données projet'!$B$9,Paramètres!$A$1:$I$89,3,0)*VLOOKUP('Données projet'!$B$9,Paramètres!$A$1:$I$89,5,0)</f>
        <v>138.84343200000018</v>
      </c>
      <c r="P60" s="13">
        <f t="shared" si="33"/>
        <v>36.031924223793197</v>
      </c>
      <c r="Q60" s="20">
        <f t="shared" si="53"/>
        <v>304.57457875644008</v>
      </c>
      <c r="R60" s="59">
        <f t="shared" si="0"/>
        <v>597.90791208977339</v>
      </c>
      <c r="S60" s="59">
        <f ca="1">AVERAGE(OFFSET($R$3,0,0,'Données projet'!$E$9+1,1))-AVERAGE(OFFSET($H$3,0,0,'Données projet'!$E$9+1,1))</f>
        <v>333.20260838961286</v>
      </c>
      <c r="T60" s="59">
        <f t="shared" si="34"/>
        <v>274.05921873522806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36.356926303902071</v>
      </c>
      <c r="AA60" s="21">
        <f>EXP(-LN(2)/25)*AA59+(1-EXP(-LN(2)/25))/(LN(2)/25)*Calculateur!V60*Calculateur!X60*VLOOKUP('Données projet'!$B$9,Paramètres!$A$1:$I$89,3,0)*0.475*44/12</f>
        <v>14.799769775645631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51.1566960795477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581.88778927327667</v>
      </c>
      <c r="AO60" s="59">
        <f t="shared" si="36"/>
        <v>269.67340993773422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13.14</v>
      </c>
      <c r="BD60" s="12">
        <f>IF('Données projet'!$A$88&gt;35,BD59+BC60-BL59,IF(A60&lt;'Données projet'!$A$88,$BA$205^A60,IF(A60='Données projet'!$A$88,'Données projet'!$B$88,BD59+BC60-BL59)))</f>
        <v>396.9199999999999</v>
      </c>
      <c r="BE60" s="13">
        <f>BD60*VLOOKUP('Données projet'!$B$11,Paramètres!$A$1:$I$89,3,0)*VLOOKUP('Données projet'!$B$11,Paramètres!$A$1:$I$89,5,0)</f>
        <v>237.35815999999997</v>
      </c>
      <c r="BF60" s="13">
        <f t="shared" si="37"/>
        <v>57.870760090028412</v>
      </c>
      <c r="BG60" s="20">
        <f t="shared" si="7"/>
        <v>514.19036915679942</v>
      </c>
      <c r="BH60" s="59">
        <f t="shared" si="8"/>
        <v>807.52370249013279</v>
      </c>
      <c r="BI60" s="59">
        <f ca="1">AVERAGE(OFFSET($BH$3,0,0,'Données projet'!$E$11+1,1))-AVERAGE(OFFSET($H$3,0,0,'Données projet'!$E$11+1,1))</f>
        <v>300.80663531652721</v>
      </c>
      <c r="BJ60" s="59">
        <f t="shared" si="38"/>
        <v>306.01967513533549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31.054464919411181</v>
      </c>
      <c r="BQ60" s="21">
        <f>EXP(-LN(2)/25)*BQ59+(1-EXP(-LN(2)/25))/(LN(2)/25)*Calculateur!BL60*Calculateur!BN60*VLOOKUP('Données projet'!$B$11,Paramètres!$A$1:$I$89,3,0)*0.475*44/12</f>
        <v>42.545814726711285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73.600279646122459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12.883999999999997</v>
      </c>
      <c r="N61" s="13">
        <f>IF('Données projet'!$A$36&gt;35,N60+M61-V60,IF(A61&lt;'Données projet'!$A$36,$K$205^A61,IF(A61='Données projet'!$A$36,'Données projet'!$B$36,N60+M61-V60)))</f>
        <v>309.55800000000039</v>
      </c>
      <c r="O61" s="13">
        <f>N61*VLOOKUP('Données projet'!$B$9,Paramètres!$A$1:$I$89,3,0)*VLOOKUP('Données projet'!$B$9,Paramètres!$A$1:$I$89,5,0)</f>
        <v>144.87314400000017</v>
      </c>
      <c r="P61" s="13">
        <f t="shared" si="33"/>
        <v>37.411141541504648</v>
      </c>
      <c r="Q61" s="20">
        <f t="shared" si="53"/>
        <v>317.47846398478754</v>
      </c>
      <c r="R61" s="59">
        <f t="shared" si="0"/>
        <v>610.81179731812085</v>
      </c>
      <c r="S61" s="59">
        <f ca="1">AVERAGE(OFFSET($R$3,0,0,'Données projet'!$E$9+1,1))-AVERAGE(OFFSET($H$3,0,0,'Données projet'!$E$9+1,1))</f>
        <v>333.20260838961286</v>
      </c>
      <c r="T61" s="59">
        <f t="shared" si="34"/>
        <v>274.05921873522806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35.643989154617948</v>
      </c>
      <c r="AA61" s="21">
        <f>EXP(-LN(2)/25)*AA60+(1-EXP(-LN(2)/25))/(LN(2)/25)*Calculateur!V61*Calculateur!X61*VLOOKUP('Données projet'!$B$9,Paramètres!$A$1:$I$89,3,0)*0.475*44/12</f>
        <v>14.395069292844534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50.03905844746248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581.88778927327667</v>
      </c>
      <c r="AO61" s="59">
        <f t="shared" si="36"/>
        <v>269.67340993773422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13.14</v>
      </c>
      <c r="BD61" s="12">
        <f>IF('Données projet'!$A$88&gt;35,BD60+BC61-BL60,IF(A61&lt;'Données projet'!$A$88,$BA$205^A61,IF(A61='Données projet'!$A$88,'Données projet'!$B$88,BD60+BC61-BL60)))</f>
        <v>410.05999999999989</v>
      </c>
      <c r="BE61" s="13">
        <f>BD61*VLOOKUP('Données projet'!$B$11,Paramètres!$A$1:$I$89,3,0)*VLOOKUP('Données projet'!$B$11,Paramètres!$A$1:$I$89,5,0)</f>
        <v>245.21587999999994</v>
      </c>
      <c r="BF61" s="13">
        <f t="shared" si="37"/>
        <v>59.560344378839609</v>
      </c>
      <c r="BG61" s="20">
        <f t="shared" si="7"/>
        <v>530.81859079314563</v>
      </c>
      <c r="BH61" s="59">
        <f t="shared" si="8"/>
        <v>824.15192412647889</v>
      </c>
      <c r="BI61" s="59">
        <f ca="1">AVERAGE(OFFSET($BH$3,0,0,'Données projet'!$E$11+1,1))-AVERAGE(OFFSET($H$3,0,0,'Données projet'!$E$11+1,1))</f>
        <v>300.80663531652721</v>
      </c>
      <c r="BJ61" s="59">
        <f t="shared" si="38"/>
        <v>306.01967513533549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30.445505803694825</v>
      </c>
      <c r="BQ61" s="21">
        <f>EXP(-LN(2)/25)*BQ60+(1-EXP(-LN(2)/25))/(LN(2)/25)*Calculateur!BL61*Calculateur!BN61*VLOOKUP('Données projet'!$B$11,Paramètres!$A$1:$I$89,3,0)*0.475*44/12</f>
        <v>41.38239718562221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71.827902989317039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12.883999999999997</v>
      </c>
      <c r="N62" s="13">
        <f>IF('Données projet'!$A$36&gt;35,N61+M62-V61,IF(A62&lt;'Données projet'!$A$36,$K$205^A62,IF(A62='Données projet'!$A$36,'Données projet'!$B$36,N61+M62-V61)))</f>
        <v>322.44200000000041</v>
      </c>
      <c r="O62" s="13">
        <f>N62*VLOOKUP('Données projet'!$B$9,Paramètres!$A$1:$I$89,3,0)*VLOOKUP('Données projet'!$B$9,Paramètres!$A$1:$I$89,5,0)</f>
        <v>150.90285600000018</v>
      </c>
      <c r="P62" s="13">
        <f t="shared" si="33"/>
        <v>38.783691171847273</v>
      </c>
      <c r="Q62" s="20">
        <f t="shared" si="53"/>
        <v>330.37073632430099</v>
      </c>
      <c r="R62" s="59">
        <f t="shared" si="0"/>
        <v>623.70406965763436</v>
      </c>
      <c r="S62" s="59">
        <f ca="1">AVERAGE(OFFSET($R$3,0,0,'Données projet'!$E$9+1,1))-AVERAGE(OFFSET($H$3,0,0,'Données projet'!$E$9+1,1))</f>
        <v>333.20260838961286</v>
      </c>
      <c r="T62" s="59">
        <f t="shared" si="34"/>
        <v>274.05921873522806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34.945032267982562</v>
      </c>
      <c r="AA62" s="21">
        <f>EXP(-LN(2)/25)*AA61+(1-EXP(-LN(2)/25))/(LN(2)/25)*Calculateur!V62*Calculateur!X62*VLOOKUP('Données projet'!$B$9,Paramètres!$A$1:$I$89,3,0)*0.475*44/12</f>
        <v>14.001435366027906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48.946467634010467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581.88778927327667</v>
      </c>
      <c r="AO62" s="59">
        <f t="shared" si="36"/>
        <v>269.67340993773422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13.14</v>
      </c>
      <c r="BD62" s="12">
        <f>IF('Données projet'!$A$88&gt;35,BD61+BC62-BL61,IF(A62&lt;'Données projet'!$A$88,$BA$205^A62,IF(A62='Données projet'!$A$88,'Données projet'!$B$88,BD61+BC62-BL61)))</f>
        <v>423.19999999999987</v>
      </c>
      <c r="BE62" s="13">
        <f>BD62*VLOOKUP('Données projet'!$B$11,Paramètres!$A$1:$I$89,3,0)*VLOOKUP('Données projet'!$B$11,Paramètres!$A$1:$I$89,5,0)</f>
        <v>253.07359999999994</v>
      </c>
      <c r="BF62" s="13">
        <f t="shared" si="37"/>
        <v>61.243637233758619</v>
      </c>
      <c r="BG62" s="20">
        <f t="shared" si="7"/>
        <v>547.43585484879611</v>
      </c>
      <c r="BH62" s="59">
        <f t="shared" si="8"/>
        <v>840.76918818212948</v>
      </c>
      <c r="BI62" s="59">
        <f ca="1">AVERAGE(OFFSET($BH$3,0,0,'Données projet'!$E$11+1,1))-AVERAGE(OFFSET($H$3,0,0,'Données projet'!$E$11+1,1))</f>
        <v>300.80663531652721</v>
      </c>
      <c r="BJ62" s="59">
        <f t="shared" si="38"/>
        <v>306.01967513533549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29.848488004809283</v>
      </c>
      <c r="BQ62" s="21">
        <f>EXP(-LN(2)/25)*BQ61+(1-EXP(-LN(2)/25))/(LN(2)/25)*Calculateur!BL62*Calculateur!BN62*VLOOKUP('Données projet'!$B$11,Paramètres!$A$1:$I$89,3,0)*0.475*44/12</f>
        <v>40.250793358375681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70.099281363184957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12.883999999999997</v>
      </c>
      <c r="N63" s="13">
        <f>IF('Données projet'!$A$36&gt;35,N62+M63-V62,IF(A63&lt;'Données projet'!$A$36,$K$205^A63,IF(A63='Données projet'!$A$36,'Données projet'!$B$36,N62+M63-V62)))</f>
        <v>335.32600000000042</v>
      </c>
      <c r="O63" s="13">
        <f>N63*VLOOKUP('Données projet'!$B$9,Paramètres!$A$1:$I$89,3,0)*VLOOKUP('Données projet'!$B$9,Paramètres!$A$1:$I$89,5,0)</f>
        <v>156.9325680000002</v>
      </c>
      <c r="P63" s="13">
        <f t="shared" si="33"/>
        <v>40.149870021630669</v>
      </c>
      <c r="Q63" s="20">
        <f t="shared" si="53"/>
        <v>343.25191288767377</v>
      </c>
      <c r="R63" s="59">
        <f t="shared" si="0"/>
        <v>636.58524622100708</v>
      </c>
      <c r="S63" s="59">
        <f ca="1">AVERAGE(OFFSET($R$3,0,0,'Données projet'!$E$9+1,1))-AVERAGE(OFFSET($H$3,0,0,'Données projet'!$E$9+1,1))</f>
        <v>333.20260838961286</v>
      </c>
      <c r="T63" s="59">
        <f t="shared" si="34"/>
        <v>274.05921873522806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34.25978149957249</v>
      </c>
      <c r="AA63" s="21">
        <f>EXP(-LN(2)/25)*AA62+(1-EXP(-LN(2)/25))/(LN(2)/25)*Calculateur!V63*Calculateur!X63*VLOOKUP('Données projet'!$B$9,Paramètres!$A$1:$I$89,3,0)*0.475*44/12</f>
        <v>13.618565379640387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47.878346879212877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581.88778927327667</v>
      </c>
      <c r="AO63" s="59">
        <f t="shared" si="36"/>
        <v>269.67340993773422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436.34</v>
      </c>
      <c r="BB63" s="12">
        <f>VLOOKUP(A63,'Données projet'!$A$87:$I$107,9,0)</f>
        <v>13.14</v>
      </c>
      <c r="BC63" s="12">
        <f t="array" ref="BC63">INDEX(BB:BB,MIN(IF(ISNUMBER(BB63:BB259),ROW(BB63:BB259),"")))</f>
        <v>13.14</v>
      </c>
      <c r="BD63" s="12">
        <f>IF('Données projet'!$A$88&gt;35,BD62+BC63-BL62,IF(A63&lt;'Données projet'!$A$88,$BA$205^A63,IF(A63='Données projet'!$A$88,'Données projet'!$B$88,BD62+BC63-BL62)))</f>
        <v>436.33999999999986</v>
      </c>
      <c r="BE63" s="13">
        <f>BD63*VLOOKUP('Données projet'!$B$11,Paramètres!$A$1:$I$89,3,0)*VLOOKUP('Données projet'!$B$11,Paramètres!$A$1:$I$89,5,0)</f>
        <v>260.93131999999991</v>
      </c>
      <c r="BF63" s="13">
        <f t="shared" si="37"/>
        <v>62.92085641383472</v>
      </c>
      <c r="BG63" s="20">
        <f t="shared" si="7"/>
        <v>564.04254058742856</v>
      </c>
      <c r="BH63" s="59">
        <f t="shared" si="8"/>
        <v>857.37587392076193</v>
      </c>
      <c r="BI63" s="59">
        <f ca="1">AVERAGE(OFFSET($BH$3,0,0,'Données projet'!$E$11+1,1))-AVERAGE(OFFSET($H$3,0,0,'Données projet'!$E$11+1,1))</f>
        <v>300.80663531652721</v>
      </c>
      <c r="BJ63" s="59">
        <f t="shared" si="38"/>
        <v>306.01967513533549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436.34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138.2979749040349</v>
      </c>
      <c r="BQ63" s="21">
        <f>EXP(-LN(2)/25)*BQ62+(1-EXP(-LN(2)/25))/(LN(2)/25)*Calculateur!BL63*Calculateur!BN63*VLOOKUP('Données projet'!$B$11,Paramètres!$A$1:$I$89,3,0)*0.475*44/12</f>
        <v>85.695341582912519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223.99331648694744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348.21</v>
      </c>
      <c r="L64" s="12">
        <f>VLOOKUP(A64,'Données projet'!$A$35:$I$55,9,0)</f>
        <v>12.883999999999997</v>
      </c>
      <c r="M64" s="12">
        <f t="array" ref="M64">INDEX(L:L,MIN(IF(ISNUMBER(L64:L260),ROW(L64:L260),"")))</f>
        <v>12.883999999999997</v>
      </c>
      <c r="N64" s="13">
        <f>IF('Données projet'!$A$36&gt;35,N63+M64-V63,IF(A64&lt;'Données projet'!$A$36,$K$205^A64,IF(A64='Données projet'!$A$36,'Données projet'!$B$36,N63+M64-V63)))</f>
        <v>348.21000000000043</v>
      </c>
      <c r="O64" s="13">
        <f>N64*VLOOKUP('Données projet'!$B$9,Paramètres!$A$1:$I$89,3,0)*VLOOKUP('Données projet'!$B$9,Paramètres!$A$1:$I$89,5,0)</f>
        <v>162.96228000000019</v>
      </c>
      <c r="P64" s="13">
        <f t="shared" si="33"/>
        <v>41.509950889873885</v>
      </c>
      <c r="Q64" s="20">
        <f t="shared" si="53"/>
        <v>356.12246879986401</v>
      </c>
      <c r="R64" s="59">
        <f t="shared" si="0"/>
        <v>649.45580213319727</v>
      </c>
      <c r="S64" s="59">
        <f ca="1">AVERAGE(OFFSET($R$3,0,0,'Données projet'!$E$9+1,1))-AVERAGE(OFFSET($H$3,0,0,'Données projet'!$E$9+1,1))</f>
        <v>333.20260838961286</v>
      </c>
      <c r="T64" s="59">
        <f t="shared" si="34"/>
        <v>274.05921873522806</v>
      </c>
      <c r="U64" s="15">
        <f>IF(ISNA(VLOOKUP(A64,'Données projet'!$A$35:$I$55,3,0)),0,VLOOKUP(A64,'Données projet'!$A$35:$I$55,3,0))</f>
        <v>2</v>
      </c>
      <c r="V64" s="15">
        <f>IF(ISNA(VLOOKUP(A64,'Données projet'!$A$35:$I$55,4,0)),0,VLOOKUP(A64,'Données projet'!$A$35:$I$55,4,0))</f>
        <v>100.2</v>
      </c>
      <c r="W64" s="16">
        <f>IF(ISNA(VLOOKUP(A64,'Données projet'!$A$35:$I$55,5,0)),0%,VLOOKUP(A64,'Données projet'!$A$35:$I$55,5,0)*VLOOKUP('Données projet'!$B$9,Paramètres!$A$1:$I$89,7,0))</f>
        <v>0.38500000000000001</v>
      </c>
      <c r="X64" s="16">
        <f>IF(ISNA(VLOOKUP(A64,'Données projet'!$A$35:$I$55,6,0)),0%,VLOOKUP(A64,'Données projet'!$A$35:$I$55,6,0)*VLOOKUP('Données projet'!$B$9,Paramètres!$A$1:$I$89,7,0))</f>
        <v>0.16500000000000001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57.537810515595091</v>
      </c>
      <c r="AA64" s="21">
        <f>EXP(-LN(2)/25)*AA63+(1-EXP(-LN(2)/25))/(LN(2)/25)*Calculateur!V64*Calculateur!X64*VLOOKUP('Données projet'!$B$9,Paramètres!$A$1:$I$89,3,0)*0.475*44/12</f>
        <v>23.469969041545411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81.007779557140509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581.88778927327667</v>
      </c>
      <c r="AO64" s="59">
        <f t="shared" si="36"/>
        <v>269.67340993773422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-1.1368683772161603E-13</v>
      </c>
      <c r="BE64" s="13">
        <f>BD64*VLOOKUP('Données projet'!$B$11,Paramètres!$A$1:$I$89,3,0)*VLOOKUP('Données projet'!$B$11,Paramètres!$A$1:$I$89,5,0)</f>
        <v>-6.7984728957526396E-14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300.80663531652721</v>
      </c>
      <c r="BJ64" s="59">
        <f t="shared" si="38"/>
        <v>306.01967513533549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135.58603596960225</v>
      </c>
      <c r="BQ64" s="21">
        <f>EXP(-LN(2)/25)*BQ63+(1-EXP(-LN(2)/25))/(LN(2)/25)*Calculateur!BL64*Calculateur!BN64*VLOOKUP('Données projet'!$B$11,Paramètres!$A$1:$I$89,3,0)*0.475*44/12</f>
        <v>83.351997960805619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218.93803393040787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11.868333333333334</v>
      </c>
      <c r="N65" s="13">
        <f>IF('Données projet'!$A$36&gt;35,N64+M65-V64,IF(A65&lt;'Données projet'!$A$36,$K$205^A65,IF(A65='Données projet'!$A$36,'Données projet'!$B$36,N64+M65-V64)))</f>
        <v>259.87833333333379</v>
      </c>
      <c r="O65" s="13">
        <f>N65*VLOOKUP('Données projet'!$B$9,Paramètres!$A$1:$I$89,3,0)*VLOOKUP('Données projet'!$B$9,Paramètres!$A$1:$I$89,5,0)</f>
        <v>121.62306000000021</v>
      </c>
      <c r="P65" s="13">
        <f t="shared" si="33"/>
        <v>32.053254884491679</v>
      </c>
      <c r="Q65" s="20">
        <f t="shared" si="53"/>
        <v>267.65291509049001</v>
      </c>
      <c r="R65" s="59">
        <f t="shared" si="0"/>
        <v>560.98624842382333</v>
      </c>
      <c r="S65" s="59">
        <f ca="1">AVERAGE(OFFSET($R$3,0,0,'Données projet'!$E$9+1,1))-AVERAGE(OFFSET($H$3,0,0,'Données projet'!$E$9+1,1))</f>
        <v>333.20260838961286</v>
      </c>
      <c r="T65" s="59">
        <f t="shared" si="34"/>
        <v>274.05921873522806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56.409529145983385</v>
      </c>
      <c r="AA65" s="21">
        <f>EXP(-LN(2)/25)*AA64+(1-EXP(-LN(2)/25))/(LN(2)/25)*Calculateur!V65*Calculateur!X65*VLOOKUP('Données projet'!$B$9,Paramètres!$A$1:$I$89,3,0)*0.475*44/12</f>
        <v>22.828181503872322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79.2377106498557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581.88778927327667</v>
      </c>
      <c r="AO65" s="59">
        <f t="shared" si="36"/>
        <v>269.67340993773422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-1.1368683772161603E-13</v>
      </c>
      <c r="BE65" s="13">
        <f>BD65*VLOOKUP('Données projet'!$B$11,Paramètres!$A$1:$I$89,3,0)*VLOOKUP('Données projet'!$B$11,Paramètres!$A$1:$I$89,5,0)</f>
        <v>-6.7984728957526396E-14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300.80663531652721</v>
      </c>
      <c r="BJ65" s="59">
        <f t="shared" si="38"/>
        <v>306.01967513533549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132.92727650355442</v>
      </c>
      <c r="BQ65" s="21">
        <f>EXP(-LN(2)/25)*BQ64+(1-EXP(-LN(2)/25))/(LN(2)/25)*Calculateur!BL65*Calculateur!BN65*VLOOKUP('Données projet'!$B$11,Paramètres!$A$1:$I$89,3,0)*0.475*44/12</f>
        <v>81.072733193276321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214.00000969683074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11.868333333333334</v>
      </c>
      <c r="N66" s="13">
        <f>IF('Données projet'!$A$36&gt;35,N65+M66-V65,IF(A66&lt;'Données projet'!$A$36,$K$205^A66,IF(A66='Données projet'!$A$36,'Données projet'!$B$36,N65+M66-V65)))</f>
        <v>271.74666666666712</v>
      </c>
      <c r="O66" s="13">
        <f>N66*VLOOKUP('Données projet'!$B$9,Paramètres!$A$1:$I$89,3,0)*VLOOKUP('Données projet'!$B$9,Paramètres!$A$1:$I$89,5,0)</f>
        <v>127.1774400000002</v>
      </c>
      <c r="P66" s="13">
        <f t="shared" si="33"/>
        <v>33.34331769365982</v>
      </c>
      <c r="Q66" s="20">
        <f t="shared" si="53"/>
        <v>279.57365298312453</v>
      </c>
      <c r="R66" s="59">
        <f t="shared" si="0"/>
        <v>572.90698631645785</v>
      </c>
      <c r="S66" s="59">
        <f ca="1">AVERAGE(OFFSET($R$3,0,0,'Données projet'!$E$9+1,1))-AVERAGE(OFFSET($H$3,0,0,'Données projet'!$E$9+1,1))</f>
        <v>333.20260838961286</v>
      </c>
      <c r="T66" s="59">
        <f t="shared" si="34"/>
        <v>274.05921873522806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55.303372685846078</v>
      </c>
      <c r="AA66" s="21">
        <f>EXP(-LN(2)/25)*AA65+(1-EXP(-LN(2)/25))/(LN(2)/25)*Calculateur!V66*Calculateur!X66*VLOOKUP('Données projet'!$B$9,Paramètres!$A$1:$I$89,3,0)*0.475*44/12</f>
        <v>22.203943680167043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77.507316366013129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581.88778927327667</v>
      </c>
      <c r="AO66" s="59">
        <f t="shared" si="36"/>
        <v>269.67340993773422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-1.1368683772161603E-13</v>
      </c>
      <c r="BE66" s="13">
        <f>BD66*VLOOKUP('Données projet'!$B$11,Paramètres!$A$1:$I$89,3,0)*VLOOKUP('Données projet'!$B$11,Paramètres!$A$1:$I$89,5,0)</f>
        <v>-6.7984728957526396E-14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300.80663531652721</v>
      </c>
      <c r="BJ66" s="59">
        <f t="shared" si="38"/>
        <v>306.01967513533549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130.32065368895263</v>
      </c>
      <c r="BQ66" s="21">
        <f>EXP(-LN(2)/25)*BQ65+(1-EXP(-LN(2)/25))/(LN(2)/25)*Calculateur!BL66*Calculateur!BN66*VLOOKUP('Données projet'!$B$11,Paramètres!$A$1:$I$89,3,0)*0.475*44/12</f>
        <v>78.855795040676441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209.17644872962907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11.868333333333334</v>
      </c>
      <c r="N67" s="13">
        <f>IF('Données projet'!$A$36&gt;35,N66+M67-V66,IF(A67&lt;'Données projet'!$A$36,$K$205^A67,IF(A67='Données projet'!$A$36,'Données projet'!$B$36,N66+M67-V66)))</f>
        <v>283.61500000000046</v>
      </c>
      <c r="O67" s="13">
        <f>N67*VLOOKUP('Données projet'!$B$9,Paramètres!$A$1:$I$89,3,0)*VLOOKUP('Données projet'!$B$9,Paramètres!$A$1:$I$89,5,0)</f>
        <v>132.73182000000023</v>
      </c>
      <c r="P67" s="13">
        <f t="shared" si="33"/>
        <v>34.626836677073747</v>
      </c>
      <c r="Q67" s="20">
        <f t="shared" ref="Q67:Q98" si="54">(O67+P67)*0.475*44/12</f>
        <v>291.48299371257053</v>
      </c>
      <c r="R67" s="59">
        <f t="shared" ref="R67:R130" si="55">Q67+(I67+J67)*44/12</f>
        <v>584.81632704590379</v>
      </c>
      <c r="S67" s="59">
        <f ca="1">AVERAGE(OFFSET($R$3,0,0,'Données projet'!$E$9+1,1))-AVERAGE(OFFSET($H$3,0,0,'Données projet'!$E$9+1,1))</f>
        <v>333.20260838961286</v>
      </c>
      <c r="T67" s="59">
        <f t="shared" si="34"/>
        <v>274.05921873522806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54.218907279203243</v>
      </c>
      <c r="AA67" s="21">
        <f>EXP(-LN(2)/25)*AA66+(1-EXP(-LN(2)/25))/(LN(2)/25)*Calculateur!V67*Calculateur!X67*VLOOKUP('Données projet'!$B$9,Paramètres!$A$1:$I$89,3,0)*0.475*44/12</f>
        <v>21.596775672578225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75.815682951781469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581.88778927327667</v>
      </c>
      <c r="AO67" s="59">
        <f t="shared" si="36"/>
        <v>269.67340993773422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-1.1368683772161603E-13</v>
      </c>
      <c r="BE67" s="13">
        <f>BD67*VLOOKUP('Données projet'!$B$11,Paramètres!$A$1:$I$89,3,0)*VLOOKUP('Données projet'!$B$11,Paramètres!$A$1:$I$89,5,0)</f>
        <v>-6.7984728957526396E-14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300.80663531652721</v>
      </c>
      <c r="BJ67" s="59">
        <f t="shared" si="38"/>
        <v>306.01967513533549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127.76514515786226</v>
      </c>
      <c r="BQ67" s="21">
        <f>EXP(-LN(2)/25)*BQ66+(1-EXP(-LN(2)/25))/(LN(2)/25)*Calculateur!BL67*Calculateur!BN67*VLOOKUP('Données projet'!$B$11,Paramètres!$A$1:$I$89,3,0)*0.475*44/12</f>
        <v>76.699479178443113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204.46462433630538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11.868333333333334</v>
      </c>
      <c r="N68" s="13">
        <f>IF('Données projet'!$A$36&gt;35,N67+M68-V67,IF(A68&lt;'Données projet'!$A$36,$K$205^A68,IF(A68='Données projet'!$A$36,'Données projet'!$B$36,N67+M68-V67)))</f>
        <v>295.4833333333338</v>
      </c>
      <c r="O68" s="13">
        <f>N68*VLOOKUP('Données projet'!$B$9,Paramètres!$A$1:$I$89,3,0)*VLOOKUP('Données projet'!$B$9,Paramètres!$A$1:$I$89,5,0)</f>
        <v>138.28620000000021</v>
      </c>
      <c r="P68" s="13">
        <f t="shared" si="33"/>
        <v>35.904116984770091</v>
      </c>
      <c r="Q68" s="20">
        <f t="shared" si="54"/>
        <v>303.3814687484749</v>
      </c>
      <c r="R68" s="59">
        <f t="shared" si="55"/>
        <v>596.71480208180822</v>
      </c>
      <c r="S68" s="59">
        <f ca="1">AVERAGE(OFFSET($R$3,0,0,'Données projet'!$E$9+1,1))-AVERAGE(OFFSET($H$3,0,0,'Données projet'!$E$9+1,1))</f>
        <v>333.20260838961286</v>
      </c>
      <c r="T68" s="59">
        <f t="shared" si="34"/>
        <v>274.05921873522806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53.155707577726091</v>
      </c>
      <c r="AA68" s="21">
        <f>EXP(-LN(2)/25)*AA67+(1-EXP(-LN(2)/25))/(LN(2)/25)*Calculateur!V68*Calculateur!X68*VLOOKUP('Données projet'!$B$9,Paramètres!$A$1:$I$89,3,0)*0.475*44/12</f>
        <v>21.006210706086502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74.161918283812597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581.88778927327667</v>
      </c>
      <c r="AO68" s="59">
        <f t="shared" si="36"/>
        <v>269.67340993773422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-1.1368683772161603E-13</v>
      </c>
      <c r="BE68" s="13">
        <f>BD68*VLOOKUP('Données projet'!$B$11,Paramètres!$A$1:$I$89,3,0)*VLOOKUP('Données projet'!$B$11,Paramètres!$A$1:$I$89,5,0)</f>
        <v>-6.7984728957526396E-14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300.80663531652721</v>
      </c>
      <c r="BJ68" s="59">
        <f t="shared" si="38"/>
        <v>306.01967513533549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125.25974859036027</v>
      </c>
      <c r="BQ68" s="21">
        <f>EXP(-LN(2)/25)*BQ67+(1-EXP(-LN(2)/25))/(LN(2)/25)*Calculateur!BL68*Calculateur!BN68*VLOOKUP('Données projet'!$B$11,Paramètres!$A$1:$I$89,3,0)*0.475*44/12</f>
        <v>74.60212788685827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199.86187647721854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11.868333333333334</v>
      </c>
      <c r="N69" s="13">
        <f>IF('Données projet'!$A$36&gt;35,N68+M69-V68,IF(A69&lt;'Données projet'!$A$36,$K$205^A69,IF(A69='Données projet'!$A$36,'Données projet'!$B$36,N68+M69-V68)))</f>
        <v>307.35166666666714</v>
      </c>
      <c r="O69" s="13">
        <f>N69*VLOOKUP('Données projet'!$B$9,Paramètres!$A$1:$I$89,3,0)*VLOOKUP('Données projet'!$B$9,Paramètres!$A$1:$I$89,5,0)</f>
        <v>143.84058000000022</v>
      </c>
      <c r="P69" s="13">
        <f t="shared" ref="P69:P132" si="87">EXP(-1.0587+0.8836*LN(O69)+0.284)</f>
        <v>37.17543786612071</v>
      </c>
      <c r="Q69" s="20">
        <f t="shared" si="54"/>
        <v>315.26956445016066</v>
      </c>
      <c r="R69" s="59">
        <f t="shared" si="55"/>
        <v>608.60289778349397</v>
      </c>
      <c r="S69" s="59">
        <f ca="1">AVERAGE(OFFSET($R$3,0,0,'Données projet'!$E$9+1,1))-AVERAGE(OFFSET($H$3,0,0,'Données projet'!$E$9+1,1))</f>
        <v>333.20260838961286</v>
      </c>
      <c r="T69" s="59">
        <f t="shared" ref="T69:T132" si="88">$T$3</f>
        <v>274.05921873522806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52.113356573907119</v>
      </c>
      <c r="AA69" s="21">
        <f>EXP(-LN(2)/25)*AA68+(1-EXP(-LN(2)/25))/(LN(2)/25)*Calculateur!V69*Calculateur!X69*VLOOKUP('Données projet'!$B$9,Paramètres!$A$1:$I$89,3,0)*0.475*44/12</f>
        <v>20.431794769659955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72.545151343567071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581.88778927327667</v>
      </c>
      <c r="AO69" s="59">
        <f t="shared" ref="AO69:AO132" si="90">$AO$3</f>
        <v>269.67340993773422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-6.7984728957526396E-14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300.80663531652721</v>
      </c>
      <c r="BJ69" s="59">
        <f t="shared" ref="BJ69:BJ132" si="92">$BJ$3</f>
        <v>306.01967513533549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122.80348132140598</v>
      </c>
      <c r="BQ69" s="21">
        <f>EXP(-LN(2)/25)*BQ68+(1-EXP(-LN(2)/25))/(LN(2)/25)*Calculateur!BL69*Calculateur!BN69*VLOOKUP('Données projet'!$B$11,Paramètres!$A$1:$I$89,3,0)*0.475*44/12</f>
        <v>72.562128776636726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195.36561009804271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11.868333333333334</v>
      </c>
      <c r="N70" s="13">
        <f>IF('Données projet'!$A$36&gt;35,N69+M70-V69,IF(A70&lt;'Données projet'!$A$36,$K$205^A70,IF(A70='Données projet'!$A$36,'Données projet'!$B$36,N69+M70-V69)))</f>
        <v>319.22000000000048</v>
      </c>
      <c r="O70" s="13">
        <f>N70*VLOOKUP('Données projet'!$B$9,Paramètres!$A$1:$I$89,3,0)*VLOOKUP('Données projet'!$B$9,Paramètres!$A$1:$I$89,5,0)</f>
        <v>149.39496000000022</v>
      </c>
      <c r="P70" s="13">
        <f t="shared" si="87"/>
        <v>38.441055782895731</v>
      </c>
      <c r="Q70" s="20">
        <f t="shared" si="54"/>
        <v>327.14772748854381</v>
      </c>
      <c r="R70" s="59">
        <f t="shared" si="55"/>
        <v>620.48106082187712</v>
      </c>
      <c r="S70" s="59">
        <f ca="1">AVERAGE(OFFSET($R$3,0,0,'Données projet'!$E$9+1,1))-AVERAGE(OFFSET($H$3,0,0,'Données projet'!$E$9+1,1))</f>
        <v>333.20260838961286</v>
      </c>
      <c r="T70" s="59">
        <f t="shared" si="88"/>
        <v>274.05921873522806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51.091445437501704</v>
      </c>
      <c r="AA70" s="21">
        <f>EXP(-LN(2)/25)*AA69+(1-EXP(-LN(2)/25))/(LN(2)/25)*Calculateur!V70*Calculateur!X70*VLOOKUP('Données projet'!$B$9,Paramètres!$A$1:$I$89,3,0)*0.475*44/12</f>
        <v>19.873086267222213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70.964531704723925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581.88778927327667</v>
      </c>
      <c r="AO70" s="59">
        <f t="shared" si="90"/>
        <v>269.67340993773422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-6.7984728957526396E-14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300.80663531652721</v>
      </c>
      <c r="BJ70" s="59">
        <f t="shared" si="92"/>
        <v>306.01967513533549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120.39537995542079</v>
      </c>
      <c r="BQ70" s="21">
        <f>EXP(-LN(2)/25)*BQ69+(1-EXP(-LN(2)/25))/(LN(2)/25)*Calculateur!BL70*Calculateur!BN70*VLOOKUP('Données projet'!$B$11,Paramètres!$A$1:$I$89,3,0)*0.475*44/12</f>
        <v>70.577913549363089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190.9732935047839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11.868333333333334</v>
      </c>
      <c r="N71" s="13">
        <f>IF('Données projet'!$A$36&gt;35,N70+M71-V70,IF(A71&lt;'Données projet'!$A$36,$K$205^A71,IF(A71='Données projet'!$A$36,'Données projet'!$B$36,N70+M71-V70)))</f>
        <v>331.08833333333382</v>
      </c>
      <c r="O71" s="13">
        <f>N71*VLOOKUP('Données projet'!$B$9,Paramètres!$A$1:$I$89,3,0)*VLOOKUP('Données projet'!$B$9,Paramètres!$A$1:$I$89,5,0)</f>
        <v>154.94934000000023</v>
      </c>
      <c r="P71" s="13">
        <f t="shared" si="87"/>
        <v>39.701207046347101</v>
      </c>
      <c r="Q71" s="20">
        <f t="shared" si="54"/>
        <v>339.01636943905493</v>
      </c>
      <c r="R71" s="59">
        <f t="shared" si="55"/>
        <v>632.34970277238824</v>
      </c>
      <c r="S71" s="59">
        <f ca="1">AVERAGE(OFFSET($R$3,0,0,'Données projet'!$E$9+1,1))-AVERAGE(OFFSET($H$3,0,0,'Données projet'!$E$9+1,1))</f>
        <v>333.20260838961286</v>
      </c>
      <c r="T71" s="59">
        <f t="shared" si="88"/>
        <v>274.05921873522806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50.089573355176952</v>
      </c>
      <c r="AA71" s="21">
        <f>EXP(-LN(2)/25)*AA70+(1-EXP(-LN(2)/25))/(LN(2)/25)*Calculateur!V71*Calculateur!X71*VLOOKUP('Données projet'!$B$9,Paramètres!$A$1:$I$89,3,0)*0.475*44/12</f>
        <v>19.329655678164837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69.419229033341793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581.88778927327667</v>
      </c>
      <c r="AO71" s="59">
        <f t="shared" si="90"/>
        <v>269.67340993773422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-6.7984728957526396E-14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300.80663531652721</v>
      </c>
      <c r="BJ71" s="59">
        <f t="shared" si="92"/>
        <v>306.01967513533549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118.03449998842576</v>
      </c>
      <c r="BQ71" s="21">
        <f>EXP(-LN(2)/25)*BQ70+(1-EXP(-LN(2)/25))/(LN(2)/25)*Calculateur!BL71*Calculateur!BN71*VLOOKUP('Données projet'!$B$11,Paramètres!$A$1:$I$89,3,0)*0.475*44/12</f>
        <v>68.647956791824583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186.68245678025033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11.868333333333334</v>
      </c>
      <c r="N72" s="13">
        <f>IF('Données projet'!$A$36&gt;35,N71+M72-V71,IF(A72&lt;'Données projet'!$A$36,$K$205^A72,IF(A72='Données projet'!$A$36,'Données projet'!$B$36,N71+M72-V71)))</f>
        <v>342.95666666666716</v>
      </c>
      <c r="O72" s="13">
        <f>N72*VLOOKUP('Données projet'!$B$9,Paramètres!$A$1:$I$89,3,0)*VLOOKUP('Données projet'!$B$9,Paramètres!$A$1:$I$89,5,0)</f>
        <v>160.50372000000021</v>
      </c>
      <c r="P72" s="13">
        <f t="shared" si="87"/>
        <v>40.956110065545921</v>
      </c>
      <c r="Q72" s="20">
        <f t="shared" si="54"/>
        <v>350.87587069749287</v>
      </c>
      <c r="R72" s="59">
        <f t="shared" si="55"/>
        <v>644.20920403082619</v>
      </c>
      <c r="S72" s="59">
        <f ca="1">AVERAGE(OFFSET($R$3,0,0,'Données projet'!$E$9+1,1))-AVERAGE(OFFSET($H$3,0,0,'Données projet'!$E$9+1,1))</f>
        <v>333.20260838961286</v>
      </c>
      <c r="T72" s="59">
        <f t="shared" si="88"/>
        <v>274.05921873522806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49.107347373304954</v>
      </c>
      <c r="AA72" s="21">
        <f>EXP(-LN(2)/25)*AA71+(1-EXP(-LN(2)/25))/(LN(2)/25)*Calculateur!V72*Calculateur!X72*VLOOKUP('Données projet'!$B$9,Paramètres!$A$1:$I$89,3,0)*0.475*44/12</f>
        <v>18.801085227143005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67.908432600447952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581.88778927327667</v>
      </c>
      <c r="AO72" s="59">
        <f t="shared" si="90"/>
        <v>269.67340993773422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-6.7984728957526396E-14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300.80663531652721</v>
      </c>
      <c r="BJ72" s="59">
        <f t="shared" si="92"/>
        <v>306.01967513533549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115.71991543758892</v>
      </c>
      <c r="BQ72" s="21">
        <f>EXP(-LN(2)/25)*BQ71+(1-EXP(-LN(2)/25))/(LN(2)/25)*Calculateur!BL72*Calculateur!BN72*VLOOKUP('Données projet'!$B$11,Paramètres!$A$1:$I$89,3,0)*0.475*44/12</f>
        <v>66.770774803312989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182.49069024090193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11.868333333333334</v>
      </c>
      <c r="N73" s="13">
        <f>IF('Données projet'!$A$36&gt;35,N72+M73-V72,IF(A73&lt;'Données projet'!$A$36,$K$205^A73,IF(A73='Données projet'!$A$36,'Données projet'!$B$36,N72+M73-V72)))</f>
        <v>354.8250000000005</v>
      </c>
      <c r="O73" s="13">
        <f>N73*VLOOKUP('Données projet'!$B$9,Paramètres!$A$1:$I$89,3,0)*VLOOKUP('Données projet'!$B$9,Paramètres!$A$1:$I$89,5,0)</f>
        <v>166.05810000000025</v>
      </c>
      <c r="P73" s="13">
        <f t="shared" si="87"/>
        <v>42.205967275752947</v>
      </c>
      <c r="Q73" s="20">
        <f t="shared" si="54"/>
        <v>362.72658383860352</v>
      </c>
      <c r="R73" s="59">
        <f t="shared" si="55"/>
        <v>656.05991717193683</v>
      </c>
      <c r="S73" s="59">
        <f ca="1">AVERAGE(OFFSET($R$3,0,0,'Données projet'!$E$9+1,1))-AVERAGE(OFFSET($H$3,0,0,'Données projet'!$E$9+1,1))</f>
        <v>333.20260838961286</v>
      </c>
      <c r="T73" s="59">
        <f t="shared" si="88"/>
        <v>274.05921873522806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48.144382243838777</v>
      </c>
      <c r="AA73" s="21">
        <f>EXP(-LN(2)/25)*AA72+(1-EXP(-LN(2)/25))/(LN(2)/25)*Calculateur!V73*Calculateur!X73*VLOOKUP('Données projet'!$B$9,Paramètres!$A$1:$I$89,3,0)*0.475*44/12</f>
        <v>18.286968562900679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66.431350806739459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581.88778927327667</v>
      </c>
      <c r="AO73" s="59">
        <f t="shared" si="90"/>
        <v>269.67340993773422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-6.7984728957526396E-14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300.80663531652721</v>
      </c>
      <c r="BJ73" s="59">
        <f t="shared" si="92"/>
        <v>306.01967513533549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113.4507184780368</v>
      </c>
      <c r="BQ73" s="21">
        <f>EXP(-LN(2)/25)*BQ72+(1-EXP(-LN(2)/25))/(LN(2)/25)*Calculateur!BL73*Calculateur!BN73*VLOOKUP('Données projet'!$B$11,Paramètres!$A$1:$I$89,3,0)*0.475*44/12</f>
        <v>64.944924454993952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178.39564293303076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11.868333333333334</v>
      </c>
      <c r="N74" s="13">
        <f>IF('Données projet'!$A$36&gt;35,N73+M74-V73,IF(A74&lt;'Données projet'!$A$36,$K$205^A74,IF(A74='Données projet'!$A$36,'Données projet'!$B$36,N73+M74-V73)))</f>
        <v>366.69333333333384</v>
      </c>
      <c r="O74" s="13">
        <f>N74*VLOOKUP('Données projet'!$B$9,Paramètres!$A$1:$I$89,3,0)*VLOOKUP('Données projet'!$B$9,Paramètres!$A$1:$I$89,5,0)</f>
        <v>171.61248000000023</v>
      </c>
      <c r="P74" s="13">
        <f t="shared" si="87"/>
        <v>43.450966801537291</v>
      </c>
      <c r="Q74" s="20">
        <f t="shared" si="54"/>
        <v>374.56883651267782</v>
      </c>
      <c r="R74" s="59">
        <f t="shared" si="55"/>
        <v>667.90216984601113</v>
      </c>
      <c r="S74" s="59">
        <f ca="1">AVERAGE(OFFSET($R$3,0,0,'Données projet'!$E$9+1,1))-AVERAGE(OFFSET($H$3,0,0,'Données projet'!$E$9+1,1))</f>
        <v>333.20260838961286</v>
      </c>
      <c r="T74" s="59">
        <f t="shared" si="88"/>
        <v>274.05921873522806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47.200300273210701</v>
      </c>
      <c r="AA74" s="21">
        <f>EXP(-LN(2)/25)*AA73+(1-EXP(-LN(2)/25))/(LN(2)/25)*Calculateur!V74*Calculateur!X74*VLOOKUP('Données projet'!$B$9,Paramètres!$A$1:$I$89,3,0)*0.475*44/12</f>
        <v>17.786910445878277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64.987210719088978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581.88778927327667</v>
      </c>
      <c r="AO74" s="59">
        <f t="shared" si="90"/>
        <v>269.67340993773422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-6.7984728957526396E-14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300.80663531652721</v>
      </c>
      <c r="BJ74" s="59">
        <f t="shared" si="92"/>
        <v>306.01967513533549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111.22601908678803</v>
      </c>
      <c r="BQ74" s="21">
        <f>EXP(-LN(2)/25)*BQ73+(1-EXP(-LN(2)/25))/(LN(2)/25)*Calculateur!BL74*Calculateur!BN74*VLOOKUP('Données projet'!$B$11,Paramètres!$A$1:$I$89,3,0)*0.475*44/12</f>
        <v>63.169002080466996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174.39502116725504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11.868333333333334</v>
      </c>
      <c r="N75" s="13">
        <f>IF('Données projet'!$A$36&gt;35,N74+M75-V74,IF(A75&lt;'Données projet'!$A$36,$K$205^A75,IF(A75='Données projet'!$A$36,'Données projet'!$B$36,N74+M75-V74)))</f>
        <v>378.56166666666718</v>
      </c>
      <c r="O75" s="13">
        <f>N75*VLOOKUP('Données projet'!$B$9,Paramètres!$A$1:$I$89,3,0)*VLOOKUP('Données projet'!$B$9,Paramètres!$A$1:$I$89,5,0)</f>
        <v>177.16686000000024</v>
      </c>
      <c r="P75" s="13">
        <f t="shared" si="87"/>
        <v>44.691283898534451</v>
      </c>
      <c r="Q75" s="20">
        <f t="shared" si="54"/>
        <v>386.40293395661462</v>
      </c>
      <c r="R75" s="59">
        <f t="shared" si="55"/>
        <v>679.73626728994793</v>
      </c>
      <c r="S75" s="59">
        <f ca="1">AVERAGE(OFFSET($R$3,0,0,'Données projet'!$E$9+1,1))-AVERAGE(OFFSET($H$3,0,0,'Données projet'!$E$9+1,1))</f>
        <v>333.20260838961286</v>
      </c>
      <c r="T75" s="59">
        <f t="shared" si="88"/>
        <v>274.05921873522806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46.274731174193491</v>
      </c>
      <c r="AA75" s="21">
        <f>EXP(-LN(2)/25)*AA74+(1-EXP(-LN(2)/25))/(LN(2)/25)*Calculateur!V75*Calculateur!X75*VLOOKUP('Données projet'!$B$9,Paramètres!$A$1:$I$89,3,0)*0.475*44/12</f>
        <v>17.300526444362767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63.575257618556257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581.88778927327667</v>
      </c>
      <c r="AO75" s="59">
        <f t="shared" si="90"/>
        <v>269.67340993773422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-6.7984728957526396E-14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300.80663531652721</v>
      </c>
      <c r="BJ75" s="59">
        <f t="shared" si="92"/>
        <v>306.01967513533549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109.044944693669</v>
      </c>
      <c r="BQ75" s="21">
        <f>EXP(-LN(2)/25)*BQ74+(1-EXP(-LN(2)/25))/(LN(2)/25)*Calculateur!BL75*Calculateur!BN75*VLOOKUP('Données projet'!$B$11,Paramètres!$A$1:$I$89,3,0)*0.475*44/12</f>
        <v>61.441642396663184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170.48658709033219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390.43</v>
      </c>
      <c r="L76" s="12">
        <f>VLOOKUP(A76,'Données projet'!$A$35:$I$55,9,0)</f>
        <v>11.868333333333334</v>
      </c>
      <c r="M76" s="12">
        <f t="array" ref="M76">INDEX(L:L,MIN(IF(ISNUMBER(L76:L272),ROW(L76:L272),"")))</f>
        <v>11.868333333333334</v>
      </c>
      <c r="N76" s="13">
        <f>IF('Données projet'!$A$36&gt;35,N75+M76-V75,IF(A76&lt;'Données projet'!$A$36,$K$205^A76,IF(A76='Données projet'!$A$36,'Données projet'!$B$36,N75+M76-V75)))</f>
        <v>390.43000000000052</v>
      </c>
      <c r="O76" s="13">
        <f>N76*VLOOKUP('Données projet'!$B$9,Paramètres!$A$1:$I$89,3,0)*VLOOKUP('Données projet'!$B$9,Paramètres!$A$1:$I$89,5,0)</f>
        <v>182.72124000000022</v>
      </c>
      <c r="P76" s="13">
        <f t="shared" si="87"/>
        <v>45.927082209321831</v>
      </c>
      <c r="Q76" s="20">
        <f t="shared" si="54"/>
        <v>398.2291611812359</v>
      </c>
      <c r="R76" s="59">
        <f t="shared" si="55"/>
        <v>691.56249451456915</v>
      </c>
      <c r="S76" s="59">
        <f ca="1">AVERAGE(OFFSET($R$3,0,0,'Données projet'!$E$9+1,1))-AVERAGE(OFFSET($H$3,0,0,'Données projet'!$E$9+1,1))</f>
        <v>333.20260838961286</v>
      </c>
      <c r="T76" s="59">
        <f t="shared" si="88"/>
        <v>274.05921873522806</v>
      </c>
      <c r="U76" s="15">
        <f>IF(ISNA(VLOOKUP(A76,'Données projet'!$A$35:$I$55,3,0)),0,VLOOKUP(A76,'Données projet'!$A$35:$I$55,3,0))</f>
        <v>3</v>
      </c>
      <c r="V76" s="15">
        <f>IF(ISNA(VLOOKUP(A76,'Données projet'!$A$35:$I$55,4,0)),0,VLOOKUP(A76,'Données projet'!$A$35:$I$55,4,0))</f>
        <v>102.1</v>
      </c>
      <c r="W76" s="16">
        <f>IF(ISNA(VLOOKUP(A76,'Données projet'!$A$35:$I$55,5,0)),0%,VLOOKUP(A76,'Données projet'!$A$35:$I$55,5,0)*VLOOKUP('Données projet'!$B$9,Paramètres!$A$1:$I$89,7,0))</f>
        <v>0.38500000000000001</v>
      </c>
      <c r="X76" s="16">
        <f>IF(ISNA(VLOOKUP(A76,'Données projet'!$A$35:$I$55,6,0)),0%,VLOOKUP(A76,'Données projet'!$A$35:$I$55,6,0)*VLOOKUP('Données projet'!$B$9,Paramètres!$A$1:$I$89,7,0))</f>
        <v>0.16500000000000001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69.771293084296545</v>
      </c>
      <c r="AA76" s="21">
        <f>EXP(-LN(2)/25)*AA75+(1-EXP(-LN(2)/25))/(LN(2)/25)*Calculateur!V76*Calculateur!X76*VLOOKUP('Données projet'!$B$9,Paramètres!$A$1:$I$89,3,0)*0.475*44/12</f>
        <v>27.245111235150624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97.016404319447162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581.88778927327667</v>
      </c>
      <c r="AO76" s="59">
        <f t="shared" si="90"/>
        <v>269.67340993773422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-6.7984728957526396E-14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300.80663531652721</v>
      </c>
      <c r="BJ76" s="59">
        <f t="shared" si="92"/>
        <v>306.01967513533549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106.90663983907501</v>
      </c>
      <c r="BQ76" s="21">
        <f>EXP(-LN(2)/25)*BQ75+(1-EXP(-LN(2)/25))/(LN(2)/25)*Calculateur!BL76*Calculateur!BN76*VLOOKUP('Données projet'!$B$11,Paramètres!$A$1:$I$89,3,0)*0.475*44/12</f>
        <v>59.761517454250885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166.66815729332589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10.985833333333332</v>
      </c>
      <c r="N77" s="13">
        <f>IF('Données projet'!$A$36&gt;35,N76+M77-V76,IF(A77&lt;'Données projet'!$A$36,$K$205^A77,IF(A77='Données projet'!$A$36,'Données projet'!$B$36,N76+M77-V76)))</f>
        <v>299.3158333333339</v>
      </c>
      <c r="O77" s="13">
        <f>N77*VLOOKUP('Données projet'!$B$9,Paramètres!$A$1:$I$89,3,0)*VLOOKUP('Données projet'!$B$9,Paramètres!$A$1:$I$89,5,0)</f>
        <v>140.07981000000026</v>
      </c>
      <c r="P77" s="13">
        <f t="shared" si="87"/>
        <v>36.315288238799972</v>
      </c>
      <c r="Q77" s="20">
        <f t="shared" si="54"/>
        <v>307.22146276591042</v>
      </c>
      <c r="R77" s="59">
        <f t="shared" si="55"/>
        <v>600.55479609924373</v>
      </c>
      <c r="S77" s="59">
        <f ca="1">AVERAGE(OFFSET($R$3,0,0,'Données projet'!$E$9+1,1))-AVERAGE(OFFSET($H$3,0,0,'Données projet'!$E$9+1,1))</f>
        <v>333.20260838961286</v>
      </c>
      <c r="T77" s="59">
        <f t="shared" si="88"/>
        <v>274.05921873522806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68.403120583200192</v>
      </c>
      <c r="AA77" s="21">
        <f>EXP(-LN(2)/25)*AA76+(1-EXP(-LN(2)/25))/(LN(2)/25)*Calculateur!V77*Calculateur!X77*VLOOKUP('Données projet'!$B$9,Paramètres!$A$1:$I$89,3,0)*0.475*44/12</f>
        <v>26.500092235667299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94.903212818867487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581.88778927327667</v>
      </c>
      <c r="AO77" s="59">
        <f t="shared" si="90"/>
        <v>269.67340993773422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-6.7984728957526396E-14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300.80663531652721</v>
      </c>
      <c r="BJ77" s="59">
        <f t="shared" si="92"/>
        <v>306.01967513533549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104.81026583844243</v>
      </c>
      <c r="BQ77" s="21">
        <f>EXP(-LN(2)/25)*BQ76+(1-EXP(-LN(2)/25))/(LN(2)/25)*Calculateur!BL77*Calculateur!BN77*VLOOKUP('Données projet'!$B$11,Paramètres!$A$1:$I$89,3,0)*0.475*44/12</f>
        <v>58.127335616742776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162.93760145518522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10.985833333333332</v>
      </c>
      <c r="N78" s="13">
        <f>IF('Données projet'!$A$36&gt;35,N77+M78-V77,IF(A78&lt;'Données projet'!$A$36,$K$205^A78,IF(A78='Données projet'!$A$36,'Données projet'!$B$36,N77+M78-V77)))</f>
        <v>310.30166666666724</v>
      </c>
      <c r="O78" s="13">
        <f>N78*VLOOKUP('Données projet'!$B$9,Paramètres!$A$1:$I$89,3,0)*VLOOKUP('Données projet'!$B$9,Paramètres!$A$1:$I$89,5,0)</f>
        <v>145.22118000000026</v>
      </c>
      <c r="P78" s="13">
        <f t="shared" si="87"/>
        <v>37.490543694625295</v>
      </c>
      <c r="Q78" s="20">
        <f t="shared" si="54"/>
        <v>318.22291876813949</v>
      </c>
      <c r="R78" s="59">
        <f t="shared" si="55"/>
        <v>611.55625210147286</v>
      </c>
      <c r="S78" s="59">
        <f ca="1">AVERAGE(OFFSET($R$3,0,0,'Données projet'!$E$9+1,1))-AVERAGE(OFFSET($H$3,0,0,'Données projet'!$E$9+1,1))</f>
        <v>333.20260838961286</v>
      </c>
      <c r="T78" s="59">
        <f t="shared" si="88"/>
        <v>274.05921873522806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67.061777110347506</v>
      </c>
      <c r="AA78" s="21">
        <f>EXP(-LN(2)/25)*AA77+(1-EXP(-LN(2)/25))/(LN(2)/25)*Calculateur!V78*Calculateur!X78*VLOOKUP('Données projet'!$B$9,Paramètres!$A$1:$I$89,3,0)*0.475*44/12</f>
        <v>25.775445819903695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92.837222930251201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581.88778927327667</v>
      </c>
      <c r="AO78" s="59">
        <f t="shared" si="90"/>
        <v>269.67340993773422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-6.7984728957526396E-14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300.80663531652721</v>
      </c>
      <c r="BJ78" s="59">
        <f t="shared" si="92"/>
        <v>306.01967513533549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102.75500045330038</v>
      </c>
      <c r="BQ78" s="21">
        <f>EXP(-LN(2)/25)*BQ77+(1-EXP(-LN(2)/25))/(LN(2)/25)*Calculateur!BL78*Calculateur!BN78*VLOOKUP('Données projet'!$B$11,Paramètres!$A$1:$I$89,3,0)*0.475*44/12</f>
        <v>56.537840567519218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159.29284102081959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10.985833333333332</v>
      </c>
      <c r="N79" s="13">
        <f>IF('Données projet'!$A$36&gt;35,N78+M79-V78,IF(A79&lt;'Données projet'!$A$36,$K$205^A79,IF(A79='Données projet'!$A$36,'Données projet'!$B$36,N78+M79-V78)))</f>
        <v>321.28750000000059</v>
      </c>
      <c r="O79" s="13">
        <f>N79*VLOOKUP('Données projet'!$B$9,Paramètres!$A$1:$I$89,3,0)*VLOOKUP('Données projet'!$B$9,Paramètres!$A$1:$I$89,5,0)</f>
        <v>150.36255000000028</v>
      </c>
      <c r="P79" s="13">
        <f t="shared" si="87"/>
        <v>38.660964829863467</v>
      </c>
      <c r="Q79" s="20">
        <f t="shared" si="54"/>
        <v>329.21595499534607</v>
      </c>
      <c r="R79" s="59">
        <f t="shared" si="55"/>
        <v>622.54928832867938</v>
      </c>
      <c r="S79" s="59">
        <f ca="1">AVERAGE(OFFSET($R$3,0,0,'Données projet'!$E$9+1,1))-AVERAGE(OFFSET($H$3,0,0,'Données projet'!$E$9+1,1))</f>
        <v>333.20260838961286</v>
      </c>
      <c r="T79" s="59">
        <f t="shared" si="88"/>
        <v>274.05921873522806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65.746736564858736</v>
      </c>
      <c r="AA79" s="21">
        <f>EXP(-LN(2)/25)*AA78+(1-EXP(-LN(2)/25))/(LN(2)/25)*Calculateur!V79*Calculateur!X79*VLOOKUP('Données projet'!$B$9,Paramètres!$A$1:$I$89,3,0)*0.475*44/12</f>
        <v>25.070614898486642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90.817351463345375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581.88778927327667</v>
      </c>
      <c r="AO79" s="59">
        <f t="shared" si="90"/>
        <v>269.67340993773422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-6.7984728957526396E-14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300.80663531652721</v>
      </c>
      <c r="BJ79" s="59">
        <f t="shared" si="92"/>
        <v>306.01967513533549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100.74003756877286</v>
      </c>
      <c r="BQ79" s="21">
        <f>EXP(-LN(2)/25)*BQ78+(1-EXP(-LN(2)/25))/(LN(2)/25)*Calculateur!BL79*Calculateur!BN79*VLOOKUP('Données projet'!$B$11,Paramètres!$A$1:$I$89,3,0)*0.475*44/12</f>
        <v>54.991810344004591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155.73184791277745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10.985833333333332</v>
      </c>
      <c r="N80" s="13">
        <f>IF('Données projet'!$A$36&gt;35,N79+M80-V79,IF(A80&lt;'Données projet'!$A$36,$K$205^A80,IF(A80='Données projet'!$A$36,'Données projet'!$B$36,N79+M80-V79)))</f>
        <v>332.27333333333394</v>
      </c>
      <c r="O80" s="13">
        <f>N80*VLOOKUP('Données projet'!$B$9,Paramètres!$A$1:$I$89,3,0)*VLOOKUP('Données projet'!$B$9,Paramètres!$A$1:$I$89,5,0)</f>
        <v>155.50392000000028</v>
      </c>
      <c r="P80" s="13">
        <f t="shared" si="87"/>
        <v>39.826735892383049</v>
      </c>
      <c r="Q80" s="20">
        <f t="shared" si="54"/>
        <v>340.20089234590097</v>
      </c>
      <c r="R80" s="59">
        <f t="shared" si="55"/>
        <v>633.53422567923428</v>
      </c>
      <c r="S80" s="59">
        <f ca="1">AVERAGE(OFFSET($R$3,0,0,'Données projet'!$E$9+1,1))-AVERAGE(OFFSET($H$3,0,0,'Données projet'!$E$9+1,1))</f>
        <v>333.20260838961286</v>
      </c>
      <c r="T80" s="59">
        <f t="shared" si="88"/>
        <v>274.05921873522806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64.45748316237146</v>
      </c>
      <c r="AA80" s="21">
        <f>EXP(-LN(2)/25)*AA79+(1-EXP(-LN(2)/25))/(LN(2)/25)*Calculateur!V80*Calculateur!X80*VLOOKUP('Données projet'!$B$9,Paramètres!$A$1:$I$89,3,0)*0.475*44/12</f>
        <v>24.385057615681188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88.842540778052651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581.88778927327667</v>
      </c>
      <c r="AO80" s="59">
        <f t="shared" si="90"/>
        <v>269.67340993773422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-6.7984728957526396E-14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300.80663531652721</v>
      </c>
      <c r="BJ80" s="59">
        <f t="shared" si="92"/>
        <v>306.01967513533549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98.764586877404923</v>
      </c>
      <c r="BQ80" s="21">
        <f>EXP(-LN(2)/25)*BQ79+(1-EXP(-LN(2)/25))/(LN(2)/25)*Calculateur!BL80*Calculateur!BN80*VLOOKUP('Données projet'!$B$11,Paramètres!$A$1:$I$89,3,0)*0.475*44/12</f>
        <v>53.488056398254166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152.2526432756591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10.985833333333332</v>
      </c>
      <c r="N81" s="13">
        <f>IF('Données projet'!$A$36&gt;35,N80+M81-V80,IF(A81&lt;'Données projet'!$A$36,$K$205^A81,IF(A81='Données projet'!$A$36,'Données projet'!$B$36,N80+M81-V80)))</f>
        <v>343.25916666666728</v>
      </c>
      <c r="O81" s="13">
        <f>N81*VLOOKUP('Données projet'!$B$9,Paramètres!$A$1:$I$89,3,0)*VLOOKUP('Données projet'!$B$9,Paramètres!$A$1:$I$89,5,0)</f>
        <v>160.64529000000027</v>
      </c>
      <c r="P81" s="13">
        <f t="shared" si="87"/>
        <v>40.988028255180659</v>
      </c>
      <c r="Q81" s="20">
        <f t="shared" si="54"/>
        <v>351.17802929444014</v>
      </c>
      <c r="R81" s="59">
        <f t="shared" si="55"/>
        <v>644.51136262777345</v>
      </c>
      <c r="S81" s="59">
        <f ca="1">AVERAGE(OFFSET($R$3,0,0,'Données projet'!$E$9+1,1))-AVERAGE(OFFSET($H$3,0,0,'Données projet'!$E$9+1,1))</f>
        <v>333.20260838961286</v>
      </c>
      <c r="T81" s="59">
        <f t="shared" si="88"/>
        <v>274.05921873522806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63.193511232740036</v>
      </c>
      <c r="AA81" s="21">
        <f>EXP(-LN(2)/25)*AA80+(1-EXP(-LN(2)/25))/(LN(2)/25)*Calculateur!V81*Calculateur!X81*VLOOKUP('Données projet'!$B$9,Paramètres!$A$1:$I$89,3,0)*0.475*44/12</f>
        <v>23.718246932825938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86.911758165565971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581.88778927327667</v>
      </c>
      <c r="AO81" s="59">
        <f t="shared" si="90"/>
        <v>269.67340993773422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-6.7984728957526396E-14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300.80663531652721</v>
      </c>
      <c r="BJ81" s="59">
        <f t="shared" si="92"/>
        <v>306.01967513533549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96.827873569188753</v>
      </c>
      <c r="BQ81" s="21">
        <f>EXP(-LN(2)/25)*BQ80+(1-EXP(-LN(2)/25))/(LN(2)/25)*Calculateur!BL81*Calculateur!BN81*VLOOKUP('Données projet'!$B$11,Paramètres!$A$1:$I$89,3,0)*0.475*44/12</f>
        <v>52.025422683229266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148.85329625241803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10.985833333333332</v>
      </c>
      <c r="N82" s="13">
        <f>IF('Données projet'!$A$36&gt;35,N81+M82-V81,IF(A82&lt;'Données projet'!$A$36,$K$205^A82,IF(A82='Données projet'!$A$36,'Données projet'!$B$36,N81+M82-V81)))</f>
        <v>354.24500000000063</v>
      </c>
      <c r="O82" s="13">
        <f>N82*VLOOKUP('Données projet'!$B$9,Paramètres!$A$1:$I$89,3,0)*VLOOKUP('Données projet'!$B$9,Paramètres!$A$1:$I$89,5,0)</f>
        <v>165.7866600000003</v>
      </c>
      <c r="P82" s="13">
        <f t="shared" si="87"/>
        <v>42.145001699009093</v>
      </c>
      <c r="Q82" s="20">
        <f t="shared" si="54"/>
        <v>362.14764412577466</v>
      </c>
      <c r="R82" s="59">
        <f t="shared" si="55"/>
        <v>655.48097745910798</v>
      </c>
      <c r="S82" s="59">
        <f ca="1">AVERAGE(OFFSET($R$3,0,0,'Données projet'!$E$9+1,1))-AVERAGE(OFFSET($H$3,0,0,'Données projet'!$E$9+1,1))</f>
        <v>333.20260838961286</v>
      </c>
      <c r="T82" s="59">
        <f t="shared" si="88"/>
        <v>274.05921873522806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61.954325021701926</v>
      </c>
      <c r="AA82" s="21">
        <f>EXP(-LN(2)/25)*AA81+(1-EXP(-LN(2)/25))/(LN(2)/25)*Calculateur!V82*Calculateur!X82*VLOOKUP('Données projet'!$B$9,Paramètres!$A$1:$I$89,3,0)*0.475*44/12</f>
        <v>23.069670223159417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85.023995244861339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581.88778927327667</v>
      </c>
      <c r="AO82" s="59">
        <f t="shared" si="90"/>
        <v>269.67340993773422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-6.7984728957526396E-14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300.80663531652721</v>
      </c>
      <c r="BJ82" s="59">
        <f t="shared" si="92"/>
        <v>306.01967513533549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94.92913802766823</v>
      </c>
      <c r="BQ82" s="21">
        <f>EXP(-LN(2)/25)*BQ81+(1-EXP(-LN(2)/25))/(LN(2)/25)*Calculateur!BL82*Calculateur!BN82*VLOOKUP('Données projet'!$B$11,Paramètres!$A$1:$I$89,3,0)*0.475*44/12</f>
        <v>50.602784764058292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145.53192279172652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10.985833333333332</v>
      </c>
      <c r="N83" s="13">
        <f>IF('Données projet'!$A$36&gt;35,N82+M83-V82,IF(A83&lt;'Données projet'!$A$36,$K$205^A83,IF(A83='Données projet'!$A$36,'Données projet'!$B$36,N82+M83-V82)))</f>
        <v>365.23083333333398</v>
      </c>
      <c r="O83" s="13">
        <f>N83*VLOOKUP('Données projet'!$B$9,Paramètres!$A$1:$I$89,3,0)*VLOOKUP('Données projet'!$B$9,Paramètres!$A$1:$I$89,5,0)</f>
        <v>170.92803000000032</v>
      </c>
      <c r="P83" s="13">
        <f t="shared" si="87"/>
        <v>43.297805531428544</v>
      </c>
      <c r="Q83" s="20">
        <f t="shared" si="54"/>
        <v>373.1099968839053</v>
      </c>
      <c r="R83" s="59">
        <f t="shared" si="55"/>
        <v>666.44333021723855</v>
      </c>
      <c r="S83" s="59">
        <f ca="1">AVERAGE(OFFSET($R$3,0,0,'Données projet'!$E$9+1,1))-AVERAGE(OFFSET($H$3,0,0,'Données projet'!$E$9+1,1))</f>
        <v>333.20260838961286</v>
      </c>
      <c r="T83" s="59">
        <f t="shared" si="88"/>
        <v>274.05921873522806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60.739438496433323</v>
      </c>
      <c r="AA83" s="21">
        <f>EXP(-LN(2)/25)*AA82+(1-EXP(-LN(2)/25))/(LN(2)/25)*Calculateur!V83*Calculateur!X83*VLOOKUP('Données projet'!$B$9,Paramètres!$A$1:$I$89,3,0)*0.475*44/12</f>
        <v>22.438828877725893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83.178267374159219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581.88778927327667</v>
      </c>
      <c r="AO83" s="59">
        <f t="shared" si="90"/>
        <v>269.67340993773422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-6.7984728957526396E-14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300.80663531652721</v>
      </c>
      <c r="BJ83" s="59">
        <f t="shared" si="92"/>
        <v>306.01967513533549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93.067635532002598</v>
      </c>
      <c r="BQ83" s="21">
        <f>EXP(-LN(2)/25)*BQ82+(1-EXP(-LN(2)/25))/(LN(2)/25)*Calculateur!BL83*Calculateur!BN83*VLOOKUP('Données projet'!$B$11,Paramètres!$A$1:$I$89,3,0)*0.475*44/12</f>
        <v>49.219048953600321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142.2866844856029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10.985833333333332</v>
      </c>
      <c r="N84" s="13">
        <f>IF('Données projet'!$A$36&gt;35,N83+M84-V83,IF(A84&lt;'Données projet'!$A$36,$K$205^A84,IF(A84='Données projet'!$A$36,'Données projet'!$B$36,N83+M84-V83)))</f>
        <v>376.21666666666732</v>
      </c>
      <c r="O84" s="13">
        <f>N84*VLOOKUP('Données projet'!$B$9,Paramètres!$A$1:$I$89,3,0)*VLOOKUP('Données projet'!$B$9,Paramètres!$A$1:$I$89,5,0)</f>
        <v>176.06940000000031</v>
      </c>
      <c r="P84" s="13">
        <f t="shared" si="87"/>
        <v>44.446579567434348</v>
      </c>
      <c r="Q84" s="20">
        <f t="shared" si="54"/>
        <v>384.06533107994869</v>
      </c>
      <c r="R84" s="59">
        <f t="shared" si="55"/>
        <v>677.39866441328195</v>
      </c>
      <c r="S84" s="59">
        <f ca="1">AVERAGE(OFFSET($R$3,0,0,'Données projet'!$E$9+1,1))-AVERAGE(OFFSET($H$3,0,0,'Données projet'!$E$9+1,1))</f>
        <v>333.20260838961286</v>
      </c>
      <c r="T84" s="59">
        <f t="shared" si="88"/>
        <v>274.05921873522806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59.548375154917622</v>
      </c>
      <c r="AA84" s="21">
        <f>EXP(-LN(2)/25)*AA83+(1-EXP(-LN(2)/25))/(LN(2)/25)*Calculateur!V84*Calculateur!X84*VLOOKUP('Données projet'!$B$9,Paramètres!$A$1:$I$89,3,0)*0.475*44/12</f>
        <v>21.825237922057752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81.373613076975374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581.88778927327667</v>
      </c>
      <c r="AO84" s="59">
        <f t="shared" si="90"/>
        <v>269.67340993773422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-6.7984728957526396E-14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300.80663531652721</v>
      </c>
      <c r="BJ84" s="59">
        <f t="shared" si="92"/>
        <v>306.01967513533549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91.242635964872562</v>
      </c>
      <c r="BQ84" s="21">
        <f>EXP(-LN(2)/25)*BQ83+(1-EXP(-LN(2)/25))/(LN(2)/25)*Calculateur!BL84*Calculateur!BN84*VLOOKUP('Données projet'!$B$11,Paramètres!$A$1:$I$89,3,0)*0.475*44/12</f>
        <v>47.873151471646828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139.11578743651938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10.985833333333332</v>
      </c>
      <c r="N85" s="13">
        <f>IF('Données projet'!$A$36&gt;35,N84+M85-V84,IF(A85&lt;'Données projet'!$A$36,$K$205^A85,IF(A85='Données projet'!$A$36,'Données projet'!$B$36,N84+M85-V84)))</f>
        <v>387.20250000000067</v>
      </c>
      <c r="O85" s="13">
        <f>N85*VLOOKUP('Données projet'!$B$9,Paramètres!$A$1:$I$89,3,0)*VLOOKUP('Données projet'!$B$9,Paramètres!$A$1:$I$89,5,0)</f>
        <v>181.21077000000031</v>
      </c>
      <c r="P85" s="13">
        <f t="shared" si="87"/>
        <v>45.591454992325396</v>
      </c>
      <c r="Q85" s="20">
        <f t="shared" si="54"/>
        <v>395.01387519496728</v>
      </c>
      <c r="R85" s="59">
        <f t="shared" si="55"/>
        <v>688.3472085283006</v>
      </c>
      <c r="S85" s="59">
        <f ca="1">AVERAGE(OFFSET($R$3,0,0,'Données projet'!$E$9+1,1))-AVERAGE(OFFSET($H$3,0,0,'Données projet'!$E$9+1,1))</f>
        <v>333.20260838961286</v>
      </c>
      <c r="T85" s="59">
        <f t="shared" si="88"/>
        <v>274.05921873522806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58.380667839052137</v>
      </c>
      <c r="AA85" s="21">
        <f>EXP(-LN(2)/25)*AA84+(1-EXP(-LN(2)/25))/(LN(2)/25)*Calculateur!V85*Calculateur!X85*VLOOKUP('Données projet'!$B$9,Paramètres!$A$1:$I$89,3,0)*0.475*44/12</f>
        <v>21.228425643339705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79.609093482391842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581.88778927327667</v>
      </c>
      <c r="AO85" s="59">
        <f t="shared" si="90"/>
        <v>269.67340993773422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-6.7984728957526396E-14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300.80663531652721</v>
      </c>
      <c r="BJ85" s="59">
        <f t="shared" si="92"/>
        <v>306.01967513533549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89.453423526114122</v>
      </c>
      <c r="BQ85" s="21">
        <f>EXP(-LN(2)/25)*BQ84+(1-EXP(-LN(2)/25))/(LN(2)/25)*Calculateur!BL85*Calculateur!BN85*VLOOKUP('Données projet'!$B$11,Paramètres!$A$1:$I$89,3,0)*0.475*44/12</f>
        <v>46.564057627115027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136.01748115322914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10.985833333333332</v>
      </c>
      <c r="N86" s="13">
        <f>IF('Données projet'!$A$36&gt;35,N85+M86-V85,IF(A86&lt;'Données projet'!$A$36,$K$205^A86,IF(A86='Données projet'!$A$36,'Données projet'!$B$36,N85+M86-V85)))</f>
        <v>398.18833333333401</v>
      </c>
      <c r="O86" s="13">
        <f>N86*VLOOKUP('Données projet'!$B$9,Paramètres!$A$1:$I$89,3,0)*VLOOKUP('Données projet'!$B$9,Paramètres!$A$1:$I$89,5,0)</f>
        <v>186.3521400000003</v>
      </c>
      <c r="P86" s="13">
        <f t="shared" si="87"/>
        <v>46.732555123893533</v>
      </c>
      <c r="Q86" s="20">
        <f t="shared" si="54"/>
        <v>405.95584400744838</v>
      </c>
      <c r="R86" s="59">
        <f t="shared" si="55"/>
        <v>699.28917734078163</v>
      </c>
      <c r="S86" s="59">
        <f ca="1">AVERAGE(OFFSET($R$3,0,0,'Données projet'!$E$9+1,1))-AVERAGE(OFFSET($H$3,0,0,'Données projet'!$E$9+1,1))</f>
        <v>333.20260838961286</v>
      </c>
      <c r="T86" s="59">
        <f t="shared" si="88"/>
        <v>274.05921873522806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57.235858551419639</v>
      </c>
      <c r="AA86" s="21">
        <f>EXP(-LN(2)/25)*AA85+(1-EXP(-LN(2)/25))/(LN(2)/25)*Calculateur!V86*Calculateur!X86*VLOOKUP('Données projet'!$B$9,Paramètres!$A$1:$I$89,3,0)*0.475*44/12</f>
        <v>20.647933227768196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77.883791779187831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581.88778927327667</v>
      </c>
      <c r="AO86" s="59">
        <f t="shared" si="90"/>
        <v>269.67340993773422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-6.7984728957526396E-14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300.80663531652721</v>
      </c>
      <c r="BJ86" s="59">
        <f t="shared" si="92"/>
        <v>306.01967513533549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87.699296451967911</v>
      </c>
      <c r="BQ86" s="21">
        <f>EXP(-LN(2)/25)*BQ85+(1-EXP(-LN(2)/25))/(LN(2)/25)*Calculateur!BL86*Calculateur!BN86*VLOOKUP('Données projet'!$B$11,Paramètres!$A$1:$I$89,3,0)*0.475*44/12</f>
        <v>45.290761022604201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132.9900574745721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10.985833333333332</v>
      </c>
      <c r="N87" s="13">
        <f>IF('Données projet'!$A$36&gt;35,N86+M87-V86,IF(A87&lt;'Données projet'!$A$36,$K$205^A87,IF(A87='Données projet'!$A$36,'Données projet'!$B$36,N86+M87-V86)))</f>
        <v>409.17416666666736</v>
      </c>
      <c r="O87" s="13">
        <f>N87*VLOOKUP('Données projet'!$B$9,Paramètres!$A$1:$I$89,3,0)*VLOOKUP('Données projet'!$B$9,Paramètres!$A$1:$I$89,5,0)</f>
        <v>191.49351000000033</v>
      </c>
      <c r="P87" s="13">
        <f t="shared" si="87"/>
        <v>47.869996088134386</v>
      </c>
      <c r="Q87" s="20">
        <f t="shared" si="54"/>
        <v>416.89143977016801</v>
      </c>
      <c r="R87" s="59">
        <f t="shared" si="55"/>
        <v>710.22477310350132</v>
      </c>
      <c r="S87" s="59">
        <f ca="1">AVERAGE(OFFSET($R$3,0,0,'Données projet'!$E$9+1,1))-AVERAGE(OFFSET($H$3,0,0,'Données projet'!$E$9+1,1))</f>
        <v>333.20260838961286</v>
      </c>
      <c r="T87" s="59">
        <f t="shared" si="88"/>
        <v>274.05921873522806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56.113498275652901</v>
      </c>
      <c r="AA87" s="21">
        <f>EXP(-LN(2)/25)*AA86+(1-EXP(-LN(2)/25))/(LN(2)/25)*Calculateur!V87*Calculateur!X87*VLOOKUP('Données projet'!$B$9,Paramètres!$A$1:$I$89,3,0)*0.475*44/12</f>
        <v>20.083314407827256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76.196812683480161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581.88778927327667</v>
      </c>
      <c r="AO87" s="59">
        <f t="shared" si="90"/>
        <v>269.67340993773422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-6.7984728957526396E-14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300.80663531652721</v>
      </c>
      <c r="BJ87" s="59">
        <f t="shared" si="92"/>
        <v>306.01967513533549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85.979566739833828</v>
      </c>
      <c r="BQ87" s="21">
        <f>EXP(-LN(2)/25)*BQ86+(1-EXP(-LN(2)/25))/(LN(2)/25)*Calculateur!BL87*Calculateur!BN87*VLOOKUP('Données projet'!$B$11,Paramètres!$A$1:$I$89,3,0)*0.475*44/12</f>
        <v>44.052282780703479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130.03184952053732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420.16</v>
      </c>
      <c r="L88" s="12">
        <f>VLOOKUP(A88,'Données projet'!$A$35:$I$55,9,0)</f>
        <v>10.985833333333332</v>
      </c>
      <c r="M88" s="12">
        <f t="array" ref="M88">INDEX(L:L,MIN(IF(ISNUMBER(L88:L284),ROW(L88:L284),"")))</f>
        <v>10.985833333333332</v>
      </c>
      <c r="N88" s="13">
        <f>IF('Données projet'!$A$36&gt;35,N87+M88-V87,IF(A88&lt;'Données projet'!$A$36,$K$205^A88,IF(A88='Données projet'!$A$36,'Données projet'!$B$36,N87+M88-V87)))</f>
        <v>420.16000000000071</v>
      </c>
      <c r="O88" s="13">
        <f>N88*VLOOKUP('Données projet'!$B$9,Paramètres!$A$1:$I$89,3,0)*VLOOKUP('Données projet'!$B$9,Paramètres!$A$1:$I$89,5,0)</f>
        <v>196.63488000000032</v>
      </c>
      <c r="P88" s="13">
        <f t="shared" si="87"/>
        <v>49.003887420349137</v>
      </c>
      <c r="Q88" s="20">
        <f t="shared" si="54"/>
        <v>427.82085325710864</v>
      </c>
      <c r="R88" s="59">
        <f t="shared" si="55"/>
        <v>721.1541865904419</v>
      </c>
      <c r="S88" s="59">
        <f ca="1">AVERAGE(OFFSET($R$3,0,0,'Données projet'!$E$9+1,1))-AVERAGE(OFFSET($H$3,0,0,'Données projet'!$E$9+1,1))</f>
        <v>333.20260838961286</v>
      </c>
      <c r="T88" s="59">
        <f t="shared" si="88"/>
        <v>274.05921873522806</v>
      </c>
      <c r="U88" s="15">
        <f>IF(ISNA(VLOOKUP(A88,'Données projet'!$A$35:$I$55,3,0)),0,VLOOKUP(A88,'Données projet'!$A$35:$I$55,3,0))</f>
        <v>4</v>
      </c>
      <c r="V88" s="15">
        <f>IF(ISNA(VLOOKUP(A88,'Données projet'!$A$35:$I$55,4,0)),0,VLOOKUP(A88,'Données projet'!$A$35:$I$55,4,0))</f>
        <v>94.69</v>
      </c>
      <c r="W88" s="16">
        <f>IF(ISNA(VLOOKUP(A88,'Données projet'!$A$35:$I$55,5,0)),0%,VLOOKUP(A88,'Données projet'!$A$35:$I$55,5,0)*VLOOKUP('Données projet'!$B$9,Paramètres!$A$1:$I$89,7,0))</f>
        <v>0.38500000000000001</v>
      </c>
      <c r="X88" s="16">
        <f>IF(ISNA(VLOOKUP(A88,'Données projet'!$A$35:$I$55,6,0)),0%,VLOOKUP(A88,'Données projet'!$A$35:$I$55,6,0)*VLOOKUP('Données projet'!$B$9,Paramètres!$A$1:$I$89,7,0))</f>
        <v>0.16500000000000001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77.645986921615787</v>
      </c>
      <c r="AA88" s="21">
        <f>EXP(-LN(2)/25)*AA87+(1-EXP(-LN(2)/25))/(LN(2)/25)*Calculateur!V88*Calculateur!X88*VLOOKUP('Données projet'!$B$9,Paramètres!$A$1:$I$89,3,0)*0.475*44/12</f>
        <v>29.195731978901744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106.84171890051753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581.88778927327667</v>
      </c>
      <c r="AO88" s="59">
        <f t="shared" si="90"/>
        <v>269.67340993773422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-6.7984728957526396E-14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300.80663531652721</v>
      </c>
      <c r="BJ88" s="59">
        <f t="shared" si="92"/>
        <v>306.01967513533549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84.293559878423139</v>
      </c>
      <c r="BQ88" s="21">
        <f>EXP(-LN(2)/25)*BQ87+(1-EXP(-LN(2)/25))/(LN(2)/25)*Calculateur!BL88*Calculateur!BN88*VLOOKUP('Données projet'!$B$11,Paramètres!$A$1:$I$89,3,0)*0.475*44/12</f>
        <v>42.847670791456274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127.14123066987941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10.059999999999997</v>
      </c>
      <c r="N89" s="13">
        <f>IF('Données projet'!$A$36&gt;35,N88+M89-V88,IF(A89&lt;'Données projet'!$A$36,$K$205^A89,IF(A89='Données projet'!$A$36,'Données projet'!$B$36,N88+M89-V88)))</f>
        <v>335.53000000000071</v>
      </c>
      <c r="O89" s="13">
        <f>N89*VLOOKUP('Données projet'!$B$9,Paramètres!$A$1:$I$89,3,0)*VLOOKUP('Données projet'!$B$9,Paramètres!$A$1:$I$89,5,0)</f>
        <v>157.02804000000032</v>
      </c>
      <c r="P89" s="13">
        <f t="shared" si="87"/>
        <v>40.171451809334279</v>
      </c>
      <c r="Q89" s="20">
        <f t="shared" si="54"/>
        <v>343.45578156792436</v>
      </c>
      <c r="R89" s="59">
        <f t="shared" si="55"/>
        <v>636.78911490125768</v>
      </c>
      <c r="S89" s="59">
        <f ca="1">AVERAGE(OFFSET($R$3,0,0,'Données projet'!$E$9+1,1))-AVERAGE(OFFSET($H$3,0,0,'Données projet'!$E$9+1,1))</f>
        <v>333.20260838961286</v>
      </c>
      <c r="T89" s="59">
        <f t="shared" si="88"/>
        <v>274.05921873522806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76.12339647745857</v>
      </c>
      <c r="AA89" s="21">
        <f>EXP(-LN(2)/25)*AA88+(1-EXP(-LN(2)/25))/(LN(2)/25)*Calculateur!V89*Calculateur!X89*VLOOKUP('Données projet'!$B$9,Paramètres!$A$1:$I$89,3,0)*0.475*44/12</f>
        <v>28.397373152601858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104.52076963006043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581.88778927327667</v>
      </c>
      <c r="AO89" s="59">
        <f t="shared" si="90"/>
        <v>269.67340993773422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-6.7984728957526396E-14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300.80663531652721</v>
      </c>
      <c r="BJ89" s="59">
        <f t="shared" si="92"/>
        <v>306.01967513533549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82.64061458320208</v>
      </c>
      <c r="BQ89" s="21">
        <f>EXP(-LN(2)/25)*BQ88+(1-EXP(-LN(2)/25))/(LN(2)/25)*Calculateur!BL89*Calculateur!BN89*VLOOKUP('Données projet'!$B$11,Paramètres!$A$1:$I$89,3,0)*0.475*44/12</f>
        <v>41.675998980402824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124.3166135636049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10.059999999999997</v>
      </c>
      <c r="N90" s="13">
        <f>IF('Données projet'!$A$36&gt;35,N89+M90-V89,IF(A90&lt;'Données projet'!$A$36,$K$205^A90,IF(A90='Données projet'!$A$36,'Données projet'!$B$36,N89+M90-V89)))</f>
        <v>345.59000000000071</v>
      </c>
      <c r="O90" s="13">
        <f>N90*VLOOKUP('Données projet'!$B$9,Paramètres!$A$1:$I$89,3,0)*VLOOKUP('Données projet'!$B$9,Paramètres!$A$1:$I$89,5,0)</f>
        <v>161.73612000000031</v>
      </c>
      <c r="P90" s="13">
        <f t="shared" si="87"/>
        <v>41.233855819285765</v>
      </c>
      <c r="Q90" s="20">
        <f t="shared" si="54"/>
        <v>353.50604121858987</v>
      </c>
      <c r="R90" s="59">
        <f t="shared" si="55"/>
        <v>646.83937455192313</v>
      </c>
      <c r="S90" s="59">
        <f ca="1">AVERAGE(OFFSET($R$3,0,0,'Données projet'!$E$9+1,1))-AVERAGE(OFFSET($H$3,0,0,'Données projet'!$E$9+1,1))</f>
        <v>333.20260838961286</v>
      </c>
      <c r="T90" s="59">
        <f t="shared" si="88"/>
        <v>274.05921873522806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74.630663103222815</v>
      </c>
      <c r="AA90" s="21">
        <f>EXP(-LN(2)/25)*AA89+(1-EXP(-LN(2)/25))/(LN(2)/25)*Calculateur!V90*Calculateur!X90*VLOOKUP('Données projet'!$B$9,Paramètres!$A$1:$I$89,3,0)*0.475*44/12</f>
        <v>27.620845490391009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102.25150859361382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581.88778927327667</v>
      </c>
      <c r="AO90" s="59">
        <f t="shared" si="90"/>
        <v>269.67340993773422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-6.7984728957526396E-14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300.80663531652721</v>
      </c>
      <c r="BJ90" s="59">
        <f t="shared" si="92"/>
        <v>306.01967513533549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81.020082537023228</v>
      </c>
      <c r="BQ90" s="21">
        <f>EXP(-LN(2)/25)*BQ89+(1-EXP(-LN(2)/25))/(LN(2)/25)*Calculateur!BL90*Calculateur!BN90*VLOOKUP('Données projet'!$B$11,Paramètres!$A$1:$I$89,3,0)*0.475*44/12</f>
        <v>40.536366596638175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121.5564491336614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10.059999999999997</v>
      </c>
      <c r="N91" s="13">
        <f>IF('Données projet'!$A$36&gt;35,N90+M91-V90,IF(A91&lt;'Données projet'!$A$36,$K$205^A91,IF(A91='Données projet'!$A$36,'Données projet'!$B$36,N90+M91-V90)))</f>
        <v>355.65000000000072</v>
      </c>
      <c r="O91" s="13">
        <f>N91*VLOOKUP('Données projet'!$B$9,Paramètres!$A$1:$I$89,3,0)*VLOOKUP('Données projet'!$B$9,Paramètres!$A$1:$I$89,5,0)</f>
        <v>166.44420000000034</v>
      </c>
      <c r="P91" s="13">
        <f t="shared" si="87"/>
        <v>42.292665575425083</v>
      </c>
      <c r="Q91" s="20">
        <f t="shared" si="54"/>
        <v>363.55004087719925</v>
      </c>
      <c r="R91" s="59">
        <f t="shared" si="55"/>
        <v>656.88337421053257</v>
      </c>
      <c r="S91" s="59">
        <f ca="1">AVERAGE(OFFSET($R$3,0,0,'Données projet'!$E$9+1,1))-AVERAGE(OFFSET($H$3,0,0,'Données projet'!$E$9+1,1))</f>
        <v>333.20260838961286</v>
      </c>
      <c r="T91" s="59">
        <f t="shared" si="88"/>
        <v>274.05921873522806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73.167201319978361</v>
      </c>
      <c r="AA91" s="21">
        <f>EXP(-LN(2)/25)*AA90+(1-EXP(-LN(2)/25))/(LN(2)/25)*Calculateur!V91*Calculateur!X91*VLOOKUP('Données projet'!$B$9,Paramètres!$A$1:$I$89,3,0)*0.475*44/12</f>
        <v>26.86555201793913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100.03275333791748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581.88778927327667</v>
      </c>
      <c r="AO91" s="59">
        <f t="shared" si="90"/>
        <v>269.67340993773422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-6.7984728957526396E-14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300.80663531652721</v>
      </c>
      <c r="BJ91" s="59">
        <f t="shared" si="92"/>
        <v>306.01967513533549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79.431328135842989</v>
      </c>
      <c r="BQ91" s="21">
        <f>EXP(-LN(2)/25)*BQ90+(1-EXP(-LN(2)/25))/(LN(2)/25)*Calculateur!BL91*Calculateur!BN91*VLOOKUP('Données projet'!$B$11,Paramètres!$A$1:$I$89,3,0)*0.475*44/12</f>
        <v>39.427897520338234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118.85922565618122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10.059999999999997</v>
      </c>
      <c r="N92" s="13">
        <f>IF('Données projet'!$A$36&gt;35,N91+M92-V91,IF(A92&lt;'Données projet'!$A$36,$K$205^A92,IF(A92='Données projet'!$A$36,'Données projet'!$B$36,N91+M92-V91)))</f>
        <v>365.71000000000072</v>
      </c>
      <c r="O92" s="13">
        <f>N92*VLOOKUP('Données projet'!$B$9,Paramètres!$A$1:$I$89,3,0)*VLOOKUP('Données projet'!$B$9,Paramètres!$A$1:$I$89,5,0)</f>
        <v>171.15228000000033</v>
      </c>
      <c r="P92" s="13">
        <f t="shared" si="87"/>
        <v>43.347994423787434</v>
      </c>
      <c r="Q92" s="20">
        <f t="shared" si="54"/>
        <v>373.58797795476374</v>
      </c>
      <c r="R92" s="59">
        <f t="shared" si="55"/>
        <v>666.92131128809706</v>
      </c>
      <c r="S92" s="59">
        <f ca="1">AVERAGE(OFFSET($R$3,0,0,'Données projet'!$E$9+1,1))-AVERAGE(OFFSET($H$3,0,0,'Données projet'!$E$9+1,1))</f>
        <v>333.20260838961286</v>
      </c>
      <c r="T92" s="59">
        <f t="shared" si="88"/>
        <v>274.05921873522806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71.732437129679781</v>
      </c>
      <c r="AA92" s="21">
        <f>EXP(-LN(2)/25)*AA91+(1-EXP(-LN(2)/25))/(LN(2)/25)*Calculateur!V92*Calculateur!X92*VLOOKUP('Données projet'!$B$9,Paramètres!$A$1:$I$89,3,0)*0.475*44/12</f>
        <v>26.130912085210607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97.863349214890391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581.88778927327667</v>
      </c>
      <c r="AO92" s="59">
        <f t="shared" si="90"/>
        <v>269.67340993773422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-6.7984728957526396E-14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300.80663531652721</v>
      </c>
      <c r="BJ92" s="59">
        <f t="shared" si="92"/>
        <v>306.01967513533549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77.87372823942539</v>
      </c>
      <c r="BQ92" s="21">
        <f>EXP(-LN(2)/25)*BQ91+(1-EXP(-LN(2)/25))/(LN(2)/25)*Calculateur!BL92*Calculateur!BN92*VLOOKUP('Données projet'!$B$11,Paramètres!$A$1:$I$89,3,0)*0.475*44/12</f>
        <v>38.349739589221571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116.22346782864696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10.059999999999997</v>
      </c>
      <c r="N93" s="13">
        <f>IF('Données projet'!$A$36&gt;35,N92+M93-V92,IF(A93&lt;'Données projet'!$A$36,$K$205^A93,IF(A93='Données projet'!$A$36,'Données projet'!$B$36,N92+M93-V92)))</f>
        <v>375.77000000000072</v>
      </c>
      <c r="O93" s="13">
        <f>N93*VLOOKUP('Données projet'!$B$9,Paramètres!$A$1:$I$89,3,0)*VLOOKUP('Données projet'!$B$9,Paramètres!$A$1:$I$89,5,0)</f>
        <v>175.86036000000033</v>
      </c>
      <c r="P93" s="13">
        <f t="shared" si="87"/>
        <v>44.399949119645072</v>
      </c>
      <c r="Q93" s="20">
        <f t="shared" si="54"/>
        <v>383.62003838338245</v>
      </c>
      <c r="R93" s="59">
        <f t="shared" si="55"/>
        <v>676.95337171671576</v>
      </c>
      <c r="S93" s="59">
        <f ca="1">AVERAGE(OFFSET($R$3,0,0,'Données projet'!$E$9+1,1))-AVERAGE(OFFSET($H$3,0,0,'Données projet'!$E$9+1,1))</f>
        <v>333.20260838961286</v>
      </c>
      <c r="T93" s="59">
        <f t="shared" si="88"/>
        <v>274.05921873522806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70.32580779003321</v>
      </c>
      <c r="AA93" s="21">
        <f>EXP(-LN(2)/25)*AA92+(1-EXP(-LN(2)/25))/(LN(2)/25)*Calculateur!V93*Calculateur!X93*VLOOKUP('Données projet'!$B$9,Paramètres!$A$1:$I$89,3,0)*0.475*44/12</f>
        <v>25.416360920075579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95.742168710108785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581.88778927327667</v>
      </c>
      <c r="AO93" s="59">
        <f t="shared" si="90"/>
        <v>269.67340993773422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-6.7984728957526396E-14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300.80663531652721</v>
      </c>
      <c r="BJ93" s="59">
        <f t="shared" si="92"/>
        <v>306.01967513533549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76.34667192693442</v>
      </c>
      <c r="BQ93" s="21">
        <f>EXP(-LN(2)/25)*BQ92+(1-EXP(-LN(2)/25))/(LN(2)/25)*Calculateur!BL93*Calculateur!BN93*VLOOKUP('Données projet'!$B$11,Paramètres!$A$1:$I$89,3,0)*0.475*44/12</f>
        <v>37.301063943429149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113.64773587036356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10.059999999999997</v>
      </c>
      <c r="N94" s="13">
        <f>IF('Données projet'!$A$36&gt;35,N93+M94-V93,IF(A94&lt;'Données projet'!$A$36,$K$205^A94,IF(A94='Données projet'!$A$36,'Données projet'!$B$36,N93+M94-V93)))</f>
        <v>385.83000000000072</v>
      </c>
      <c r="O94" s="13">
        <f>N94*VLOOKUP('Données projet'!$B$9,Paramètres!$A$1:$I$89,3,0)*VLOOKUP('Données projet'!$B$9,Paramètres!$A$1:$I$89,5,0)</f>
        <v>180.56844000000032</v>
      </c>
      <c r="P94" s="13">
        <f t="shared" si="87"/>
        <v>45.448630376792785</v>
      </c>
      <c r="Q94" s="20">
        <f t="shared" si="54"/>
        <v>393.64639757291462</v>
      </c>
      <c r="R94" s="59">
        <f t="shared" si="55"/>
        <v>686.97973090624794</v>
      </c>
      <c r="S94" s="59">
        <f ca="1">AVERAGE(OFFSET($R$3,0,0,'Données projet'!$E$9+1,1))-AVERAGE(OFFSET($H$3,0,0,'Données projet'!$E$9+1,1))</f>
        <v>333.20260838961286</v>
      </c>
      <c r="T94" s="59">
        <f t="shared" si="88"/>
        <v>274.05921873522806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68.946761593777936</v>
      </c>
      <c r="AA94" s="21">
        <f>EXP(-LN(2)/25)*AA93+(1-EXP(-LN(2)/25))/(LN(2)/25)*Calculateur!V94*Calculateur!X94*VLOOKUP('Données projet'!$B$9,Paramètres!$A$1:$I$89,3,0)*0.475*44/12</f>
        <v>24.721349194127782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93.668110787905718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581.88778927327667</v>
      </c>
      <c r="AO94" s="59">
        <f t="shared" si="90"/>
        <v>269.67340993773422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-6.7984728957526396E-14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300.80663531652721</v>
      </c>
      <c r="BJ94" s="59">
        <f t="shared" si="92"/>
        <v>306.01967513533549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74.849560257319013</v>
      </c>
      <c r="BQ94" s="21">
        <f>EXP(-LN(2)/25)*BQ93+(1-EXP(-LN(2)/25))/(LN(2)/25)*Calculateur!BL94*Calculateur!BN94*VLOOKUP('Données projet'!$B$11,Paramètres!$A$1:$I$89,3,0)*0.475*44/12</f>
        <v>36.281064388318377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111.1306246456374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10.059999999999997</v>
      </c>
      <c r="N95" s="13">
        <f>IF('Données projet'!$A$36&gt;35,N94+M95-V94,IF(A95&lt;'Données projet'!$A$36,$K$205^A95,IF(A95='Données projet'!$A$36,'Données projet'!$B$36,N94+M95-V94)))</f>
        <v>395.89000000000073</v>
      </c>
      <c r="O95" s="13">
        <f>N95*VLOOKUP('Données projet'!$B$9,Paramètres!$A$1:$I$89,3,0)*VLOOKUP('Données projet'!$B$9,Paramètres!$A$1:$I$89,5,0)</f>
        <v>185.27652000000035</v>
      </c>
      <c r="P95" s="13">
        <f t="shared" si="87"/>
        <v>46.494133357933862</v>
      </c>
      <c r="Q95" s="20">
        <f t="shared" si="54"/>
        <v>403.66722126506875</v>
      </c>
      <c r="R95" s="59">
        <f t="shared" si="55"/>
        <v>697.000554598402</v>
      </c>
      <c r="S95" s="59">
        <f ca="1">AVERAGE(OFFSET($R$3,0,0,'Données projet'!$E$9+1,1))-AVERAGE(OFFSET($H$3,0,0,'Données projet'!$E$9+1,1))</f>
        <v>333.20260838961286</v>
      </c>
      <c r="T95" s="59">
        <f t="shared" si="88"/>
        <v>274.05921873522806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67.594757652296096</v>
      </c>
      <c r="AA95" s="21">
        <f>EXP(-LN(2)/25)*AA94+(1-EXP(-LN(2)/25))/(LN(2)/25)*Calculateur!V95*Calculateur!X95*VLOOKUP('Données projet'!$B$9,Paramètres!$A$1:$I$89,3,0)*0.475*44/12</f>
        <v>24.045342600375104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91.640100252671203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581.88778927327667</v>
      </c>
      <c r="AO95" s="59">
        <f t="shared" si="90"/>
        <v>269.67340993773422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-6.7984728957526396E-14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300.80663531652721</v>
      </c>
      <c r="BJ95" s="59">
        <f t="shared" si="92"/>
        <v>306.01967513533549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73.381806034396817</v>
      </c>
      <c r="BQ95" s="21">
        <f>EXP(-LN(2)/25)*BQ94+(1-EXP(-LN(2)/25))/(LN(2)/25)*Calculateur!BL95*Calculateur!BN95*VLOOKUP('Données projet'!$B$11,Paramètres!$A$1:$I$89,3,0)*0.475*44/12</f>
        <v>35.288956774681559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108.67076280907838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10.059999999999997</v>
      </c>
      <c r="N96" s="13">
        <f>IF('Données projet'!$A$36&gt;35,N95+M96-V95,IF(A96&lt;'Données projet'!$A$36,$K$205^A96,IF(A96='Données projet'!$A$36,'Données projet'!$B$36,N95+M96-V95)))</f>
        <v>405.95000000000073</v>
      </c>
      <c r="O96" s="13">
        <f>N96*VLOOKUP('Données projet'!$B$9,Paramètres!$A$1:$I$89,3,0)*VLOOKUP('Données projet'!$B$9,Paramètres!$A$1:$I$89,5,0)</f>
        <v>189.98460000000034</v>
      </c>
      <c r="P96" s="13">
        <f t="shared" si="87"/>
        <v>47.536548113819151</v>
      </c>
      <c r="Q96" s="20">
        <f t="shared" si="54"/>
        <v>413.68266629823557</v>
      </c>
      <c r="R96" s="59">
        <f t="shared" si="55"/>
        <v>707.01599963156889</v>
      </c>
      <c r="S96" s="59">
        <f ca="1">AVERAGE(OFFSET($R$3,0,0,'Données projet'!$E$9+1,1))-AVERAGE(OFFSET($H$3,0,0,'Données projet'!$E$9+1,1))</f>
        <v>333.20260838961286</v>
      </c>
      <c r="T96" s="59">
        <f t="shared" si="88"/>
        <v>274.05921873522806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66.269265683465733</v>
      </c>
      <c r="AA96" s="21">
        <f>EXP(-LN(2)/25)*AA95+(1-EXP(-LN(2)/25))/(LN(2)/25)*Calculateur!V96*Calculateur!X96*VLOOKUP('Données projet'!$B$9,Paramètres!$A$1:$I$89,3,0)*0.475*44/12</f>
        <v>23.387821442478234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89.657087125943974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581.88778927327667</v>
      </c>
      <c r="AO96" s="59">
        <f t="shared" si="90"/>
        <v>269.67340993773422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-6.7984728957526396E-14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300.80663531652721</v>
      </c>
      <c r="BJ96" s="59">
        <f t="shared" si="92"/>
        <v>306.01967513533549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71.942833576544444</v>
      </c>
      <c r="BQ96" s="21">
        <f>EXP(-LN(2)/25)*BQ95+(1-EXP(-LN(2)/25))/(LN(2)/25)*Calculateur!BL96*Calculateur!BN96*VLOOKUP('Données projet'!$B$11,Paramètres!$A$1:$I$89,3,0)*0.475*44/12</f>
        <v>34.323978395912306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106.26681197245675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10.059999999999997</v>
      </c>
      <c r="N97" s="13">
        <f>IF('Données projet'!$A$36&gt;35,N96+M97-V96,IF(A97&lt;'Données projet'!$A$36,$K$205^A97,IF(A97='Données projet'!$A$36,'Données projet'!$B$36,N96+M97-V96)))</f>
        <v>416.01000000000073</v>
      </c>
      <c r="O97" s="13">
        <f>N97*VLOOKUP('Données projet'!$B$9,Paramètres!$A$1:$I$89,3,0)*VLOOKUP('Données projet'!$B$9,Paramètres!$A$1:$I$89,5,0)</f>
        <v>194.69268000000034</v>
      </c>
      <c r="P97" s="13">
        <f t="shared" si="87"/>
        <v>48.575959977629871</v>
      </c>
      <c r="Q97" s="20">
        <f t="shared" si="54"/>
        <v>423.69288129437263</v>
      </c>
      <c r="R97" s="59">
        <f t="shared" si="55"/>
        <v>717.02621462770594</v>
      </c>
      <c r="S97" s="59">
        <f ca="1">AVERAGE(OFFSET($R$3,0,0,'Données projet'!$E$9+1,1))-AVERAGE(OFFSET($H$3,0,0,'Données projet'!$E$9+1,1))</f>
        <v>333.20260838961286</v>
      </c>
      <c r="T97" s="59">
        <f t="shared" si="88"/>
        <v>274.05921873522806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64.969765803673866</v>
      </c>
      <c r="AA97" s="21">
        <f>EXP(-LN(2)/25)*AA96+(1-EXP(-LN(2)/25))/(LN(2)/25)*Calculateur!V97*Calculateur!X97*VLOOKUP('Données projet'!$B$9,Paramètres!$A$1:$I$89,3,0)*0.475*44/12</f>
        <v>22.748280235221589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87.718046038895451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581.88778927327667</v>
      </c>
      <c r="AO97" s="59">
        <f t="shared" si="90"/>
        <v>269.67340993773422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-6.7984728957526396E-14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300.80663531652721</v>
      </c>
      <c r="BJ97" s="59">
        <f t="shared" si="92"/>
        <v>306.01967513533549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70.532078490904027</v>
      </c>
      <c r="BQ97" s="21">
        <f>EXP(-LN(2)/25)*BQ96+(1-EXP(-LN(2)/25))/(LN(2)/25)*Calculateur!BL97*Calculateur!BN97*VLOOKUP('Données projet'!$B$11,Paramètres!$A$1:$I$89,3,0)*0.475*44/12</f>
        <v>33.385387401656509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103.91746589256053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10.059999999999997</v>
      </c>
      <c r="N98" s="13">
        <f>IF('Données projet'!$A$36&gt;35,N97+M98-V97,IF(A98&lt;'Données projet'!$A$36,$K$205^A98,IF(A98='Données projet'!$A$36,'Données projet'!$B$36,N97+M98-V97)))</f>
        <v>426.07000000000073</v>
      </c>
      <c r="O98" s="13">
        <f>N98*VLOOKUP('Données projet'!$B$9,Paramètres!$A$1:$I$89,3,0)*VLOOKUP('Données projet'!$B$9,Paramètres!$A$1:$I$89,5,0)</f>
        <v>199.40076000000033</v>
      </c>
      <c r="P98" s="13">
        <f t="shared" si="87"/>
        <v>49.612449920138786</v>
      </c>
      <c r="Q98" s="20">
        <f t="shared" si="54"/>
        <v>433.69800727757553</v>
      </c>
      <c r="R98" s="59">
        <f t="shared" si="55"/>
        <v>727.03134061090884</v>
      </c>
      <c r="S98" s="59">
        <f ca="1">AVERAGE(OFFSET($R$3,0,0,'Données projet'!$E$9+1,1))-AVERAGE(OFFSET($H$3,0,0,'Données projet'!$E$9+1,1))</f>
        <v>333.20260838961286</v>
      </c>
      <c r="T98" s="59">
        <f t="shared" si="88"/>
        <v>274.05921873522806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63.695748323908056</v>
      </c>
      <c r="AA98" s="21">
        <f>EXP(-LN(2)/25)*AA97+(1-EXP(-LN(2)/25))/(LN(2)/25)*Calculateur!V98*Calculateur!X98*VLOOKUP('Données projet'!$B$9,Paramètres!$A$1:$I$89,3,0)*0.475*44/12</f>
        <v>22.126227315909389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85.821975639817452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581.88778927327667</v>
      </c>
      <c r="AO98" s="59">
        <f t="shared" si="90"/>
        <v>269.67340993773422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-6.7984728957526396E-14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300.80663531652721</v>
      </c>
      <c r="BJ98" s="59">
        <f t="shared" si="92"/>
        <v>306.01967513533549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69.14898745201738</v>
      </c>
      <c r="BQ98" s="21">
        <f>EXP(-LN(2)/25)*BQ97+(1-EXP(-LN(2)/25))/(LN(2)/25)*Calculateur!BL98*Calculateur!BN98*VLOOKUP('Données projet'!$B$11,Paramètres!$A$1:$I$89,3,0)*0.475*44/12</f>
        <v>32.47246222749699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101.62144967951437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10.059999999999997</v>
      </c>
      <c r="N99" s="13">
        <f>IF('Données projet'!$A$36&gt;35,N98+M99-V98,IF(A99&lt;'Données projet'!$A$36,$K$205^A99,IF(A99='Données projet'!$A$36,'Données projet'!$B$36,N98+M99-V98)))</f>
        <v>436.13000000000073</v>
      </c>
      <c r="O99" s="13">
        <f>N99*VLOOKUP('Données projet'!$B$9,Paramètres!$A$1:$I$89,3,0)*VLOOKUP('Données projet'!$B$9,Paramètres!$A$1:$I$89,5,0)</f>
        <v>204.10884000000033</v>
      </c>
      <c r="P99" s="13">
        <f t="shared" si="87"/>
        <v>50.646094870383052</v>
      </c>
      <c r="Q99" s="20">
        <f t="shared" ref="Q99:Q130" si="107">(O99+P99)*0.475*44/12</f>
        <v>443.69817823258433</v>
      </c>
      <c r="R99" s="59">
        <f t="shared" si="55"/>
        <v>737.03151156591764</v>
      </c>
      <c r="S99" s="59">
        <f ca="1">AVERAGE(OFFSET($R$3,0,0,'Données projet'!$E$9+1,1))-AVERAGE(OFFSET($H$3,0,0,'Données projet'!$E$9+1,1))</f>
        <v>333.20260838961286</v>
      </c>
      <c r="T99" s="59">
        <f t="shared" si="88"/>
        <v>274.05921873522806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62.446713549846521</v>
      </c>
      <c r="AA99" s="21">
        <f>EXP(-LN(2)/25)*AA98+(1-EXP(-LN(2)/25))/(LN(2)/25)*Calculateur!V99*Calculateur!X99*VLOOKUP('Données projet'!$B$9,Paramètres!$A$1:$I$89,3,0)*0.475*44/12</f>
        <v>21.521184466388124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83.967898016234642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581.88778927327667</v>
      </c>
      <c r="AO99" s="59">
        <f t="shared" si="90"/>
        <v>269.67340993773422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-6.7984728957526396E-14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300.80663531652721</v>
      </c>
      <c r="BJ99" s="59">
        <f t="shared" si="92"/>
        <v>306.01967513533549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67.793017984801054</v>
      </c>
      <c r="BQ99" s="21">
        <f>EXP(-LN(2)/25)*BQ98+(1-EXP(-LN(2)/25))/(LN(2)/25)*Calculateur!BL99*Calculateur!BN99*VLOOKUP('Données projet'!$B$11,Paramètres!$A$1:$I$89,3,0)*0.475*44/12</f>
        <v>31.584501040233512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99.377519025034559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446.19</v>
      </c>
      <c r="L100" s="12">
        <f>VLOOKUP(A100,'Données projet'!$A$35:$I$55,9,0)</f>
        <v>10.059999999999997</v>
      </c>
      <c r="M100" s="12">
        <f t="array" ref="M100">INDEX(L:L,MIN(IF(ISNUMBER(L100:L296),ROW(L100:L296),"")))</f>
        <v>10.059999999999997</v>
      </c>
      <c r="N100" s="13">
        <f>IF('Données projet'!$A$36&gt;35,N99+M100-V99,IF(A100&lt;'Données projet'!$A$36,$K$205^A100,IF(A100='Données projet'!$A$36,'Données projet'!$B$36,N99+M100-V99)))</f>
        <v>446.19000000000074</v>
      </c>
      <c r="O100" s="13">
        <f>N100*VLOOKUP('Données projet'!$B$9,Paramètres!$A$1:$I$89,3,0)*VLOOKUP('Données projet'!$B$9,Paramètres!$A$1:$I$89,5,0)</f>
        <v>208.81692000000035</v>
      </c>
      <c r="P100" s="13">
        <f t="shared" si="87"/>
        <v>51.676968005916123</v>
      </c>
      <c r="Q100" s="20">
        <f t="shared" si="107"/>
        <v>453.69352161030451</v>
      </c>
      <c r="R100" s="59">
        <f t="shared" si="55"/>
        <v>747.02685494363777</v>
      </c>
      <c r="S100" s="59">
        <f ca="1">AVERAGE(OFFSET($R$3,0,0,'Données projet'!$E$9+1,1))-AVERAGE(OFFSET($H$3,0,0,'Données projet'!$E$9+1,1))</f>
        <v>333.20260838961286</v>
      </c>
      <c r="T100" s="59">
        <f t="shared" si="88"/>
        <v>274.05921873522806</v>
      </c>
      <c r="U100" s="15">
        <f>IF(ISNA(VLOOKUP(A100,'Données projet'!$A$35:$I$55,3,0)),0,VLOOKUP(A100,'Données projet'!$A$35:$I$55,3,0))</f>
        <v>5</v>
      </c>
      <c r="V100" s="15">
        <f>IF(ISNA(VLOOKUP(A100,'Données projet'!$A$35:$I$55,4,0)),0,VLOOKUP(A100,'Données projet'!$A$35:$I$55,4,0))</f>
        <v>89.6</v>
      </c>
      <c r="W100" s="16">
        <f>IF(ISNA(VLOOKUP(A100,'Données projet'!$A$35:$I$55,5,0)),0%,VLOOKUP(A100,'Données projet'!$A$35:$I$55,5,0)*VLOOKUP('Données projet'!$B$9,Paramètres!$A$1:$I$89,7,0))</f>
        <v>0.38500000000000001</v>
      </c>
      <c r="X100" s="16">
        <f>IF(ISNA(VLOOKUP(A100,'Données projet'!$A$35:$I$55,6,0)),0%,VLOOKUP(A100,'Données projet'!$A$35:$I$55,6,0)*VLOOKUP('Données projet'!$B$9,Paramètres!$A$1:$I$89,7,0))</f>
        <v>0.16500000000000001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82.638397954734586</v>
      </c>
      <c r="AA100" s="21">
        <f>EXP(-LN(2)/25)*AA99+(1-EXP(-LN(2)/25))/(LN(2)/25)*Calculateur!V100*Calculateur!X100*VLOOKUP('Données projet'!$B$9,Paramètres!$A$1:$I$89,3,0)*0.475*44/12</f>
        <v>30.074930484874841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112.71332843960943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581.88778927327667</v>
      </c>
      <c r="AO100" s="59">
        <f t="shared" si="90"/>
        <v>269.67340993773422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-6.7984728957526396E-14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300.80663531652721</v>
      </c>
      <c r="BJ100" s="59">
        <f t="shared" si="92"/>
        <v>306.01967513533549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66.463638251777141</v>
      </c>
      <c r="BQ100" s="21">
        <f>EXP(-LN(2)/25)*BQ99+(1-EXP(-LN(2)/25))/(LN(2)/25)*Calculateur!BL100*Calculateur!BN100*VLOOKUP('Données projet'!$B$11,Paramètres!$A$1:$I$89,3,0)*0.475*44/12</f>
        <v>30.720821198331603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97.184459450108747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9.0474999999999994</v>
      </c>
      <c r="N101" s="13">
        <f>IF('Données projet'!$A$36&gt;35,N100+M101-V100,IF(A101&lt;'Données projet'!$A$36,$K$205^A101,IF(A101='Données projet'!$A$36,'Données projet'!$B$36,N100+M101-V100)))</f>
        <v>365.63750000000073</v>
      </c>
      <c r="O101" s="13">
        <f>N101*VLOOKUP('Données projet'!$B$9,Paramètres!$A$1:$I$89,3,0)*VLOOKUP('Données projet'!$B$9,Paramètres!$A$1:$I$89,5,0)</f>
        <v>171.11835000000036</v>
      </c>
      <c r="P101" s="13">
        <f t="shared" si="87"/>
        <v>43.340401117854505</v>
      </c>
      <c r="Q101" s="20">
        <f t="shared" si="107"/>
        <v>373.51565819693059</v>
      </c>
      <c r="R101" s="59">
        <f t="shared" si="55"/>
        <v>666.8489915302639</v>
      </c>
      <c r="S101" s="59">
        <f ca="1">AVERAGE(OFFSET($R$3,0,0,'Données projet'!$E$9+1,1))-AVERAGE(OFFSET($H$3,0,0,'Données projet'!$E$9+1,1))</f>
        <v>333.20260838961286</v>
      </c>
      <c r="T101" s="59">
        <f t="shared" si="88"/>
        <v>274.05921873522806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81.017909375287971</v>
      </c>
      <c r="AA101" s="21">
        <f>EXP(-LN(2)/25)*AA100+(1-EXP(-LN(2)/25))/(LN(2)/25)*Calculateur!V101*Calculateur!X101*VLOOKUP('Données projet'!$B$9,Paramètres!$A$1:$I$89,3,0)*0.475*44/12</f>
        <v>29.252529929194083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110.27043930448205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581.88778927327667</v>
      </c>
      <c r="AO101" s="59">
        <f t="shared" si="90"/>
        <v>269.67340993773422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-6.7984728957526396E-14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300.80663531652721</v>
      </c>
      <c r="BJ101" s="59">
        <f t="shared" si="92"/>
        <v>306.01967513533549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65.160326844476245</v>
      </c>
      <c r="BQ101" s="21">
        <f>EXP(-LN(2)/25)*BQ100+(1-EXP(-LN(2)/25))/(LN(2)/25)*Calculateur!BL101*Calculateur!BN101*VLOOKUP('Données projet'!$B$11,Paramètres!$A$1:$I$89,3,0)*0.475*44/12</f>
        <v>29.88075872712545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95.041085571601698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9.0474999999999994</v>
      </c>
      <c r="N102" s="13">
        <f>IF('Données projet'!$A$36&gt;35,N101+M102-V101,IF(A102&lt;'Données projet'!$A$36,$K$205^A102,IF(A102='Données projet'!$A$36,'Données projet'!$B$36,N101+M102-V101)))</f>
        <v>374.68500000000074</v>
      </c>
      <c r="O102" s="13">
        <f>N102*VLOOKUP('Données projet'!$B$9,Paramètres!$A$1:$I$89,3,0)*VLOOKUP('Données projet'!$B$9,Paramètres!$A$1:$I$89,5,0)</f>
        <v>175.35258000000036</v>
      </c>
      <c r="P102" s="13">
        <f t="shared" si="87"/>
        <v>44.286652000427587</v>
      </c>
      <c r="Q102" s="20">
        <f t="shared" si="107"/>
        <v>382.53832906741195</v>
      </c>
      <c r="R102" s="59">
        <f t="shared" si="55"/>
        <v>675.87166240074521</v>
      </c>
      <c r="S102" s="59">
        <f ca="1">AVERAGE(OFFSET($R$3,0,0,'Données projet'!$E$9+1,1))-AVERAGE(OFFSET($H$3,0,0,'Données projet'!$E$9+1,1))</f>
        <v>333.20260838961286</v>
      </c>
      <c r="T102" s="59">
        <f t="shared" si="88"/>
        <v>274.05921873522806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79.429197588483859</v>
      </c>
      <c r="AA102" s="21">
        <f>EXP(-LN(2)/25)*AA101+(1-EXP(-LN(2)/25))/(LN(2)/25)*Calculateur!V102*Calculateur!X102*VLOOKUP('Données projet'!$B$9,Paramètres!$A$1:$I$89,3,0)*0.475*44/12</f>
        <v>28.45261795995658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107.88181554844044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581.88778927327667</v>
      </c>
      <c r="AO102" s="59">
        <f t="shared" si="90"/>
        <v>269.67340993773422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-6.7984728957526396E-14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300.80663531652721</v>
      </c>
      <c r="BJ102" s="59">
        <f t="shared" si="92"/>
        <v>306.01967513533549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63.882572578931061</v>
      </c>
      <c r="BQ102" s="21">
        <f>EXP(-LN(2)/25)*BQ101+(1-EXP(-LN(2)/25))/(LN(2)/25)*Calculateur!BL102*Calculateur!BN102*VLOOKUP('Données projet'!$B$11,Paramètres!$A$1:$I$89,3,0)*0.475*44/12</f>
        <v>29.063667808371395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92.946240387302453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9.0474999999999994</v>
      </c>
      <c r="N103" s="13">
        <f>IF('Données projet'!$A$36&gt;35,N102+M103-V102,IF(A103&lt;'Données projet'!$A$36,$K$205^A103,IF(A103='Données projet'!$A$36,'Données projet'!$B$36,N102+M103-V102)))</f>
        <v>383.73250000000075</v>
      </c>
      <c r="O103" s="13">
        <f>N103*VLOOKUP('Données projet'!$B$9,Paramètres!$A$1:$I$89,3,0)*VLOOKUP('Données projet'!$B$9,Paramètres!$A$1:$I$89,5,0)</f>
        <v>179.58681000000038</v>
      </c>
      <c r="P103" s="13">
        <f t="shared" si="87"/>
        <v>45.230246712340069</v>
      </c>
      <c r="Q103" s="20">
        <f t="shared" si="107"/>
        <v>391.5563737739929</v>
      </c>
      <c r="R103" s="59">
        <f t="shared" si="55"/>
        <v>684.88970710732622</v>
      </c>
      <c r="S103" s="59">
        <f ca="1">AVERAGE(OFFSET($R$3,0,0,'Données projet'!$E$9+1,1))-AVERAGE(OFFSET($H$3,0,0,'Données projet'!$E$9+1,1))</f>
        <v>333.20260838961286</v>
      </c>
      <c r="T103" s="59">
        <f t="shared" si="88"/>
        <v>274.05921873522806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77.871639470800474</v>
      </c>
      <c r="AA103" s="21">
        <f>EXP(-LN(2)/25)*AA102+(1-EXP(-LN(2)/25))/(LN(2)/25)*Calculateur!V103*Calculateur!X103*VLOOKUP('Données projet'!$B$9,Paramètres!$A$1:$I$89,3,0)*0.475*44/12</f>
        <v>27.674579625583419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105.54621909638389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581.88778927327667</v>
      </c>
      <c r="AO103" s="59">
        <f t="shared" si="90"/>
        <v>269.67340993773422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-6.7984728957526396E-14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300.80663531652721</v>
      </c>
      <c r="BJ103" s="59">
        <f t="shared" si="92"/>
        <v>306.01967513533549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62.629874295180066</v>
      </c>
      <c r="BQ103" s="21">
        <f>EXP(-LN(2)/25)*BQ102+(1-EXP(-LN(2)/25))/(LN(2)/25)*Calculateur!BL103*Calculateur!BN103*VLOOKUP('Données projet'!$B$11,Paramètres!$A$1:$I$89,3,0)*0.475*44/12</f>
        <v>28.268920283759616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90.898794578939686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9.0474999999999994</v>
      </c>
      <c r="N104" s="13">
        <f>IF('Données projet'!$A$36&gt;35,N103+M104-V103,IF(A104&lt;'Données projet'!$A$36,$K$205^A104,IF(A104='Données projet'!$A$36,'Données projet'!$B$36,N103+M104-V103)))</f>
        <v>392.78000000000077</v>
      </c>
      <c r="O104" s="13">
        <f>N104*VLOOKUP('Données projet'!$B$9,Paramètres!$A$1:$I$89,3,0)*VLOOKUP('Données projet'!$B$9,Paramètres!$A$1:$I$89,5,0)</f>
        <v>183.82104000000035</v>
      </c>
      <c r="P104" s="13">
        <f t="shared" si="87"/>
        <v>46.17125508669745</v>
      </c>
      <c r="Q104" s="20">
        <f t="shared" si="107"/>
        <v>400.56991394266532</v>
      </c>
      <c r="R104" s="59">
        <f t="shared" si="55"/>
        <v>693.90324727599864</v>
      </c>
      <c r="S104" s="59">
        <f ca="1">AVERAGE(OFFSET($R$3,0,0,'Données projet'!$E$9+1,1))-AVERAGE(OFFSET($H$3,0,0,'Données projet'!$E$9+1,1))</f>
        <v>333.20260838961286</v>
      </c>
      <c r="T104" s="59">
        <f t="shared" si="88"/>
        <v>274.05921873522806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76.344624117788214</v>
      </c>
      <c r="AA104" s="21">
        <f>EXP(-LN(2)/25)*AA103+(1-EXP(-LN(2)/25))/(LN(2)/25)*Calculateur!V104*Calculateur!X104*VLOOKUP('Données projet'!$B$9,Paramètres!$A$1:$I$89,3,0)*0.475*44/12</f>
        <v>26.91781679037895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103.26244090816716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581.88778927327667</v>
      </c>
      <c r="AO104" s="59">
        <f t="shared" si="90"/>
        <v>269.67340993773422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-6.7984728957526396E-14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300.80663531652721</v>
      </c>
      <c r="BJ104" s="59">
        <f t="shared" si="92"/>
        <v>306.01967513533549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61.401740660702927</v>
      </c>
      <c r="BQ104" s="21">
        <f>EXP(-LN(2)/25)*BQ103+(1-EXP(-LN(2)/25))/(LN(2)/25)*Calculateur!BL104*Calculateur!BN104*VLOOKUP('Données projet'!$B$11,Paramètres!$A$1:$I$89,3,0)*0.475*44/12</f>
        <v>27.495905172002303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88.897645832705223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9.0474999999999994</v>
      </c>
      <c r="N105" s="13">
        <f>IF('Données projet'!$A$36&gt;35,N104+M105-V104,IF(A105&lt;'Données projet'!$A$36,$K$205^A105,IF(A105='Données projet'!$A$36,'Données projet'!$B$36,N104+M105-V104)))</f>
        <v>401.82750000000078</v>
      </c>
      <c r="O105" s="13">
        <f>N105*VLOOKUP('Données projet'!$B$9,Paramètres!$A$1:$I$89,3,0)*VLOOKUP('Données projet'!$B$9,Paramètres!$A$1:$I$89,5,0)</f>
        <v>188.05527000000035</v>
      </c>
      <c r="P105" s="13">
        <f t="shared" si="87"/>
        <v>47.109743555877948</v>
      </c>
      <c r="Q105" s="20">
        <f t="shared" si="107"/>
        <v>409.57906527648794</v>
      </c>
      <c r="R105" s="59">
        <f t="shared" si="55"/>
        <v>702.91239860982125</v>
      </c>
      <c r="S105" s="59">
        <f ca="1">AVERAGE(OFFSET($R$3,0,0,'Données projet'!$E$9+1,1))-AVERAGE(OFFSET($H$3,0,0,'Données projet'!$E$9+1,1))</f>
        <v>333.20260838961286</v>
      </c>
      <c r="T105" s="59">
        <f t="shared" si="88"/>
        <v>274.05921873522806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74.847552604461129</v>
      </c>
      <c r="AA105" s="21">
        <f>EXP(-LN(2)/25)*AA104+(1-EXP(-LN(2)/25))/(LN(2)/25)*Calculateur!V105*Calculateur!X105*VLOOKUP('Données projet'!$B$9,Paramètres!$A$1:$I$89,3,0)*0.475*44/12</f>
        <v>26.181747674699576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101.02930027916071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581.88778927327667</v>
      </c>
      <c r="AO105" s="59">
        <f t="shared" si="90"/>
        <v>269.67340993773422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-6.7984728957526396E-14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300.80663531652721</v>
      </c>
      <c r="BJ105" s="59">
        <f t="shared" si="92"/>
        <v>306.01967513533549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60.197689977710333</v>
      </c>
      <c r="BQ105" s="21">
        <f>EXP(-LN(2)/25)*BQ104+(1-EXP(-LN(2)/25))/(LN(2)/25)*Calculateur!BL105*Calculateur!BN105*VLOOKUP('Données projet'!$B$11,Paramètres!$A$1:$I$89,3,0)*0.475*44/12</f>
        <v>26.74402819912709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86.941718176837426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9.0474999999999994</v>
      </c>
      <c r="N106" s="13">
        <f>IF('Données projet'!$A$36&gt;35,N105+M106-V105,IF(A106&lt;'Données projet'!$A$36,$K$205^A106,IF(A106='Données projet'!$A$36,'Données projet'!$B$36,N105+M106-V105)))</f>
        <v>410.8750000000008</v>
      </c>
      <c r="O106" s="13">
        <f>N106*VLOOKUP('Données projet'!$B$9,Paramètres!$A$1:$I$89,3,0)*VLOOKUP('Données projet'!$B$9,Paramètres!$A$1:$I$89,5,0)</f>
        <v>192.28950000000037</v>
      </c>
      <c r="P106" s="13">
        <f t="shared" si="87"/>
        <v>48.045775389924884</v>
      </c>
      <c r="Q106" s="20">
        <f t="shared" si="107"/>
        <v>418.58393797078651</v>
      </c>
      <c r="R106" s="59">
        <f t="shared" si="55"/>
        <v>711.91727130411982</v>
      </c>
      <c r="S106" s="59">
        <f ca="1">AVERAGE(OFFSET($R$3,0,0,'Données projet'!$E$9+1,1))-AVERAGE(OFFSET($H$3,0,0,'Données projet'!$E$9+1,1))</f>
        <v>333.20260838961286</v>
      </c>
      <c r="T106" s="59">
        <f t="shared" si="88"/>
        <v>274.05921873522806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73.379837750386926</v>
      </c>
      <c r="AA106" s="21">
        <f>EXP(-LN(2)/25)*AA105+(1-EXP(-LN(2)/25))/(LN(2)/25)*Calculateur!V106*Calculateur!X106*VLOOKUP('Données projet'!$B$9,Paramètres!$A$1:$I$89,3,0)*0.475*44/12</f>
        <v>25.465806407696643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98.845644158083573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581.88778927327667</v>
      </c>
      <c r="AO106" s="59">
        <f t="shared" si="90"/>
        <v>269.67340993773422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-6.7984728957526396E-14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300.80663531652721</v>
      </c>
      <c r="BJ106" s="59">
        <f t="shared" si="92"/>
        <v>306.01967513533549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59.017249994212818</v>
      </c>
      <c r="BQ106" s="21">
        <f>EXP(-LN(2)/25)*BQ105+(1-EXP(-LN(2)/25))/(LN(2)/25)*Calculateur!BL106*Calculateur!BN106*VLOOKUP('Données projet'!$B$11,Paramètres!$A$1:$I$89,3,0)*0.475*44/12</f>
        <v>26.01271134161464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85.029961335827466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9.0474999999999994</v>
      </c>
      <c r="N107" s="13">
        <f>IF('Données projet'!$A$36&gt;35,N106+M107-V106,IF(A107&lt;'Données projet'!$A$36,$K$205^A107,IF(A107='Données projet'!$A$36,'Données projet'!$B$36,N106+M107-V106)))</f>
        <v>419.92250000000081</v>
      </c>
      <c r="O107" s="13">
        <f>N107*VLOOKUP('Données projet'!$B$9,Paramètres!$A$1:$I$89,3,0)*VLOOKUP('Données projet'!$B$9,Paramètres!$A$1:$I$89,5,0)</f>
        <v>196.52373000000037</v>
      </c>
      <c r="P107" s="13">
        <f t="shared" si="87"/>
        <v>48.979410913349057</v>
      </c>
      <c r="Q107" s="20">
        <f t="shared" si="107"/>
        <v>427.58463709075022</v>
      </c>
      <c r="R107" s="59">
        <f t="shared" si="55"/>
        <v>720.91797042408348</v>
      </c>
      <c r="S107" s="59">
        <f ca="1">AVERAGE(OFFSET($R$3,0,0,'Données projet'!$E$9+1,1))-AVERAGE(OFFSET($H$3,0,0,'Données projet'!$E$9+1,1))</f>
        <v>333.20260838961286</v>
      </c>
      <c r="T107" s="59">
        <f t="shared" si="88"/>
        <v>274.05921873522806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71.940903889383449</v>
      </c>
      <c r="AA107" s="21">
        <f>EXP(-LN(2)/25)*AA106+(1-EXP(-LN(2)/25))/(LN(2)/25)*Calculateur!V107*Calculateur!X107*VLOOKUP('Données projet'!$B$9,Paramètres!$A$1:$I$89,3,0)*0.475*44/12</f>
        <v>24.769442592289622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96.710346481673071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581.88778927327667</v>
      </c>
      <c r="AO107" s="59">
        <f t="shared" si="90"/>
        <v>269.67340993773422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-6.7984728957526396E-14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300.80663531652721</v>
      </c>
      <c r="BJ107" s="59">
        <f t="shared" si="92"/>
        <v>306.01967513533549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57.859957718794398</v>
      </c>
      <c r="BQ107" s="21">
        <f>EXP(-LN(2)/25)*BQ106+(1-EXP(-LN(2)/25))/(LN(2)/25)*Calculateur!BL107*Calculateur!BN107*VLOOKUP('Données projet'!$B$11,Paramètres!$A$1:$I$89,3,0)*0.475*44/12</f>
        <v>25.30139238202915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83.16135010082354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9.0474999999999994</v>
      </c>
      <c r="N108" s="13">
        <f>IF('Données projet'!$A$36&gt;35,N107+M108-V107,IF(A108&lt;'Données projet'!$A$36,$K$205^A108,IF(A108='Données projet'!$A$36,'Données projet'!$B$36,N107+M108-V107)))</f>
        <v>428.97000000000082</v>
      </c>
      <c r="O108" s="13">
        <f>N108*VLOOKUP('Données projet'!$B$9,Paramètres!$A$1:$I$89,3,0)*VLOOKUP('Données projet'!$B$9,Paramètres!$A$1:$I$89,5,0)</f>
        <v>200.75796000000039</v>
      </c>
      <c r="P108" s="13">
        <f t="shared" si="87"/>
        <v>49.910707702719861</v>
      </c>
      <c r="Q108" s="20">
        <f t="shared" si="107"/>
        <v>436.58126291557113</v>
      </c>
      <c r="R108" s="59">
        <f t="shared" si="55"/>
        <v>729.91459624890445</v>
      </c>
      <c r="S108" s="59">
        <f ca="1">AVERAGE(OFFSET($R$3,0,0,'Données projet'!$E$9+1,1))-AVERAGE(OFFSET($H$3,0,0,'Données projet'!$E$9+1,1))</f>
        <v>333.20260838961286</v>
      </c>
      <c r="T108" s="59">
        <f t="shared" si="88"/>
        <v>274.05921873522806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70.530186643731255</v>
      </c>
      <c r="AA108" s="21">
        <f>EXP(-LN(2)/25)*AA107+(1-EXP(-LN(2)/25))/(LN(2)/25)*Calculateur!V108*Calculateur!X108*VLOOKUP('Données projet'!$B$9,Paramètres!$A$1:$I$89,3,0)*0.475*44/12</f>
        <v>24.092120882035086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94.622307525766345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581.88778927327667</v>
      </c>
      <c r="AO108" s="59">
        <f t="shared" si="90"/>
        <v>269.67340993773422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-6.7984728957526396E-14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300.80663531652721</v>
      </c>
      <c r="BJ108" s="59">
        <f t="shared" si="92"/>
        <v>306.01967513533549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56.725359239018346</v>
      </c>
      <c r="BQ108" s="21">
        <f>EXP(-LN(2)/25)*BQ107+(1-EXP(-LN(2)/25))/(LN(2)/25)*Calculateur!BL108*Calculateur!BN108*VLOOKUP('Données projet'!$B$11,Paramètres!$A$1:$I$89,3,0)*0.475*44/12</f>
        <v>24.609524476800164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81.334883715818506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9.0474999999999994</v>
      </c>
      <c r="N109" s="13">
        <f>IF('Données projet'!$A$36&gt;35,N108+M109-V108,IF(A109&lt;'Données projet'!$A$36,$K$205^A109,IF(A109='Données projet'!$A$36,'Données projet'!$B$36,N108+M109-V108)))</f>
        <v>438.01750000000084</v>
      </c>
      <c r="O109" s="13">
        <f>N109*VLOOKUP('Données projet'!$B$9,Paramètres!$A$1:$I$89,3,0)*VLOOKUP('Données projet'!$B$9,Paramètres!$A$1:$I$89,5,0)</f>
        <v>204.99219000000039</v>
      </c>
      <c r="P109" s="13">
        <f t="shared" si="87"/>
        <v>50.839720767115892</v>
      </c>
      <c r="Q109" s="20">
        <f t="shared" si="107"/>
        <v>445.57391125272744</v>
      </c>
      <c r="R109" s="59">
        <f t="shared" si="55"/>
        <v>738.90724458606076</v>
      </c>
      <c r="S109" s="59">
        <f ca="1">AVERAGE(OFFSET($R$3,0,0,'Données projet'!$E$9+1,1))-AVERAGE(OFFSET($H$3,0,0,'Données projet'!$E$9+1,1))</f>
        <v>333.20260838961286</v>
      </c>
      <c r="T109" s="59">
        <f t="shared" si="88"/>
        <v>274.05921873522806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69.147132702813749</v>
      </c>
      <c r="AA109" s="21">
        <f>EXP(-LN(2)/25)*AA108+(1-EXP(-LN(2)/25))/(LN(2)/25)*Calculateur!V109*Calculateur!X109*VLOOKUP('Données projet'!$B$9,Paramètres!$A$1:$I$89,3,0)*0.475*44/12</f>
        <v>23.433320569566263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92.580453272380012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581.88778927327667</v>
      </c>
      <c r="AO109" s="59">
        <f t="shared" si="90"/>
        <v>269.67340993773422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-6.7984728957526396E-14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300.80663531652721</v>
      </c>
      <c r="BJ109" s="59">
        <f t="shared" si="92"/>
        <v>306.01967513533549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55.613009543393957</v>
      </c>
      <c r="BQ109" s="21">
        <f>EXP(-LN(2)/25)*BQ108+(1-EXP(-LN(2)/25))/(LN(2)/25)*Calculateur!BL109*Calculateur!BN109*VLOOKUP('Données projet'!$B$11,Paramètres!$A$1:$I$89,3,0)*0.475*44/12</f>
        <v>23.936575735823418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79.549585279217382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9.0474999999999994</v>
      </c>
      <c r="N110" s="13">
        <f>IF('Données projet'!$A$36&gt;35,N109+M110-V109,IF(A110&lt;'Données projet'!$A$36,$K$205^A110,IF(A110='Données projet'!$A$36,'Données projet'!$B$36,N109+M110-V109)))</f>
        <v>447.06500000000085</v>
      </c>
      <c r="O110" s="13">
        <f>N110*VLOOKUP('Données projet'!$B$9,Paramètres!$A$1:$I$89,3,0)*VLOOKUP('Données projet'!$B$9,Paramètres!$A$1:$I$89,5,0)</f>
        <v>209.22642000000042</v>
      </c>
      <c r="P110" s="13">
        <f t="shared" si="87"/>
        <v>51.76650271324506</v>
      </c>
      <c r="Q110" s="20">
        <f t="shared" si="107"/>
        <v>454.56267372556914</v>
      </c>
      <c r="R110" s="59">
        <f t="shared" si="55"/>
        <v>747.89600705890246</v>
      </c>
      <c r="S110" s="59">
        <f ca="1">AVERAGE(OFFSET($R$3,0,0,'Données projet'!$E$9+1,1))-AVERAGE(OFFSET($H$3,0,0,'Données projet'!$E$9+1,1))</f>
        <v>333.20260838961286</v>
      </c>
      <c r="T110" s="59">
        <f t="shared" si="88"/>
        <v>274.05921873522806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67.791199606098033</v>
      </c>
      <c r="AA110" s="21">
        <f>EXP(-LN(2)/25)*AA109+(1-EXP(-LN(2)/25))/(LN(2)/25)*Calculateur!V110*Calculateur!X110*VLOOKUP('Données projet'!$B$9,Paramètres!$A$1:$I$89,3,0)*0.475*44/12</f>
        <v>22.792535186286702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90.583734792384732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581.88778927327667</v>
      </c>
      <c r="AO110" s="59">
        <f t="shared" si="90"/>
        <v>269.67340993773422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-6.7984728957526396E-14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300.80663531652721</v>
      </c>
      <c r="BJ110" s="59">
        <f t="shared" si="92"/>
        <v>306.01967513533549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54.522472346834441</v>
      </c>
      <c r="BQ110" s="21">
        <f>EXP(-LN(2)/25)*BQ109+(1-EXP(-LN(2)/25))/(LN(2)/25)*Calculateur!BL110*Calculateur!BN110*VLOOKUP('Données projet'!$B$11,Paramètres!$A$1:$I$89,3,0)*0.475*44/12</f>
        <v>23.282028813557517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77.804501160391965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9.0474999999999994</v>
      </c>
      <c r="N111" s="13">
        <f>IF('Données projet'!$A$36&gt;35,N110+M111-V110,IF(A111&lt;'Données projet'!$A$36,$K$205^A111,IF(A111='Données projet'!$A$36,'Données projet'!$B$36,N110+M111-V110)))</f>
        <v>456.11250000000086</v>
      </c>
      <c r="O111" s="13">
        <f>N111*VLOOKUP('Données projet'!$B$9,Paramètres!$A$1:$I$89,3,0)*VLOOKUP('Données projet'!$B$9,Paramètres!$A$1:$I$89,5,0)</f>
        <v>213.46065000000041</v>
      </c>
      <c r="P111" s="13">
        <f t="shared" si="87"/>
        <v>52.691103896821531</v>
      </c>
      <c r="Q111" s="20">
        <f t="shared" si="107"/>
        <v>463.54763803696488</v>
      </c>
      <c r="R111" s="59">
        <f t="shared" si="55"/>
        <v>756.8809713702982</v>
      </c>
      <c r="S111" s="59">
        <f ca="1">AVERAGE(OFFSET($R$3,0,0,'Données projet'!$E$9+1,1))-AVERAGE(OFFSET($H$3,0,0,'Données projet'!$E$9+1,1))</f>
        <v>333.20260838961286</v>
      </c>
      <c r="T111" s="59">
        <f t="shared" si="88"/>
        <v>274.05921873522806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66.46185553037138</v>
      </c>
      <c r="AA111" s="21">
        <f>EXP(-LN(2)/25)*AA110+(1-EXP(-LN(2)/25))/(LN(2)/25)*Calculateur!V111*Calculateur!X111*VLOOKUP('Données projet'!$B$9,Paramètres!$A$1:$I$89,3,0)*0.475*44/12</f>
        <v>22.169272113010361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88.631127643381745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581.88778927327667</v>
      </c>
      <c r="AO111" s="59">
        <f t="shared" si="90"/>
        <v>269.67340993773422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-6.7984728957526396E-14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300.80663531652721</v>
      </c>
      <c r="BJ111" s="59">
        <f t="shared" si="92"/>
        <v>306.01967513533549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53.453319919537449</v>
      </c>
      <c r="BQ111" s="21">
        <f>EXP(-LN(2)/25)*BQ110+(1-EXP(-LN(2)/25))/(LN(2)/25)*Calculateur!BL111*Calculateur!BN111*VLOOKUP('Données projet'!$B$11,Paramètres!$A$1:$I$89,3,0)*0.475*44/12</f>
        <v>22.645380511302104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76.098700430839557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465.16</v>
      </c>
      <c r="L112" s="12">
        <f>VLOOKUP(A112,'Données projet'!$A$35:$I$55,9,0)</f>
        <v>9.0474999999999994</v>
      </c>
      <c r="M112" s="12">
        <f t="array" ref="M112">INDEX(L:L,MIN(IF(ISNUMBER(L112:L308),ROW(L112:L308),"")))</f>
        <v>9.0474999999999994</v>
      </c>
      <c r="N112" s="13">
        <f>IF('Données projet'!$A$36&gt;35,N111+M112-V111,IF(A112&lt;'Données projet'!$A$36,$K$205^A112,IF(A112='Données projet'!$A$36,'Données projet'!$B$36,N111+M112-V111)))</f>
        <v>465.16000000000088</v>
      </c>
      <c r="O112" s="13">
        <f>N112*VLOOKUP('Données projet'!$B$9,Paramètres!$A$1:$I$89,3,0)*VLOOKUP('Données projet'!$B$9,Paramètres!$A$1:$I$89,5,0)</f>
        <v>217.69488000000038</v>
      </c>
      <c r="P112" s="13">
        <f t="shared" si="87"/>
        <v>53.613572561591781</v>
      </c>
      <c r="Q112" s="20">
        <f t="shared" si="107"/>
        <v>472.52888821143966</v>
      </c>
      <c r="R112" s="59">
        <f t="shared" si="55"/>
        <v>765.86222154477298</v>
      </c>
      <c r="S112" s="59">
        <f ca="1">AVERAGE(OFFSET($R$3,0,0,'Données projet'!$E$9+1,1))-AVERAGE(OFFSET($H$3,0,0,'Données projet'!$E$9+1,1))</f>
        <v>333.20260838961286</v>
      </c>
      <c r="T112" s="59">
        <f t="shared" si="88"/>
        <v>274.05921873522806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91.09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0.16500000000000001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86.930945821551987</v>
      </c>
      <c r="AA112" s="21">
        <f>EXP(-LN(2)/25)*AA111+(1-EXP(-LN(2)/25))/(LN(2)/25)*Calculateur!V112*Calculateur!X112*VLOOKUP('Données projet'!$B$9,Paramètres!$A$1:$I$89,3,0)*0.475*44/12</f>
        <v>30.857326759801449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117.78827258135344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581.88778927327667</v>
      </c>
      <c r="AO112" s="59">
        <f t="shared" si="90"/>
        <v>269.67340993773422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-6.7984728957526396E-14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300.80663531652721</v>
      </c>
      <c r="BJ112" s="59">
        <f t="shared" si="92"/>
        <v>306.01967513533549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52.40513291922116</v>
      </c>
      <c r="BQ112" s="21">
        <f>EXP(-LN(2)/25)*BQ111+(1-EXP(-LN(2)/25))/(LN(2)/25)*Calculateur!BL112*Calculateur!BN112*VLOOKUP('Données projet'!$B$11,Paramètres!$A$1:$I$89,3,0)*0.475*44/12</f>
        <v>22.026141390351743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74.431274309572899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8.0958333333333314</v>
      </c>
      <c r="N113" s="13">
        <f>IF('Données projet'!$A$36&gt;35,N112+M113-V112,IF(A113&lt;'Données projet'!$A$36,$K$205^A113,IF(A113='Données projet'!$A$36,'Données projet'!$B$36,N112+M113-V112)))</f>
        <v>382.16583333333415</v>
      </c>
      <c r="O113" s="13">
        <f>N113*VLOOKUP('Données projet'!$B$9,Paramètres!$A$1:$I$89,3,0)*VLOOKUP('Données projet'!$B$9,Paramètres!$A$1:$I$89,5,0)</f>
        <v>178.85361000000037</v>
      </c>
      <c r="P113" s="13">
        <f t="shared" si="87"/>
        <v>45.067040749095575</v>
      </c>
      <c r="Q113" s="20">
        <f t="shared" si="107"/>
        <v>389.99513338800875</v>
      </c>
      <c r="R113" s="59">
        <f t="shared" si="55"/>
        <v>683.32846672134201</v>
      </c>
      <c r="S113" s="59">
        <f ca="1">AVERAGE(OFFSET($R$3,0,0,'Données projet'!$E$9+1,1))-AVERAGE(OFFSET($H$3,0,0,'Données projet'!$E$9+1,1))</f>
        <v>333.20260838961286</v>
      </c>
      <c r="T113" s="59">
        <f t="shared" si="88"/>
        <v>274.05921873522806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85.226282996632747</v>
      </c>
      <c r="AA113" s="21">
        <f>EXP(-LN(2)/25)*AA112+(1-EXP(-LN(2)/25))/(LN(2)/25)*Calculateur!V113*Calculateur!X113*VLOOKUP('Données projet'!$B$9,Paramètres!$A$1:$I$89,3,0)*0.475*44/12</f>
        <v>30.013531536838389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115.23981453347113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581.88778927327667</v>
      </c>
      <c r="AO113" s="59">
        <f t="shared" si="90"/>
        <v>269.67340993773422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-6.7984728957526396E-14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300.80663531652721</v>
      </c>
      <c r="BJ113" s="59">
        <f t="shared" si="92"/>
        <v>306.01967513533549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51.377500226650135</v>
      </c>
      <c r="BQ113" s="21">
        <f>EXP(-LN(2)/25)*BQ112+(1-EXP(-LN(2)/25))/(LN(2)/25)*Calculateur!BL113*Calculateur!BN113*VLOOKUP('Données projet'!$B$11,Paramètres!$A$1:$I$89,3,0)*0.475*44/12</f>
        <v>21.42383539572814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72.801335622378275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8.0958333333333314</v>
      </c>
      <c r="N114" s="13">
        <f>IF('Données projet'!$A$36&gt;35,N113+M114-V113,IF(A114&lt;'Données projet'!$A$36,$K$205^A114,IF(A114='Données projet'!$A$36,'Données projet'!$B$36,N113+M114-V113)))</f>
        <v>390.26166666666745</v>
      </c>
      <c r="O114" s="13">
        <f>N114*VLOOKUP('Données projet'!$B$9,Paramètres!$A$1:$I$89,3,0)*VLOOKUP('Données projet'!$B$9,Paramètres!$A$1:$I$89,5,0)</f>
        <v>182.6424600000004</v>
      </c>
      <c r="P114" s="13">
        <f t="shared" si="87"/>
        <v>45.909585257164984</v>
      </c>
      <c r="Q114" s="20">
        <f t="shared" si="107"/>
        <v>398.06147882289639</v>
      </c>
      <c r="R114" s="59">
        <f t="shared" si="55"/>
        <v>691.3948121562297</v>
      </c>
      <c r="S114" s="59">
        <f ca="1">AVERAGE(OFFSET($R$3,0,0,'Données projet'!$E$9+1,1))-AVERAGE(OFFSET($H$3,0,0,'Données projet'!$E$9+1,1))</f>
        <v>333.20260838961286</v>
      </c>
      <c r="T114" s="59">
        <f t="shared" si="88"/>
        <v>274.05921873522806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83.555047569968522</v>
      </c>
      <c r="AA114" s="21">
        <f>EXP(-LN(2)/25)*AA113+(1-EXP(-LN(2)/25))/(LN(2)/25)*Calculateur!V114*Calculateur!X114*VLOOKUP('Données projet'!$B$9,Paramètres!$A$1:$I$89,3,0)*0.475*44/12</f>
        <v>29.192809938620517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112.74785750858904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581.88778927327667</v>
      </c>
      <c r="AO114" s="59">
        <f t="shared" si="90"/>
        <v>269.67340993773422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-6.7984728957526396E-14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300.80663531652721</v>
      </c>
      <c r="BJ114" s="59">
        <f t="shared" si="92"/>
        <v>306.01967513533549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50.370018784386374</v>
      </c>
      <c r="BQ114" s="21">
        <f>EXP(-LN(2)/25)*BQ113+(1-EXP(-LN(2)/25))/(LN(2)/25)*Calculateur!BL114*Calculateur!BN114*VLOOKUP('Données projet'!$B$11,Paramètres!$A$1:$I$89,3,0)*0.475*44/12</f>
        <v>20.837999490201415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71.208018274587786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8.0958333333333314</v>
      </c>
      <c r="N115" s="13">
        <f>IF('Données projet'!$A$36&gt;35,N114+M115-V114,IF(A115&lt;'Données projet'!$A$36,$K$205^A115,IF(A115='Données projet'!$A$36,'Données projet'!$B$36,N114+M115-V114)))</f>
        <v>398.35750000000075</v>
      </c>
      <c r="O115" s="13">
        <f>N115*VLOOKUP('Données projet'!$B$9,Paramètres!$A$1:$I$89,3,0)*VLOOKUP('Données projet'!$B$9,Paramètres!$A$1:$I$89,5,0)</f>
        <v>186.43131000000037</v>
      </c>
      <c r="P115" s="13">
        <f t="shared" si="87"/>
        <v>46.750097594518834</v>
      </c>
      <c r="Q115" s="20">
        <f t="shared" si="107"/>
        <v>406.12428489378766</v>
      </c>
      <c r="R115" s="59">
        <f t="shared" si="55"/>
        <v>699.45761822712097</v>
      </c>
      <c r="S115" s="59">
        <f ca="1">AVERAGE(OFFSET($R$3,0,0,'Données projet'!$E$9+1,1))-AVERAGE(OFFSET($H$3,0,0,'Données projet'!$E$9+1,1))</f>
        <v>333.20260838961286</v>
      </c>
      <c r="T115" s="59">
        <f t="shared" si="88"/>
        <v>274.05921873522806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81.91658405066822</v>
      </c>
      <c r="AA115" s="21">
        <f>EXP(-LN(2)/25)*AA114+(1-EXP(-LN(2)/25))/(LN(2)/25)*Calculateur!V115*Calculateur!X115*VLOOKUP('Données projet'!$B$9,Paramètres!$A$1:$I$89,3,0)*0.475*44/12</f>
        <v>28.394531015665784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110.311115066334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581.88778927327667</v>
      </c>
      <c r="AO115" s="59">
        <f t="shared" si="90"/>
        <v>269.67340993773422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-6.7984728957526396E-14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300.80663531652721</v>
      </c>
      <c r="BJ115" s="59">
        <f t="shared" si="92"/>
        <v>306.01967513533549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49.382293438702405</v>
      </c>
      <c r="BQ115" s="21">
        <f>EXP(-LN(2)/25)*BQ114+(1-EXP(-LN(2)/25))/(LN(2)/25)*Calculateur!BL115*Calculateur!BN115*VLOOKUP('Données projet'!$B$11,Paramètres!$A$1:$I$89,3,0)*0.475*44/12</f>
        <v>20.268183298319091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69.650476737021492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8.0958333333333314</v>
      </c>
      <c r="N116" s="13">
        <f>IF('Données projet'!$A$36&gt;35,N115+M116-V115,IF(A116&lt;'Données projet'!$A$36,$K$205^A116,IF(A116='Données projet'!$A$36,'Données projet'!$B$36,N115+M116-V115)))</f>
        <v>406.45333333333406</v>
      </c>
      <c r="O116" s="13">
        <f>N116*VLOOKUP('Données projet'!$B$9,Paramètres!$A$1:$I$89,3,0)*VLOOKUP('Données projet'!$B$9,Paramètres!$A$1:$I$89,5,0)</f>
        <v>190.22016000000033</v>
      </c>
      <c r="P116" s="13">
        <f t="shared" si="87"/>
        <v>47.58862382024622</v>
      </c>
      <c r="Q116" s="20">
        <f t="shared" si="107"/>
        <v>414.18363182026269</v>
      </c>
      <c r="R116" s="59">
        <f t="shared" si="55"/>
        <v>707.51696515359595</v>
      </c>
      <c r="S116" s="59">
        <f ca="1">AVERAGE(OFFSET($R$3,0,0,'Données projet'!$E$9+1,1))-AVERAGE(OFFSET($H$3,0,0,'Données projet'!$E$9+1,1))</f>
        <v>333.20260838961286</v>
      </c>
      <c r="T116" s="59">
        <f t="shared" si="88"/>
        <v>274.05921873522806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80.310249801617331</v>
      </c>
      <c r="AA116" s="21">
        <f>EXP(-LN(2)/25)*AA115+(1-EXP(-LN(2)/25))/(LN(2)/25)*Calculateur!V116*Calculateur!X116*VLOOKUP('Données projet'!$B$9,Paramètres!$A$1:$I$89,3,0)*0.475*44/12</f>
        <v>27.618081071838912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107.92833087345625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581.88778927327667</v>
      </c>
      <c r="AO116" s="59">
        <f t="shared" si="90"/>
        <v>269.67340993773422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-6.7984728957526396E-14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300.80663531652721</v>
      </c>
      <c r="BJ116" s="59">
        <f t="shared" si="92"/>
        <v>306.01967513533549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48.41393678459432</v>
      </c>
      <c r="BQ116" s="21">
        <f>EXP(-LN(2)/25)*BQ115+(1-EXP(-LN(2)/25))/(LN(2)/25)*Calculateur!BL116*Calculateur!BN116*VLOOKUP('Données projet'!$B$11,Paramètres!$A$1:$I$89,3,0)*0.475*44/12</f>
        <v>19.713948760169121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68.127885544763444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8.0958333333333314</v>
      </c>
      <c r="N117" s="13">
        <f>IF('Données projet'!$A$36&gt;35,N116+M117-V116,IF(A117&lt;'Données projet'!$A$36,$K$205^A117,IF(A117='Données projet'!$A$36,'Données projet'!$B$36,N116+M117-V116)))</f>
        <v>414.54916666666736</v>
      </c>
      <c r="O117" s="13">
        <f>N117*VLOOKUP('Données projet'!$B$9,Paramètres!$A$1:$I$89,3,0)*VLOOKUP('Données projet'!$B$9,Paramètres!$A$1:$I$89,5,0)</f>
        <v>194.00901000000033</v>
      </c>
      <c r="P117" s="13">
        <f t="shared" si="87"/>
        <v>48.425208053681985</v>
      </c>
      <c r="Q117" s="20">
        <f t="shared" si="107"/>
        <v>422.23959644349662</v>
      </c>
      <c r="R117" s="59">
        <f t="shared" si="55"/>
        <v>715.57292977682994</v>
      </c>
      <c r="S117" s="59">
        <f ca="1">AVERAGE(OFFSET($R$3,0,0,'Données projet'!$E$9+1,1))-AVERAGE(OFFSET($H$3,0,0,'Données projet'!$E$9+1,1))</f>
        <v>333.20260838961286</v>
      </c>
      <c r="T117" s="59">
        <f t="shared" si="88"/>
        <v>274.05921873522806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78.735414787423181</v>
      </c>
      <c r="AA117" s="21">
        <f>EXP(-LN(2)/25)*AA116+(1-EXP(-LN(2)/25))/(LN(2)/25)*Calculateur!V117*Calculateur!X117*VLOOKUP('Données projet'!$B$9,Paramètres!$A$1:$I$89,3,0)*0.475*44/12</f>
        <v>26.862863192557715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105.59827797998089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581.88778927327667</v>
      </c>
      <c r="AO117" s="59">
        <f t="shared" si="90"/>
        <v>269.67340993773422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-6.7984728957526396E-14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300.80663531652721</v>
      </c>
      <c r="BJ117" s="59">
        <f t="shared" si="92"/>
        <v>306.01967513533549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47.464569013834058</v>
      </c>
      <c r="BQ117" s="21">
        <f>EXP(-LN(2)/25)*BQ116+(1-EXP(-LN(2)/25))/(LN(2)/25)*Calculateur!BL117*Calculateur!BN117*VLOOKUP('Données projet'!$B$11,Paramètres!$A$1:$I$89,3,0)*0.475*44/12</f>
        <v>19.174869794610789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66.639438808444851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8.0958333333333314</v>
      </c>
      <c r="N118" s="13">
        <f>IF('Données projet'!$A$36&gt;35,N117+M118-V117,IF(A118&lt;'Données projet'!$A$36,$K$205^A118,IF(A118='Données projet'!$A$36,'Données projet'!$B$36,N117+M118-V117)))</f>
        <v>422.64500000000066</v>
      </c>
      <c r="O118" s="13">
        <f>N118*VLOOKUP('Données projet'!$B$9,Paramètres!$A$1:$I$89,3,0)*VLOOKUP('Données projet'!$B$9,Paramètres!$A$1:$I$89,5,0)</f>
        <v>197.7978600000003</v>
      </c>
      <c r="P118" s="13">
        <f t="shared" si="87"/>
        <v>49.259892592357573</v>
      </c>
      <c r="Q118" s="20">
        <f t="shared" si="107"/>
        <v>430.29225243168997</v>
      </c>
      <c r="R118" s="59">
        <f t="shared" si="55"/>
        <v>723.62558576502329</v>
      </c>
      <c r="S118" s="59">
        <f ca="1">AVERAGE(OFFSET($R$3,0,0,'Données projet'!$E$9+1,1))-AVERAGE(OFFSET($H$3,0,0,'Données projet'!$E$9+1,1))</f>
        <v>333.20260838961286</v>
      </c>
      <c r="T118" s="59">
        <f t="shared" si="88"/>
        <v>274.05921873522806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77.191461327302875</v>
      </c>
      <c r="AA118" s="21">
        <f>EXP(-LN(2)/25)*AA117+(1-EXP(-LN(2)/25))/(LN(2)/25)*Calculateur!V118*Calculateur!X118*VLOOKUP('Données projet'!$B$9,Paramètres!$A$1:$I$89,3,0)*0.475*44/12</f>
        <v>26.128296785900645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103.31975811320352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581.88778927327667</v>
      </c>
      <c r="AO118" s="59">
        <f t="shared" si="90"/>
        <v>269.67340993773422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-6.7984728957526396E-14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300.80663531652721</v>
      </c>
      <c r="BJ118" s="59">
        <f t="shared" si="92"/>
        <v>306.01967513533549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46.533817766001242</v>
      </c>
      <c r="BQ118" s="21">
        <f>EXP(-LN(2)/25)*BQ117+(1-EXP(-LN(2)/25))/(LN(2)/25)*Calculateur!BL118*Calculateur!BN118*VLOOKUP('Données projet'!$B$11,Paramètres!$A$1:$I$89,3,0)*0.475*44/12</f>
        <v>18.650531971714578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65.18434973771582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8.0958333333333314</v>
      </c>
      <c r="N119" s="13">
        <f>IF('Données projet'!$A$36&gt;35,N118+M119-V118,IF(A119&lt;'Données projet'!$A$36,$K$205^A119,IF(A119='Données projet'!$A$36,'Données projet'!$B$36,N118+M119-V118)))</f>
        <v>430.74083333333397</v>
      </c>
      <c r="O119" s="13">
        <f>N119*VLOOKUP('Données projet'!$B$9,Paramètres!$A$1:$I$89,3,0)*VLOOKUP('Données projet'!$B$9,Paramètres!$A$1:$I$89,5,0)</f>
        <v>201.58671000000029</v>
      </c>
      <c r="P119" s="13">
        <f t="shared" si="87"/>
        <v>50.092718020659504</v>
      </c>
      <c r="Q119" s="20">
        <f t="shared" si="107"/>
        <v>438.34167046931583</v>
      </c>
      <c r="R119" s="59">
        <f t="shared" si="55"/>
        <v>731.67500380264914</v>
      </c>
      <c r="S119" s="59">
        <f ca="1">AVERAGE(OFFSET($R$3,0,0,'Données projet'!$E$9+1,1))-AVERAGE(OFFSET($H$3,0,0,'Données projet'!$E$9+1,1))</f>
        <v>333.20260838961286</v>
      </c>
      <c r="T119" s="59">
        <f t="shared" si="88"/>
        <v>274.05921873522806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75.677783852816901</v>
      </c>
      <c r="AA119" s="21">
        <f>EXP(-LN(2)/25)*AA118+(1-EXP(-LN(2)/25))/(LN(2)/25)*Calculateur!V119*Calculateur!X119*VLOOKUP('Données projet'!$B$9,Paramètres!$A$1:$I$89,3,0)*0.475*44/12</f>
        <v>25.413817136262782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101.09160098907968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581.88778927327667</v>
      </c>
      <c r="AO119" s="59">
        <f t="shared" si="90"/>
        <v>269.67340993773422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-6.7984728957526396E-14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300.80663531652721</v>
      </c>
      <c r="BJ119" s="59">
        <f t="shared" si="92"/>
        <v>306.01967513533549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45.621317982436224</v>
      </c>
      <c r="BQ119" s="21">
        <f>EXP(-LN(2)/25)*BQ118+(1-EXP(-LN(2)/25))/(LN(2)/25)*Calculateur!BL119*Calculateur!BN119*VLOOKUP('Données projet'!$B$11,Paramètres!$A$1:$I$89,3,0)*0.475*44/12</f>
        <v>18.140532194159192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63.761850176595416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8.0958333333333314</v>
      </c>
      <c r="N120" s="13">
        <f>IF('Données projet'!$A$36&gt;35,N119+M120-V119,IF(A120&lt;'Données projet'!$A$36,$K$205^A120,IF(A120='Données projet'!$A$36,'Données projet'!$B$36,N119+M120-V119)))</f>
        <v>438.83666666666727</v>
      </c>
      <c r="O120" s="13">
        <f>N120*VLOOKUP('Données projet'!$B$9,Paramètres!$A$1:$I$89,3,0)*VLOOKUP('Données projet'!$B$9,Paramètres!$A$1:$I$89,5,0)</f>
        <v>205.37556000000026</v>
      </c>
      <c r="P120" s="13">
        <f t="shared" si="87"/>
        <v>50.923723310087418</v>
      </c>
      <c r="Q120" s="20">
        <f t="shared" si="107"/>
        <v>446.38791843173607</v>
      </c>
      <c r="R120" s="59">
        <f t="shared" si="55"/>
        <v>739.72125176506938</v>
      </c>
      <c r="S120" s="59">
        <f ca="1">AVERAGE(OFFSET($R$3,0,0,'Données projet'!$E$9+1,1))-AVERAGE(OFFSET($H$3,0,0,'Données projet'!$E$9+1,1))</f>
        <v>333.20260838961286</v>
      </c>
      <c r="T120" s="59">
        <f t="shared" si="88"/>
        <v>274.05921873522806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74.193788670353499</v>
      </c>
      <c r="AA120" s="21">
        <f>EXP(-LN(2)/25)*AA119+(1-EXP(-LN(2)/25))/(LN(2)/25)*Calculateur!V120*Calculateur!X120*VLOOKUP('Données projet'!$B$9,Paramètres!$A$1:$I$89,3,0)*0.475*44/12</f>
        <v>24.718874970217119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98.912663640570614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581.88778927327667</v>
      </c>
      <c r="AO120" s="59">
        <f t="shared" si="90"/>
        <v>269.67340993773422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-6.7984728957526396E-14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300.80663531652721</v>
      </c>
      <c r="BJ120" s="59">
        <f t="shared" si="92"/>
        <v>306.01967513533549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44.726711763057004</v>
      </c>
      <c r="BQ120" s="21">
        <f>EXP(-LN(2)/25)*BQ119+(1-EXP(-LN(2)/25))/(LN(2)/25)*Calculateur!BL120*Calculateur!BN120*VLOOKUP('Données projet'!$B$11,Paramètres!$A$1:$I$89,3,0)*0.475*44/12</f>
        <v>17.644478387340783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62.371190150397787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8.0958333333333314</v>
      </c>
      <c r="N121" s="13">
        <f>IF('Données projet'!$A$36&gt;35,N120+M121-V120,IF(A121&lt;'Données projet'!$A$36,$K$205^A121,IF(A121='Données projet'!$A$36,'Données projet'!$B$36,N120+M121-V120)))</f>
        <v>446.93250000000057</v>
      </c>
      <c r="O121" s="13">
        <f>N121*VLOOKUP('Données projet'!$B$9,Paramètres!$A$1:$I$89,3,0)*VLOOKUP('Données projet'!$B$9,Paramètres!$A$1:$I$89,5,0)</f>
        <v>209.16441000000026</v>
      </c>
      <c r="P121" s="13">
        <f t="shared" si="87"/>
        <v>51.752945911904789</v>
      </c>
      <c r="Q121" s="20">
        <f t="shared" si="107"/>
        <v>454.43106154656789</v>
      </c>
      <c r="R121" s="59">
        <f t="shared" si="55"/>
        <v>747.76439487990115</v>
      </c>
      <c r="S121" s="59">
        <f ca="1">AVERAGE(OFFSET($R$3,0,0,'Données projet'!$E$9+1,1))-AVERAGE(OFFSET($H$3,0,0,'Données projet'!$E$9+1,1))</f>
        <v>333.20260838961286</v>
      </c>
      <c r="T121" s="59">
        <f t="shared" si="88"/>
        <v>274.05921873522806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72.738893728270526</v>
      </c>
      <c r="AA121" s="21">
        <f>EXP(-LN(2)/25)*AA120+(1-EXP(-LN(2)/25))/(LN(2)/25)*Calculateur!V121*Calculateur!X121*VLOOKUP('Données projet'!$B$9,Paramètres!$A$1:$I$89,3,0)*0.475*44/12</f>
        <v>24.042936034247393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96.781829762517916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581.88778927327667</v>
      </c>
      <c r="AO121" s="59">
        <f t="shared" si="90"/>
        <v>269.67340993773422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-6.7984728957526396E-14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300.80663531652721</v>
      </c>
      <c r="BJ121" s="59">
        <f t="shared" si="92"/>
        <v>306.01967513533549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43.849648225983898</v>
      </c>
      <c r="BQ121" s="21">
        <f>EXP(-LN(2)/25)*BQ120+(1-EXP(-LN(2)/25))/(LN(2)/25)*Calculateur!BL121*Calculateur!BN121*VLOOKUP('Données projet'!$B$11,Paramètres!$A$1:$I$89,3,0)*0.475*44/12</f>
        <v>17.161989197956157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61.011637423940059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8.0958333333333314</v>
      </c>
      <c r="N122" s="13">
        <f>IF('Données projet'!$A$36&gt;35,N121+M122-V121,IF(A122&lt;'Données projet'!$A$36,$K$205^A122,IF(A122='Données projet'!$A$36,'Données projet'!$B$36,N121+M122-V121)))</f>
        <v>455.02833333333388</v>
      </c>
      <c r="O122" s="13">
        <f>N122*VLOOKUP('Données projet'!$B$9,Paramètres!$A$1:$I$89,3,0)*VLOOKUP('Données projet'!$B$9,Paramètres!$A$1:$I$89,5,0)</f>
        <v>212.95326000000023</v>
      </c>
      <c r="P122" s="13">
        <f t="shared" si="87"/>
        <v>52.58042184288621</v>
      </c>
      <c r="Q122" s="20">
        <f t="shared" si="107"/>
        <v>462.47116254302722</v>
      </c>
      <c r="R122" s="59">
        <f t="shared" si="55"/>
        <v>755.80449587636053</v>
      </c>
      <c r="S122" s="59">
        <f ca="1">AVERAGE(OFFSET($R$3,0,0,'Données projet'!$E$9+1,1))-AVERAGE(OFFSET($H$3,0,0,'Données projet'!$E$9+1,1))</f>
        <v>333.20260838961286</v>
      </c>
      <c r="T122" s="59">
        <f t="shared" si="88"/>
        <v>274.05921873522806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71.312528388603496</v>
      </c>
      <c r="AA122" s="21">
        <f>EXP(-LN(2)/25)*AA121+(1-EXP(-LN(2)/25))/(LN(2)/25)*Calculateur!V122*Calculateur!X122*VLOOKUP('Données projet'!$B$9,Paramètres!$A$1:$I$89,3,0)*0.475*44/12</f>
        <v>23.385480684027844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94.698009072631336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581.88778927327667</v>
      </c>
      <c r="AO122" s="59">
        <f t="shared" si="90"/>
        <v>269.67340993773422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-6.7984728957526396E-14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300.80663531652721</v>
      </c>
      <c r="BJ122" s="59">
        <f t="shared" si="92"/>
        <v>306.01967513533549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42.989783369916857</v>
      </c>
      <c r="BQ122" s="21">
        <f>EXP(-LN(2)/25)*BQ121+(1-EXP(-LN(2)/25))/(LN(2)/25)*Calculateur!BL122*Calculateur!BN122*VLOOKUP('Données projet'!$B$11,Paramètres!$A$1:$I$89,3,0)*0.475*44/12</f>
        <v>16.692693700828258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59.682477070745115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8.0958333333333314</v>
      </c>
      <c r="N123" s="13">
        <f>IF('Données projet'!$A$36&gt;35,N122+M123-V122,IF(A123&lt;'Données projet'!$A$36,$K$205^A123,IF(A123='Données projet'!$A$36,'Données projet'!$B$36,N122+M123-V122)))</f>
        <v>463.12416666666718</v>
      </c>
      <c r="O123" s="13">
        <f>N123*VLOOKUP('Données projet'!$B$9,Paramètres!$A$1:$I$89,3,0)*VLOOKUP('Données projet'!$B$9,Paramètres!$A$1:$I$89,5,0)</f>
        <v>216.74211000000025</v>
      </c>
      <c r="P123" s="13">
        <f t="shared" si="87"/>
        <v>53.406185764789505</v>
      </c>
      <c r="Q123" s="20">
        <f t="shared" si="107"/>
        <v>470.50828179034215</v>
      </c>
      <c r="R123" s="59">
        <f t="shared" si="55"/>
        <v>763.84161512367541</v>
      </c>
      <c r="S123" s="59">
        <f ca="1">AVERAGE(OFFSET($R$3,0,0,'Données projet'!$E$9+1,1))-AVERAGE(OFFSET($H$3,0,0,'Données projet'!$E$9+1,1))</f>
        <v>333.20260838961286</v>
      </c>
      <c r="T123" s="59">
        <f t="shared" si="88"/>
        <v>274.05921873522806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69.914133203250387</v>
      </c>
      <c r="AA123" s="21">
        <f>EXP(-LN(2)/25)*AA122+(1-EXP(-LN(2)/25))/(LN(2)/25)*Calculateur!V123*Calculateur!X123*VLOOKUP('Données projet'!$B$9,Paramètres!$A$1:$I$89,3,0)*0.475*44/12</f>
        <v>22.746003484934121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92.660136688184508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581.88778927327667</v>
      </c>
      <c r="AO123" s="59">
        <f t="shared" si="90"/>
        <v>269.67340993773422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-6.7984728957526396E-14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300.80663531652721</v>
      </c>
      <c r="BJ123" s="59">
        <f t="shared" si="92"/>
        <v>306.01967513533549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42.14677993921152</v>
      </c>
      <c r="BQ123" s="21">
        <f>EXP(-LN(2)/25)*BQ122+(1-EXP(-LN(2)/25))/(LN(2)/25)*Calculateur!BL123*Calculateur!BN123*VLOOKUP('Données projet'!$B$11,Paramètres!$A$1:$I$89,3,0)*0.475*44/12</f>
        <v>16.236231113748499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58.383011052960015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>
        <f>VLOOKUP(A124,'Données projet'!$A$35:$I$55,2,0)</f>
        <v>471.22</v>
      </c>
      <c r="L124" s="12">
        <f>VLOOKUP(A124,'Données projet'!$A$35:$I$55,9,0)</f>
        <v>8.0958333333333314</v>
      </c>
      <c r="M124" s="12">
        <f t="array" ref="M124">INDEX(L:L,MIN(IF(ISNUMBER(L124:L320),ROW(L124:L320),"")))</f>
        <v>8.0958333333333314</v>
      </c>
      <c r="N124" s="13">
        <f>IF('Données projet'!$A$36&gt;35,N123+M124-V123,IF(A124&lt;'Données projet'!$A$36,$K$205^A124,IF(A124='Données projet'!$A$36,'Données projet'!$B$36,N123+M124-V123)))</f>
        <v>471.22000000000048</v>
      </c>
      <c r="O124" s="13">
        <f>N124*VLOOKUP('Données projet'!$B$9,Paramètres!$A$1:$I$89,3,0)*VLOOKUP('Données projet'!$B$9,Paramètres!$A$1:$I$89,5,0)</f>
        <v>220.53096000000022</v>
      </c>
      <c r="P124" s="13">
        <f t="shared" si="87"/>
        <v>54.230271058113757</v>
      </c>
      <c r="Q124" s="20">
        <f t="shared" si="107"/>
        <v>478.54247742621516</v>
      </c>
      <c r="R124" s="59">
        <f t="shared" si="55"/>
        <v>771.87581075954847</v>
      </c>
      <c r="S124" s="59">
        <f ca="1">AVERAGE(OFFSET($R$3,0,0,'Données projet'!$E$9+1,1))-AVERAGE(OFFSET($H$3,0,0,'Données projet'!$E$9+1,1))</f>
        <v>333.20260838961286</v>
      </c>
      <c r="T124" s="59">
        <f t="shared" si="88"/>
        <v>274.05921873522806</v>
      </c>
      <c r="U124" s="15">
        <f>IF(ISNA(VLOOKUP(A124,'Données projet'!$A$35:$I$55,3,0)),0,VLOOKUP(A124,'Données projet'!$A$35:$I$55,3,0))</f>
        <v>7</v>
      </c>
      <c r="V124" s="15">
        <f>IF(ISNA(VLOOKUP(A124,'Données projet'!$A$35:$I$55,4,0)),0,VLOOKUP(A124,'Données projet'!$A$35:$I$55,4,0))</f>
        <v>233.54</v>
      </c>
      <c r="W124" s="16">
        <f>IF(ISNA(VLOOKUP(A124,'Données projet'!$A$35:$I$55,5,0)),0%,VLOOKUP(A124,'Données projet'!$A$35:$I$55,5,0)*VLOOKUP('Données projet'!$B$9,Paramètres!$A$1:$I$89,7,0))</f>
        <v>0.38500000000000001</v>
      </c>
      <c r="X124" s="16">
        <f>IF(ISNA(VLOOKUP(A124,'Données projet'!$A$35:$I$55,6,0)),0%,VLOOKUP(A124,'Données projet'!$A$35:$I$55,6,0)*VLOOKUP('Données projet'!$B$9,Paramètres!$A$1:$I$89,7,0))</f>
        <v>0.16500000000000001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124.36398007607445</v>
      </c>
      <c r="AA124" s="21">
        <f>EXP(-LN(2)/25)*AA123+(1-EXP(-LN(2)/25))/(LN(2)/25)*Calculateur!V124*Calculateur!X124*VLOOKUP('Données projet'!$B$9,Paramètres!$A$1:$I$89,3,0)*0.475*44/12</f>
        <v>45.953026770172727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170.31700684624718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581.88778927327667</v>
      </c>
      <c r="AO124" s="59">
        <f t="shared" si="90"/>
        <v>269.67340993773422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-6.7984728957526396E-14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300.80663531652721</v>
      </c>
      <c r="BJ124" s="59">
        <f t="shared" si="92"/>
        <v>306.01967513533549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41.32030729160099</v>
      </c>
      <c r="BQ124" s="21">
        <f>EXP(-LN(2)/25)*BQ123+(1-EXP(-LN(2)/25))/(LN(2)/25)*Calculateur!BL124*Calculateur!BN124*VLOOKUP('Données projet'!$B$11,Paramètres!$A$1:$I$89,3,0)*0.475*44/12</f>
        <v>15.79225052011676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57.11255781171775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5.6409999999999938</v>
      </c>
      <c r="N125" s="13">
        <f>IF('Données projet'!$A$36&gt;35,N124+M125-V124,IF(A125&lt;'Données projet'!$A$36,$K$205^A125,IF(A125='Données projet'!$A$36,'Données projet'!$B$36,N124+M125-V124)))</f>
        <v>243.32100000000051</v>
      </c>
      <c r="O125" s="13">
        <f>N125*VLOOKUP('Données projet'!$B$9,Paramètres!$A$1:$I$89,3,0)*VLOOKUP('Données projet'!$B$9,Paramètres!$A$1:$I$89,5,0)</f>
        <v>113.87422800000023</v>
      </c>
      <c r="P125" s="13">
        <f t="shared" si="87"/>
        <v>30.241935912260949</v>
      </c>
      <c r="Q125" s="20">
        <f t="shared" si="107"/>
        <v>251.00231881385491</v>
      </c>
      <c r="R125" s="59">
        <f t="shared" si="55"/>
        <v>544.33565214718828</v>
      </c>
      <c r="S125" s="59">
        <f ca="1">AVERAGE(OFFSET($R$3,0,0,'Données projet'!$E$9+1,1))-AVERAGE(OFFSET($H$3,0,0,'Données projet'!$E$9+1,1))</f>
        <v>333.20260838961286</v>
      </c>
      <c r="T125" s="59">
        <f t="shared" si="88"/>
        <v>274.05921873522806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121.92527828132047</v>
      </c>
      <c r="AA125" s="21">
        <f>EXP(-LN(2)/25)*AA124+(1-EXP(-LN(2)/25))/(LN(2)/25)*Calculateur!V125*Calculateur!X125*VLOOKUP('Données projet'!$B$9,Paramètres!$A$1:$I$89,3,0)*0.475*44/12</f>
        <v>44.696438836577705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166.62171711789819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581.88778927327667</v>
      </c>
      <c r="AO125" s="59">
        <f t="shared" si="90"/>
        <v>269.67340993773422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-6.7984728957526396E-14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300.80663531652721</v>
      </c>
      <c r="BJ125" s="59">
        <f t="shared" si="92"/>
        <v>306.01967513533549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40.510041268511564</v>
      </c>
      <c r="BQ125" s="21">
        <f>EXP(-LN(2)/25)*BQ124+(1-EXP(-LN(2)/25))/(LN(2)/25)*Calculateur!BL125*Calculateur!BN125*VLOOKUP('Données projet'!$B$11,Paramètres!$A$1:$I$89,3,0)*0.475*44/12</f>
        <v>15.360410599165805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55.870451867677367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5.6409999999999938</v>
      </c>
      <c r="N126" s="13">
        <f>IF('Données projet'!$A$36&gt;35,N125+M126-V125,IF(A126&lt;'Données projet'!$A$36,$K$205^A126,IF(A126='Données projet'!$A$36,'Données projet'!$B$36,N125+M126-V125)))</f>
        <v>248.9620000000005</v>
      </c>
      <c r="O126" s="13">
        <f>N126*VLOOKUP('Données projet'!$B$9,Paramètres!$A$1:$I$89,3,0)*VLOOKUP('Données projet'!$B$9,Paramètres!$A$1:$I$89,5,0)</f>
        <v>116.51421600000023</v>
      </c>
      <c r="P126" s="13">
        <f t="shared" si="87"/>
        <v>30.860607863693374</v>
      </c>
      <c r="Q126" s="20">
        <f t="shared" si="107"/>
        <v>256.67781822926639</v>
      </c>
      <c r="R126" s="59">
        <f t="shared" si="55"/>
        <v>550.01115156259971</v>
      </c>
      <c r="S126" s="59">
        <f ca="1">AVERAGE(OFFSET($R$3,0,0,'Données projet'!$E$9+1,1))-AVERAGE(OFFSET($H$3,0,0,'Données projet'!$E$9+1,1))</f>
        <v>333.20260838961286</v>
      </c>
      <c r="T126" s="59">
        <f t="shared" si="88"/>
        <v>274.05921873522806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119.5343979413004</v>
      </c>
      <c r="AA126" s="21">
        <f>EXP(-LN(2)/25)*AA125+(1-EXP(-LN(2)/25))/(LN(2)/25)*Calculateur!V126*Calculateur!X126*VLOOKUP('Données projet'!$B$9,Paramètres!$A$1:$I$89,3,0)*0.475*44/12</f>
        <v>43.474212366107928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163.00861030740833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581.88778927327667</v>
      </c>
      <c r="AO126" s="59">
        <f t="shared" si="90"/>
        <v>269.67340993773422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-6.7984728957526396E-14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300.80663531652721</v>
      </c>
      <c r="BJ126" s="59">
        <f t="shared" si="92"/>
        <v>306.01967513533549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39.715664067921445</v>
      </c>
      <c r="BQ126" s="21">
        <f>EXP(-LN(2)/25)*BQ125+(1-EXP(-LN(2)/25))/(LN(2)/25)*Calculateur!BL126*Calculateur!BN126*VLOOKUP('Données projet'!$B$11,Paramètres!$A$1:$I$89,3,0)*0.475*44/12</f>
        <v>14.940379363562728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54.656043431484171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5.6409999999999938</v>
      </c>
      <c r="N127" s="13">
        <f>IF('Données projet'!$A$36&gt;35,N126+M127-V126,IF(A127&lt;'Données projet'!$A$36,$K$205^A127,IF(A127='Données projet'!$A$36,'Données projet'!$B$36,N126+M127-V126)))</f>
        <v>254.60300000000049</v>
      </c>
      <c r="O127" s="13">
        <f>N127*VLOOKUP('Données projet'!$B$9,Paramètres!$A$1:$I$89,3,0)*VLOOKUP('Données projet'!$B$9,Paramètres!$A$1:$I$89,5,0)</f>
        <v>119.15420400000023</v>
      </c>
      <c r="P127" s="13">
        <f t="shared" si="87"/>
        <v>31.477650132098876</v>
      </c>
      <c r="Q127" s="20">
        <f t="shared" si="107"/>
        <v>262.35047928007265</v>
      </c>
      <c r="R127" s="59">
        <f t="shared" si="55"/>
        <v>555.68381261340596</v>
      </c>
      <c r="S127" s="59">
        <f ca="1">AVERAGE(OFFSET($R$3,0,0,'Données projet'!$E$9+1,1))-AVERAGE(OFFSET($H$3,0,0,'Données projet'!$E$9+1,1))</f>
        <v>333.20260838961286</v>
      </c>
      <c r="T127" s="59">
        <f t="shared" si="88"/>
        <v>274.05921873522806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117.1904013064551</v>
      </c>
      <c r="AA127" s="21">
        <f>EXP(-LN(2)/25)*AA126+(1-EXP(-LN(2)/25))/(LN(2)/25)*Calculateur!V127*Calculateur!X127*VLOOKUP('Données projet'!$B$9,Paramètres!$A$1:$I$89,3,0)*0.475*44/12</f>
        <v>42.285407742747239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159.47580904920233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581.88778927327667</v>
      </c>
      <c r="AO127" s="59">
        <f t="shared" si="90"/>
        <v>269.67340993773422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-6.7984728957526396E-14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300.80663531652721</v>
      </c>
      <c r="BJ127" s="59">
        <f t="shared" si="92"/>
        <v>306.01967513533549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38.936864119712652</v>
      </c>
      <c r="BQ127" s="21">
        <f>EXP(-LN(2)/25)*BQ126+(1-EXP(-LN(2)/25))/(LN(2)/25)*Calculateur!BL127*Calculateur!BN127*VLOOKUP('Données projet'!$B$11,Paramètres!$A$1:$I$89,3,0)*0.475*44/12</f>
        <v>14.531833904185701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53.468698023898355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5.6409999999999938</v>
      </c>
      <c r="N128" s="13">
        <f>IF('Données projet'!$A$36&gt;35,N127+M128-V127,IF(A128&lt;'Données projet'!$A$36,$K$205^A128,IF(A128='Données projet'!$A$36,'Données projet'!$B$36,N127+M128-V127)))</f>
        <v>260.24400000000048</v>
      </c>
      <c r="O128" s="13">
        <f>N128*VLOOKUP('Données projet'!$B$9,Paramètres!$A$1:$I$89,3,0)*VLOOKUP('Données projet'!$B$9,Paramètres!$A$1:$I$89,5,0)</f>
        <v>121.79419200000022</v>
      </c>
      <c r="P128" s="13">
        <f t="shared" si="87"/>
        <v>32.093102982453836</v>
      </c>
      <c r="Q128" s="20">
        <f t="shared" si="107"/>
        <v>268.0203720944408</v>
      </c>
      <c r="R128" s="59">
        <f t="shared" si="55"/>
        <v>561.35370542777412</v>
      </c>
      <c r="S128" s="59">
        <f ca="1">AVERAGE(OFFSET($R$3,0,0,'Données projet'!$E$9+1,1))-AVERAGE(OFFSET($H$3,0,0,'Données projet'!$E$9+1,1))</f>
        <v>333.20260838961286</v>
      </c>
      <c r="T128" s="59">
        <f t="shared" si="88"/>
        <v>274.05921873522806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114.89236901592234</v>
      </c>
      <c r="AA128" s="21">
        <f>EXP(-LN(2)/25)*AA127+(1-EXP(-LN(2)/25))/(LN(2)/25)*Calculateur!V128*Calculateur!X128*VLOOKUP('Données projet'!$B$9,Paramètres!$A$1:$I$89,3,0)*0.475*44/12</f>
        <v>41.129111044328866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156.02148006025121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581.88778927327667</v>
      </c>
      <c r="AO128" s="59">
        <f t="shared" si="90"/>
        <v>269.67340993773422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-6.7984728957526396E-14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300.80663531652721</v>
      </c>
      <c r="BJ128" s="59">
        <f t="shared" si="92"/>
        <v>306.01967513533549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38.173335963467167</v>
      </c>
      <c r="BQ128" s="21">
        <f>EXP(-LN(2)/25)*BQ127+(1-EXP(-LN(2)/25))/(LN(2)/25)*Calculateur!BL128*Calculateur!BN128*VLOOKUP('Données projet'!$B$11,Paramètres!$A$1:$I$89,3,0)*0.475*44/12</f>
        <v>14.134460141879812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52.307796105346981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5.6409999999999938</v>
      </c>
      <c r="N129" s="13">
        <f>IF('Données projet'!$A$36&gt;35,N128+M129-V128,IF(A129&lt;'Données projet'!$A$36,$K$205^A129,IF(A129='Données projet'!$A$36,'Données projet'!$B$36,N128+M129-V128)))</f>
        <v>265.8850000000005</v>
      </c>
      <c r="O129" s="13">
        <f>N129*VLOOKUP('Données projet'!$B$9,Paramètres!$A$1:$I$89,3,0)*VLOOKUP('Données projet'!$B$9,Paramètres!$A$1:$I$89,5,0)</f>
        <v>124.43418000000024</v>
      </c>
      <c r="P129" s="13">
        <f t="shared" si="87"/>
        <v>32.70700483448563</v>
      </c>
      <c r="Q129" s="20">
        <f t="shared" si="107"/>
        <v>273.68756358672954</v>
      </c>
      <c r="R129" s="59">
        <f t="shared" si="55"/>
        <v>567.0208969200628</v>
      </c>
      <c r="S129" s="59">
        <f ca="1">AVERAGE(OFFSET($R$3,0,0,'Données projet'!$E$9+1,1))-AVERAGE(OFFSET($H$3,0,0,'Données projet'!$E$9+1,1))</f>
        <v>333.20260838961286</v>
      </c>
      <c r="T129" s="59">
        <f t="shared" si="88"/>
        <v>274.05921873522806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112.63939973694563</v>
      </c>
      <c r="AA129" s="21">
        <f>EXP(-LN(2)/25)*AA128+(1-EXP(-LN(2)/25))/(LN(2)/25)*Calculateur!V129*Calculateur!X129*VLOOKUP('Données projet'!$B$9,Paramètres!$A$1:$I$89,3,0)*0.475*44/12</f>
        <v>40.004433339935744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152.64383307688138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581.88778927327667</v>
      </c>
      <c r="AO129" s="59">
        <f t="shared" si="90"/>
        <v>269.67340993773422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-6.7984728957526396E-14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300.80663531652721</v>
      </c>
      <c r="BJ129" s="59">
        <f t="shared" si="92"/>
        <v>306.01967513533549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37.424780128659464</v>
      </c>
      <c r="BQ129" s="21">
        <f>EXP(-LN(2)/25)*BQ128+(1-EXP(-LN(2)/25))/(LN(2)/25)*Calculateur!BL129*Calculateur!BN129*VLOOKUP('Données projet'!$B$11,Paramètres!$A$1:$I$89,3,0)*0.475*44/12</f>
        <v>13.747952586001155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51.172732714660619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5.6409999999999938</v>
      </c>
      <c r="N130" s="13">
        <f>IF('Données projet'!$A$36&gt;35,N129+M130-V129,IF(A130&lt;'Données projet'!$A$36,$K$205^A130,IF(A130='Données projet'!$A$36,'Données projet'!$B$36,N129+M130-V129)))</f>
        <v>271.52600000000052</v>
      </c>
      <c r="O130" s="13">
        <f>N130*VLOOKUP('Données projet'!$B$9,Paramètres!$A$1:$I$89,3,0)*VLOOKUP('Données projet'!$B$9,Paramètres!$A$1:$I$89,5,0)</f>
        <v>127.07416800000024</v>
      </c>
      <c r="P130" s="13">
        <f t="shared" si="87"/>
        <v>33.319392384561489</v>
      </c>
      <c r="Q130" s="20">
        <f t="shared" si="107"/>
        <v>279.35211766977835</v>
      </c>
      <c r="R130" s="59">
        <f t="shared" si="55"/>
        <v>572.68545100311167</v>
      </c>
      <c r="S130" s="59">
        <f ca="1">AVERAGE(OFFSET($R$3,0,0,'Données projet'!$E$9+1,1))-AVERAGE(OFFSET($H$3,0,0,'Données projet'!$E$9+1,1))</f>
        <v>333.20260838961286</v>
      </c>
      <c r="T130" s="59">
        <f t="shared" si="88"/>
        <v>274.05921873522806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110.43060981135409</v>
      </c>
      <c r="AA130" s="21">
        <f>EXP(-LN(2)/25)*AA129+(1-EXP(-LN(2)/25))/(LN(2)/25)*Calculateur!V130*Calculateur!X130*VLOOKUP('Données projet'!$B$9,Paramètres!$A$1:$I$89,3,0)*0.475*44/12</f>
        <v>38.910510006513483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149.34111981786756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581.88778927327667</v>
      </c>
      <c r="AO130" s="59">
        <f t="shared" si="90"/>
        <v>269.67340993773422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-6.7984728957526396E-14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300.80663531652721</v>
      </c>
      <c r="BJ130" s="59">
        <f t="shared" si="92"/>
        <v>306.01967513533549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36.690903017198366</v>
      </c>
      <c r="BQ130" s="21">
        <f>EXP(-LN(2)/25)*BQ129+(1-EXP(-LN(2)/25))/(LN(2)/25)*Calculateur!BL130*Calculateur!BN130*VLOOKUP('Données projet'!$B$11,Paramètres!$A$1:$I$89,3,0)*0.475*44/12</f>
        <v>13.372014099563549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50.062917116761916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5.6409999999999938</v>
      </c>
      <c r="N131" s="13">
        <f>IF('Données projet'!$A$36&gt;35,N130+M131-V130,IF(A131&lt;'Données projet'!$A$36,$K$205^A131,IF(A131='Données projet'!$A$36,'Données projet'!$B$36,N130+M131-V130)))</f>
        <v>277.16700000000054</v>
      </c>
      <c r="O131" s="13">
        <f>N131*VLOOKUP('Données projet'!$B$9,Paramètres!$A$1:$I$89,3,0)*VLOOKUP('Données projet'!$B$9,Paramètres!$A$1:$I$89,5,0)</f>
        <v>129.71415600000026</v>
      </c>
      <c r="P131" s="13">
        <f t="shared" si="87"/>
        <v>33.930300717162936</v>
      </c>
      <c r="Q131" s="20">
        <f t="shared" ref="Q131:Q153" si="108">(O131+P131)*0.475*44/12</f>
        <v>285.0140954490592</v>
      </c>
      <c r="R131" s="59">
        <f t="shared" ref="R131:R194" si="109">Q131+(I131+J131)*44/12</f>
        <v>578.34742878239251</v>
      </c>
      <c r="S131" s="59">
        <f ca="1">AVERAGE(OFFSET($R$3,0,0,'Données projet'!$E$9+1,1))-AVERAGE(OFFSET($H$3,0,0,'Données projet'!$E$9+1,1))</f>
        <v>333.20260838961286</v>
      </c>
      <c r="T131" s="59">
        <f t="shared" si="88"/>
        <v>274.05921873522806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108.26513290897456</v>
      </c>
      <c r="AA131" s="21">
        <f>EXP(-LN(2)/25)*AA130+(1-EXP(-LN(2)/25))/(LN(2)/25)*Calculateur!V131*Calculateur!X131*VLOOKUP('Données projet'!$B$9,Paramètres!$A$1:$I$89,3,0)*0.475*44/12</f>
        <v>37.846500064170584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146.11163297314516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581.88778927327667</v>
      </c>
      <c r="AO131" s="59">
        <f t="shared" si="90"/>
        <v>269.67340993773422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-6.7984728957526396E-14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300.80663531652721</v>
      </c>
      <c r="BJ131" s="59">
        <f t="shared" si="92"/>
        <v>306.01967513533549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35.97141678827218</v>
      </c>
      <c r="BQ131" s="21">
        <f>EXP(-LN(2)/25)*BQ130+(1-EXP(-LN(2)/25))/(LN(2)/25)*Calculateur!BL131*Calculateur!BN131*VLOOKUP('Données projet'!$B$11,Paramètres!$A$1:$I$89,3,0)*0.475*44/12</f>
        <v>13.006355670807324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48.977772459079503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5.6409999999999938</v>
      </c>
      <c r="N132" s="13">
        <f>IF('Données projet'!$A$36&gt;35,N131+M132-V131,IF(A132&lt;'Données projet'!$A$36,$K$205^A132,IF(A132='Données projet'!$A$36,'Données projet'!$B$36,N131+M132-V131)))</f>
        <v>282.80800000000056</v>
      </c>
      <c r="O132" s="13">
        <f>N132*VLOOKUP('Données projet'!$B$9,Paramètres!$A$1:$I$89,3,0)*VLOOKUP('Données projet'!$B$9,Paramètres!$A$1:$I$89,5,0)</f>
        <v>132.35414400000025</v>
      </c>
      <c r="P132" s="13">
        <f t="shared" si="87"/>
        <v>34.539763407028346</v>
      </c>
      <c r="Q132" s="20">
        <f t="shared" si="108"/>
        <v>290.6735554005748</v>
      </c>
      <c r="R132" s="59">
        <f t="shared" si="109"/>
        <v>584.00688873390811</v>
      </c>
      <c r="S132" s="59">
        <f ca="1">AVERAGE(OFFSET($R$3,0,0,'Données projet'!$E$9+1,1))-AVERAGE(OFFSET($H$3,0,0,'Données projet'!$E$9+1,1))</f>
        <v>333.20260838961286</v>
      </c>
      <c r="T132" s="59">
        <f t="shared" si="88"/>
        <v>274.05921873522806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106.14211968784021</v>
      </c>
      <c r="AA132" s="21">
        <f>EXP(-LN(2)/25)*AA131+(1-EXP(-LN(2)/25))/(LN(2)/25)*Calculateur!V132*Calculateur!X132*VLOOKUP('Données projet'!$B$9,Paramètres!$A$1:$I$89,3,0)*0.475*44/12</f>
        <v>36.811585529654899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142.9537052174951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581.88778927327667</v>
      </c>
      <c r="AO132" s="59">
        <f t="shared" si="90"/>
        <v>269.67340993773422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-6.7984728957526396E-14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300.80663531652721</v>
      </c>
      <c r="BJ132" s="59">
        <f t="shared" si="92"/>
        <v>306.01967513533549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35.266039245451971</v>
      </c>
      <c r="BQ132" s="21">
        <f>EXP(-LN(2)/25)*BQ131+(1-EXP(-LN(2)/25))/(LN(2)/25)*Calculateur!BL132*Calculateur!BN132*VLOOKUP('Données projet'!$B$11,Paramètres!$A$1:$I$89,3,0)*0.475*44/12</f>
        <v>12.650696191014578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47.916735436466553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5.6409999999999938</v>
      </c>
      <c r="N133" s="13">
        <f>IF('Données projet'!$A$36&gt;35,N132+M133-V132,IF(A133&lt;'Données projet'!$A$36,$K$205^A133,IF(A133='Données projet'!$A$36,'Données projet'!$B$36,N132+M133-V132)))</f>
        <v>288.44900000000058</v>
      </c>
      <c r="O133" s="13">
        <f>N133*VLOOKUP('Données projet'!$B$9,Paramètres!$A$1:$I$89,3,0)*VLOOKUP('Données projet'!$B$9,Paramètres!$A$1:$I$89,5,0)</f>
        <v>134.99413200000029</v>
      </c>
      <c r="P133" s="13">
        <f t="shared" ref="P133:P196" si="141">EXP(-1.0587+0.8836*LN(O133)+0.284)</f>
        <v>35.14781261291612</v>
      </c>
      <c r="Q133" s="20">
        <f t="shared" si="108"/>
        <v>296.33055353416273</v>
      </c>
      <c r="R133" s="59">
        <f t="shared" si="109"/>
        <v>589.6638868674961</v>
      </c>
      <c r="S133" s="59">
        <f ca="1">AVERAGE(OFFSET($R$3,0,0,'Données projet'!$E$9+1,1))-AVERAGE(OFFSET($H$3,0,0,'Données projet'!$E$9+1,1))</f>
        <v>333.20260838961286</v>
      </c>
      <c r="T133" s="59">
        <f t="shared" ref="T133:T196" si="142">$T$3</f>
        <v>274.05921873522806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104.06073746106209</v>
      </c>
      <c r="AA133" s="21">
        <f>EXP(-LN(2)/25)*AA132+(1-EXP(-LN(2)/25))/(LN(2)/25)*Calculateur!V133*Calculateur!X133*VLOOKUP('Données projet'!$B$9,Paramètres!$A$1:$I$89,3,0)*0.475*44/12</f>
        <v>35.804970787509333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139.86570824857142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581.88778927327667</v>
      </c>
      <c r="AO133" s="59">
        <f t="shared" ref="AO133:AO196" si="144">$AO$3</f>
        <v>269.67340993773422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-6.7984728957526396E-14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300.80663531652721</v>
      </c>
      <c r="BJ133" s="59">
        <f t="shared" ref="BJ133:BJ196" si="146">$BJ$3</f>
        <v>306.01967513533549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34.574493726008647</v>
      </c>
      <c r="BQ133" s="21">
        <f>EXP(-LN(2)/25)*BQ132+(1-EXP(-LN(2)/25))/(LN(2)/25)*Calculateur!BL133*Calculateur!BN133*VLOOKUP('Données projet'!$B$11,Paramètres!$A$1:$I$89,3,0)*0.475*44/12</f>
        <v>12.304762238400086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46.879255964408735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294.08999999999997</v>
      </c>
      <c r="L134" s="12">
        <f>VLOOKUP(A134,'Données projet'!$A$35:$I$55,9,0)</f>
        <v>5.6409999999999938</v>
      </c>
      <c r="M134" s="12">
        <f t="array" ref="M134">INDEX(L:L,MIN(IF(ISNUMBER(L134:L330),ROW(L134:L330),"")))</f>
        <v>5.6409999999999938</v>
      </c>
      <c r="N134" s="13">
        <f>IF('Données projet'!$A$36&gt;35,N133+M134-V133,IF(A134&lt;'Données projet'!$A$36,$K$205^A134,IF(A134='Données projet'!$A$36,'Données projet'!$B$36,N133+M134-V133)))</f>
        <v>294.0900000000006</v>
      </c>
      <c r="O134" s="13">
        <f>N134*VLOOKUP('Données projet'!$B$9,Paramètres!$A$1:$I$89,3,0)*VLOOKUP('Données projet'!$B$9,Paramètres!$A$1:$I$89,5,0)</f>
        <v>137.63412000000028</v>
      </c>
      <c r="P134" s="13">
        <f t="shared" si="141"/>
        <v>35.754479163825771</v>
      </c>
      <c r="Q134" s="20">
        <f t="shared" si="108"/>
        <v>301.9851435436637</v>
      </c>
      <c r="R134" s="59">
        <f t="shared" si="109"/>
        <v>595.31847687699701</v>
      </c>
      <c r="S134" s="59">
        <f ca="1">AVERAGE(OFFSET($R$3,0,0,'Données projet'!$E$9+1,1))-AVERAGE(OFFSET($H$3,0,0,'Données projet'!$E$9+1,1))</f>
        <v>333.20260838961286</v>
      </c>
      <c r="T134" s="59">
        <f t="shared" si="142"/>
        <v>274.05921873522806</v>
      </c>
      <c r="U134" s="15">
        <f>IF(ISNA(VLOOKUP(A134,'Données projet'!$A$35:$I$55,3,0)),0,VLOOKUP(A134,'Données projet'!$A$35:$I$55,3,0))</f>
        <v>8</v>
      </c>
      <c r="V134" s="15">
        <f>IF(ISNA(VLOOKUP(A134,'Données projet'!$A$35:$I$55,4,0)),0,VLOOKUP(A134,'Données projet'!$A$35:$I$55,4,0))</f>
        <v>294.08999999999997</v>
      </c>
      <c r="W134" s="16">
        <f>IF(ISNA(VLOOKUP(A134,'Données projet'!$A$35:$I$55,5,0)),0%,VLOOKUP(A134,'Données projet'!$A$35:$I$55,5,0)*VLOOKUP('Données projet'!$B$9,Paramètres!$A$1:$I$89,7,0))</f>
        <v>0.38500000000000001</v>
      </c>
      <c r="X134" s="16">
        <f>IF(ISNA(VLOOKUP(A134,'Données projet'!$A$35:$I$55,6,0)),0%,VLOOKUP(A134,'Données projet'!$A$35:$I$55,6,0)*VLOOKUP('Données projet'!$B$9,Paramètres!$A$1:$I$89,7,0))</f>
        <v>0.16500000000000001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172.31367447759791</v>
      </c>
      <c r="AA134" s="21">
        <f>EXP(-LN(2)/25)*AA133+(1-EXP(-LN(2)/25))/(LN(2)/25)*Calculateur!V134*Calculateur!X134*VLOOKUP('Données projet'!$B$9,Paramètres!$A$1:$I$89,3,0)*0.475*44/12</f>
        <v>64.833052962337746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237.14672743993566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581.88778927327667</v>
      </c>
      <c r="AO134" s="59">
        <f t="shared" si="144"/>
        <v>269.67340993773422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-6.7984728957526396E-14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300.80663531652721</v>
      </c>
      <c r="BJ134" s="59">
        <f t="shared" si="146"/>
        <v>306.01967513533549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33.896508992400491</v>
      </c>
      <c r="BQ134" s="21">
        <f>EXP(-LN(2)/25)*BQ133+(1-EXP(-LN(2)/25))/(LN(2)/25)*Calculateur!BL134*Calculateur!BN134*VLOOKUP('Données projet'!$B$11,Paramètres!$A$1:$I$89,3,0)*0.475*44/12</f>
        <v>11.968287867911712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45.864796860312204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6.2527760746888816E-13</v>
      </c>
      <c r="O135" s="13">
        <f>N135*VLOOKUP('Données projet'!$B$9,Paramètres!$A$1:$I$89,3,0)*VLOOKUP('Données projet'!$B$9,Paramètres!$A$1:$I$89,5,0)</f>
        <v>2.9262992029543964E-13</v>
      </c>
      <c r="P135" s="13">
        <f t="shared" si="141"/>
        <v>3.8796387982050903E-12</v>
      </c>
      <c r="Q135" s="20">
        <f t="shared" si="108"/>
        <v>7.2667013513884219E-12</v>
      </c>
      <c r="R135" s="59">
        <f t="shared" si="109"/>
        <v>293.33333333334059</v>
      </c>
      <c r="S135" s="59">
        <f ca="1">AVERAGE(OFFSET($R$3,0,0,'Données projet'!$E$9+1,1))-AVERAGE(OFFSET($H$3,0,0,'Données projet'!$E$9+1,1))</f>
        <v>333.20260838961286</v>
      </c>
      <c r="T135" s="59">
        <f t="shared" si="142"/>
        <v>274.05921873522806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168.93470842205579</v>
      </c>
      <c r="AA135" s="21">
        <f>EXP(-LN(2)/25)*AA134+(1-EXP(-LN(2)/25))/(LN(2)/25)*Calculateur!V135*Calculateur!X135*VLOOKUP('Données projet'!$B$9,Paramètres!$A$1:$I$89,3,0)*0.475*44/12</f>
        <v>63.060189719660542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231.99489814171633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581.88778927327667</v>
      </c>
      <c r="AO135" s="59">
        <f t="shared" si="144"/>
        <v>269.67340993773422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-6.7984728957526396E-14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300.80663531652721</v>
      </c>
      <c r="BJ135" s="59">
        <f t="shared" si="146"/>
        <v>306.01967513533549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33.231819125888535</v>
      </c>
      <c r="BQ135" s="21">
        <f>EXP(-LN(2)/25)*BQ134+(1-EXP(-LN(2)/25))/(LN(2)/25)*Calculateur!BL135*Calculateur!BN135*VLOOKUP('Données projet'!$B$11,Paramètres!$A$1:$I$89,3,0)*0.475*44/12</f>
        <v>11.641014406778762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44.8728335326673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6.2527760746888816E-13</v>
      </c>
      <c r="O136" s="13">
        <f>N136*VLOOKUP('Données projet'!$B$9,Paramètres!$A$1:$I$89,3,0)*VLOOKUP('Données projet'!$B$9,Paramètres!$A$1:$I$89,5,0)</f>
        <v>2.9262992029543964E-13</v>
      </c>
      <c r="P136" s="13">
        <f t="shared" si="141"/>
        <v>3.8796387982050903E-12</v>
      </c>
      <c r="Q136" s="20">
        <f t="shared" si="108"/>
        <v>7.2667013513884219E-12</v>
      </c>
      <c r="R136" s="59">
        <f t="shared" si="109"/>
        <v>293.33333333334059</v>
      </c>
      <c r="S136" s="59">
        <f ca="1">AVERAGE(OFFSET($R$3,0,0,'Données projet'!$E$9+1,1))-AVERAGE(OFFSET($H$3,0,0,'Données projet'!$E$9+1,1))</f>
        <v>333.20260838961286</v>
      </c>
      <c r="T136" s="59">
        <f t="shared" si="142"/>
        <v>274.05921873522806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165.62200182989707</v>
      </c>
      <c r="AA136" s="21">
        <f>EXP(-LN(2)/25)*AA135+(1-EXP(-LN(2)/25))/(LN(2)/25)*Calculateur!V136*Calculateur!X136*VLOOKUP('Données projet'!$B$9,Paramètres!$A$1:$I$89,3,0)*0.475*44/12</f>
        <v>61.335805515585172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226.95780734548225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581.88778927327667</v>
      </c>
      <c r="AO136" s="59">
        <f t="shared" si="144"/>
        <v>269.67340993773422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-6.7984728957526396E-14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300.80663531652721</v>
      </c>
      <c r="BJ136" s="59">
        <f t="shared" si="146"/>
        <v>306.01967513533549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32.580163422238087</v>
      </c>
      <c r="BQ136" s="21">
        <f>EXP(-LN(2)/25)*BQ135+(1-EXP(-LN(2)/25))/(LN(2)/25)*Calculateur!BL136*Calculateur!BN136*VLOOKUP('Données projet'!$B$11,Paramètres!$A$1:$I$89,3,0)*0.475*44/12</f>
        <v>11.322690255651056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43.902853677889141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6.2527760746888816E-13</v>
      </c>
      <c r="O137" s="13">
        <f>N137*VLOOKUP('Données projet'!$B$9,Paramètres!$A$1:$I$89,3,0)*VLOOKUP('Données projet'!$B$9,Paramètres!$A$1:$I$89,5,0)</f>
        <v>2.9262992029543964E-13</v>
      </c>
      <c r="P137" s="13">
        <f t="shared" si="141"/>
        <v>3.8796387982050903E-12</v>
      </c>
      <c r="Q137" s="20">
        <f t="shared" si="108"/>
        <v>7.2667013513884219E-12</v>
      </c>
      <c r="R137" s="59">
        <f t="shared" si="109"/>
        <v>293.33333333334059</v>
      </c>
      <c r="S137" s="59">
        <f ca="1">AVERAGE(OFFSET($R$3,0,0,'Données projet'!$E$9+1,1))-AVERAGE(OFFSET($H$3,0,0,'Données projet'!$E$9+1,1))</f>
        <v>333.20260838961286</v>
      </c>
      <c r="T137" s="59">
        <f t="shared" si="142"/>
        <v>274.05921873522806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162.37425539345907</v>
      </c>
      <c r="AA137" s="21">
        <f>EXP(-LN(2)/25)*AA136+(1-EXP(-LN(2)/25))/(LN(2)/25)*Calculateur!V137*Calculateur!X137*VLOOKUP('Données projet'!$B$9,Paramètres!$A$1:$I$89,3,0)*0.475*44/12</f>
        <v>59.658574688251669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222.03283008171073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581.88778927327667</v>
      </c>
      <c r="AO137" s="59">
        <f t="shared" si="144"/>
        <v>269.67340993773422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-6.7984728957526396E-14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300.80663531652721</v>
      </c>
      <c r="BJ137" s="59">
        <f t="shared" si="146"/>
        <v>306.01967513533549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31.941286289465495</v>
      </c>
      <c r="BQ137" s="21">
        <f>EXP(-LN(2)/25)*BQ136+(1-EXP(-LN(2)/25))/(LN(2)/25)*Calculateur!BL137*Calculateur!BN137*VLOOKUP('Données projet'!$B$11,Paramètres!$A$1:$I$89,3,0)*0.475*44/12</f>
        <v>11.013070695175875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42.954356984641372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6.2527760746888816E-13</v>
      </c>
      <c r="O138" s="13">
        <f>N138*VLOOKUP('Données projet'!$B$9,Paramètres!$A$1:$I$89,3,0)*VLOOKUP('Données projet'!$B$9,Paramètres!$A$1:$I$89,5,0)</f>
        <v>2.9262992029543964E-13</v>
      </c>
      <c r="P138" s="13">
        <f t="shared" si="141"/>
        <v>3.8796387982050903E-12</v>
      </c>
      <c r="Q138" s="20">
        <f t="shared" si="108"/>
        <v>7.2667013513884219E-12</v>
      </c>
      <c r="R138" s="59">
        <f t="shared" si="109"/>
        <v>293.33333333334059</v>
      </c>
      <c r="S138" s="59">
        <f ca="1">AVERAGE(OFFSET($R$3,0,0,'Données projet'!$E$9+1,1))-AVERAGE(OFFSET($H$3,0,0,'Données projet'!$E$9+1,1))</f>
        <v>333.20260838961286</v>
      </c>
      <c r="T138" s="59">
        <f t="shared" si="142"/>
        <v>274.05921873522806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159.19019528370987</v>
      </c>
      <c r="AA138" s="21">
        <f>EXP(-LN(2)/25)*AA137+(1-EXP(-LN(2)/25))/(LN(2)/25)*Calculateur!V138*Calculateur!X138*VLOOKUP('Données projet'!$B$9,Paramètres!$A$1:$I$89,3,0)*0.475*44/12</f>
        <v>58.027207826093338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217.2174031098032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581.88778927327667</v>
      </c>
      <c r="AO138" s="59">
        <f t="shared" si="144"/>
        <v>269.67340993773422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-6.7984728957526396E-14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300.80663531652721</v>
      </c>
      <c r="BJ138" s="59">
        <f t="shared" si="146"/>
        <v>306.01967513533549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31.314937147590001</v>
      </c>
      <c r="BQ138" s="21">
        <f>EXP(-LN(2)/25)*BQ137+(1-EXP(-LN(2)/25))/(LN(2)/25)*Calculateur!BL138*Calculateur!BN138*VLOOKUP('Données projet'!$B$11,Paramètres!$A$1:$I$89,3,0)*0.475*44/12</f>
        <v>10.711917697864074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42.026854845454075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6.2527760746888816E-13</v>
      </c>
      <c r="O139" s="13">
        <f>N139*VLOOKUP('Données projet'!$B$9,Paramètres!$A$1:$I$89,3,0)*VLOOKUP('Données projet'!$B$9,Paramètres!$A$1:$I$89,5,0)</f>
        <v>2.9262992029543964E-13</v>
      </c>
      <c r="P139" s="13">
        <f t="shared" si="141"/>
        <v>3.8796387982050903E-12</v>
      </c>
      <c r="Q139" s="20">
        <f t="shared" si="108"/>
        <v>7.2667013513884219E-12</v>
      </c>
      <c r="R139" s="59">
        <f t="shared" si="109"/>
        <v>293.33333333334059</v>
      </c>
      <c r="S139" s="59">
        <f ca="1">AVERAGE(OFFSET($R$3,0,0,'Données projet'!$E$9+1,1))-AVERAGE(OFFSET($H$3,0,0,'Données projet'!$E$9+1,1))</f>
        <v>333.20260838961286</v>
      </c>
      <c r="T139" s="59">
        <f t="shared" si="142"/>
        <v>274.05921873522806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156.06857265062797</v>
      </c>
      <c r="AA139" s="21">
        <f>EXP(-LN(2)/25)*AA138+(1-EXP(-LN(2)/25))/(LN(2)/25)*Calculateur!V139*Calculateur!X139*VLOOKUP('Données projet'!$B$9,Paramètres!$A$1:$I$89,3,0)*0.475*44/12</f>
        <v>56.440450776570579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212.50902342719854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581.88778927327667</v>
      </c>
      <c r="AO139" s="59">
        <f t="shared" si="144"/>
        <v>269.67340993773422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-6.7984728957526396E-14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300.80663531652721</v>
      </c>
      <c r="BJ139" s="59">
        <f t="shared" si="146"/>
        <v>306.01967513533549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30.700870330351432</v>
      </c>
      <c r="BQ139" s="21">
        <f>EXP(-LN(2)/25)*BQ138+(1-EXP(-LN(2)/25))/(LN(2)/25)*Calculateur!BL139*Calculateur!BN139*VLOOKUP('Données projet'!$B$11,Paramètres!$A$1:$I$89,3,0)*0.475*44/12</f>
        <v>10.418999745100711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41.119870075452141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6.2527760746888816E-13</v>
      </c>
      <c r="O140" s="13">
        <f>N140*VLOOKUP('Données projet'!$B$9,Paramètres!$A$1:$I$89,3,0)*VLOOKUP('Données projet'!$B$9,Paramètres!$A$1:$I$89,5,0)</f>
        <v>2.9262992029543964E-13</v>
      </c>
      <c r="P140" s="13">
        <f t="shared" si="141"/>
        <v>3.8796387982050903E-12</v>
      </c>
      <c r="Q140" s="20">
        <f t="shared" si="108"/>
        <v>7.2667013513884219E-12</v>
      </c>
      <c r="R140" s="59">
        <f t="shared" si="109"/>
        <v>293.33333333334059</v>
      </c>
      <c r="S140" s="59">
        <f ca="1">AVERAGE(OFFSET($R$3,0,0,'Données projet'!$E$9+1,1))-AVERAGE(OFFSET($H$3,0,0,'Données projet'!$E$9+1,1))</f>
        <v>333.20260838961286</v>
      </c>
      <c r="T140" s="59">
        <f t="shared" si="142"/>
        <v>274.05921873522806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153.00816313337901</v>
      </c>
      <c r="AA140" s="21">
        <f>EXP(-LN(2)/25)*AA139+(1-EXP(-LN(2)/25))/(LN(2)/25)*Calculateur!V140*Calculateur!X140*VLOOKUP('Données projet'!$B$9,Paramètres!$A$1:$I$89,3,0)*0.475*44/12</f>
        <v>54.897083682010944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207.90524681538994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581.88778927327667</v>
      </c>
      <c r="AO140" s="59">
        <f t="shared" si="144"/>
        <v>269.67340993773422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-6.7984728957526396E-14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300.80663531652721</v>
      </c>
      <c r="BJ140" s="59">
        <f t="shared" si="146"/>
        <v>306.01967513533549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30.098844988855134</v>
      </c>
      <c r="BQ140" s="21">
        <f>EXP(-LN(2)/25)*BQ139+(1-EXP(-LN(2)/25))/(LN(2)/25)*Calculateur!BL140*Calculateur!BN140*VLOOKUP('Données projet'!$B$11,Paramètres!$A$1:$I$89,3,0)*0.475*44/12</f>
        <v>10.134091649159549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40.232936638014685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6.2527760746888816E-13</v>
      </c>
      <c r="O141" s="13">
        <f>N141*VLOOKUP('Données projet'!$B$9,Paramètres!$A$1:$I$89,3,0)*VLOOKUP('Données projet'!$B$9,Paramètres!$A$1:$I$89,5,0)</f>
        <v>2.9262992029543964E-13</v>
      </c>
      <c r="P141" s="13">
        <f t="shared" si="141"/>
        <v>3.8796387982050903E-12</v>
      </c>
      <c r="Q141" s="20">
        <f t="shared" si="108"/>
        <v>7.2667013513884219E-12</v>
      </c>
      <c r="R141" s="59">
        <f t="shared" si="109"/>
        <v>293.33333333334059</v>
      </c>
      <c r="S141" s="59">
        <f ca="1">AVERAGE(OFFSET($R$3,0,0,'Données projet'!$E$9+1,1))-AVERAGE(OFFSET($H$3,0,0,'Données projet'!$E$9+1,1))</f>
        <v>333.20260838961286</v>
      </c>
      <c r="T141" s="59">
        <f t="shared" si="142"/>
        <v>274.05921873522806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150.00776638009782</v>
      </c>
      <c r="AA141" s="21">
        <f>EXP(-LN(2)/25)*AA140+(1-EXP(-LN(2)/25))/(LN(2)/25)*Calculateur!V141*Calculateur!X141*VLOOKUP('Données projet'!$B$9,Paramètres!$A$1:$I$89,3,0)*0.475*44/12</f>
        <v>53.395920041814193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203.40368642191203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581.88778927327667</v>
      </c>
      <c r="AO141" s="59">
        <f t="shared" si="144"/>
        <v>269.67340993773422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-6.7984728957526396E-14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300.80663531652721</v>
      </c>
      <c r="BJ141" s="59">
        <f t="shared" si="146"/>
        <v>306.01967513533549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29.508624997106377</v>
      </c>
      <c r="BQ141" s="21">
        <f>EXP(-LN(2)/25)*BQ140+(1-EXP(-LN(2)/25))/(LN(2)/25)*Calculateur!BL141*Calculateur!BN141*VLOOKUP('Données projet'!$B$11,Paramètres!$A$1:$I$89,3,0)*0.475*44/12</f>
        <v>9.8569743800845622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39.365599377190939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6.2527760746888816E-13</v>
      </c>
      <c r="O142" s="13">
        <f>N142*VLOOKUP('Données projet'!$B$9,Paramètres!$A$1:$I$89,3,0)*VLOOKUP('Données projet'!$B$9,Paramètres!$A$1:$I$89,5,0)</f>
        <v>2.9262992029543964E-13</v>
      </c>
      <c r="P142" s="13">
        <f t="shared" si="141"/>
        <v>3.8796387982050903E-12</v>
      </c>
      <c r="Q142" s="20">
        <f t="shared" si="108"/>
        <v>7.2667013513884219E-12</v>
      </c>
      <c r="R142" s="59">
        <f t="shared" si="109"/>
        <v>293.33333333334059</v>
      </c>
      <c r="S142" s="59">
        <f ca="1">AVERAGE(OFFSET($R$3,0,0,'Données projet'!$E$9+1,1))-AVERAGE(OFFSET($H$3,0,0,'Données projet'!$E$9+1,1))</f>
        <v>333.20260838961286</v>
      </c>
      <c r="T142" s="59">
        <f t="shared" si="142"/>
        <v>274.05921873522806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147.06620557708715</v>
      </c>
      <c r="AA142" s="21">
        <f>EXP(-LN(2)/25)*AA141+(1-EXP(-LN(2)/25))/(LN(2)/25)*Calculateur!V142*Calculateur!X142*VLOOKUP('Données projet'!$B$9,Paramètres!$A$1:$I$89,3,0)*0.475*44/12</f>
        <v>51.935805800301388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199.00201137738853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581.88778927327667</v>
      </c>
      <c r="AO142" s="59">
        <f t="shared" si="144"/>
        <v>269.67340993773422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-6.7984728957526396E-14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300.80663531652721</v>
      </c>
      <c r="BJ142" s="59">
        <f t="shared" si="146"/>
        <v>306.01967513533549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28.929978859397167</v>
      </c>
      <c r="BQ142" s="21">
        <f>EXP(-LN(2)/25)*BQ141+(1-EXP(-LN(2)/25))/(LN(2)/25)*Calculateur!BL142*Calculateur!BN142*VLOOKUP('Données projet'!$B$11,Paramètres!$A$1:$I$89,3,0)*0.475*44/12</f>
        <v>9.5874348973053962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38.517413756702567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6.2527760746888816E-13</v>
      </c>
      <c r="O143" s="13">
        <f>N143*VLOOKUP('Données projet'!$B$9,Paramètres!$A$1:$I$89,3,0)*VLOOKUP('Données projet'!$B$9,Paramètres!$A$1:$I$89,5,0)</f>
        <v>2.9262992029543964E-13</v>
      </c>
      <c r="P143" s="13">
        <f t="shared" si="141"/>
        <v>3.8796387982050903E-12</v>
      </c>
      <c r="Q143" s="20">
        <f t="shared" si="108"/>
        <v>7.2667013513884219E-12</v>
      </c>
      <c r="R143" s="59">
        <f t="shared" si="109"/>
        <v>293.33333333334059</v>
      </c>
      <c r="S143" s="59">
        <f ca="1">AVERAGE(OFFSET($R$3,0,0,'Données projet'!$E$9+1,1))-AVERAGE(OFFSET($H$3,0,0,'Données projet'!$E$9+1,1))</f>
        <v>333.20260838961286</v>
      </c>
      <c r="T143" s="59">
        <f t="shared" si="142"/>
        <v>274.05921873522806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144.18232698724859</v>
      </c>
      <c r="AA143" s="21">
        <f>EXP(-LN(2)/25)*AA142+(1-EXP(-LN(2)/25))/(LN(2)/25)*Calculateur!V143*Calculateur!X143*VLOOKUP('Données projet'!$B$9,Paramètres!$A$1:$I$89,3,0)*0.475*44/12</f>
        <v>50.515618459506818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194.6979454467554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581.88778927327667</v>
      </c>
      <c r="AO143" s="59">
        <f t="shared" si="144"/>
        <v>269.67340993773422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-6.7984728957526396E-14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300.80663531652721</v>
      </c>
      <c r="BJ143" s="59">
        <f t="shared" si="146"/>
        <v>306.01967513533549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28.362679619509141</v>
      </c>
      <c r="BQ143" s="21">
        <f>EXP(-LN(2)/25)*BQ142+(1-EXP(-LN(2)/25))/(LN(2)/25)*Calculateur!BL143*Calculateur!BN143*VLOOKUP('Données projet'!$B$11,Paramètres!$A$1:$I$89,3,0)*0.475*44/12</f>
        <v>9.3252659858572908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37.68794560536643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6.2527760746888816E-13</v>
      </c>
      <c r="O144" s="13">
        <f>N144*VLOOKUP('Données projet'!$B$9,Paramètres!$A$1:$I$89,3,0)*VLOOKUP('Données projet'!$B$9,Paramètres!$A$1:$I$89,5,0)</f>
        <v>2.9262992029543964E-13</v>
      </c>
      <c r="P144" s="13">
        <f t="shared" si="141"/>
        <v>3.8796387982050903E-12</v>
      </c>
      <c r="Q144" s="20">
        <f t="shared" si="108"/>
        <v>7.2667013513884219E-12</v>
      </c>
      <c r="R144" s="59">
        <f t="shared" si="109"/>
        <v>293.33333333334059</v>
      </c>
      <c r="S144" s="59">
        <f ca="1">AVERAGE(OFFSET($R$3,0,0,'Données projet'!$E$9+1,1))-AVERAGE(OFFSET($H$3,0,0,'Données projet'!$E$9+1,1))</f>
        <v>333.20260838961286</v>
      </c>
      <c r="T144" s="59">
        <f t="shared" si="142"/>
        <v>274.05921873522806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141.35499949756451</v>
      </c>
      <c r="AA144" s="21">
        <f>EXP(-LN(2)/25)*AA143+(1-EXP(-LN(2)/25))/(LN(2)/25)*Calculateur!V144*Calculateur!X144*VLOOKUP('Données projet'!$B$9,Paramètres!$A$1:$I$89,3,0)*0.475*44/12</f>
        <v>49.134266216230685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190.48926571379519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581.88778927327667</v>
      </c>
      <c r="AO144" s="59">
        <f t="shared" si="144"/>
        <v>269.67340993773422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-6.7984728957526396E-14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300.80663531652721</v>
      </c>
      <c r="BJ144" s="59">
        <f t="shared" si="146"/>
        <v>306.01967513533549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27.806504771696947</v>
      </c>
      <c r="BQ144" s="21">
        <f>EXP(-LN(2)/25)*BQ143+(1-EXP(-LN(2)/25))/(LN(2)/25)*Calculateur!BL144*Calculateur!BN144*VLOOKUP('Données projet'!$B$11,Paramètres!$A$1:$I$89,3,0)*0.475*44/12</f>
        <v>9.0702660970795979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36.876770868776546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6.2527760746888816E-13</v>
      </c>
      <c r="O145" s="13">
        <f>N145*VLOOKUP('Données projet'!$B$9,Paramètres!$A$1:$I$89,3,0)*VLOOKUP('Données projet'!$B$9,Paramètres!$A$1:$I$89,5,0)</f>
        <v>2.9262992029543964E-13</v>
      </c>
      <c r="P145" s="13">
        <f t="shared" si="141"/>
        <v>3.8796387982050903E-12</v>
      </c>
      <c r="Q145" s="20">
        <f t="shared" si="108"/>
        <v>7.2667013513884219E-12</v>
      </c>
      <c r="R145" s="59">
        <f t="shared" si="109"/>
        <v>293.33333333334059</v>
      </c>
      <c r="S145" s="59">
        <f ca="1">AVERAGE(OFFSET($R$3,0,0,'Données projet'!$E$9+1,1))-AVERAGE(OFFSET($H$3,0,0,'Données projet'!$E$9+1,1))</f>
        <v>333.20260838961286</v>
      </c>
      <c r="T145" s="59">
        <f t="shared" si="142"/>
        <v>274.05921873522806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138.58311417545363</v>
      </c>
      <c r="AA145" s="21">
        <f>EXP(-LN(2)/25)*AA144+(1-EXP(-LN(2)/25))/(LN(2)/25)*Calculateur!V145*Calculateur!X145*VLOOKUP('Données projet'!$B$9,Paramètres!$A$1:$I$89,3,0)*0.475*44/12</f>
        <v>47.790687122689093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186.37380129814272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581.88778927327667</v>
      </c>
      <c r="AO145" s="59">
        <f t="shared" si="144"/>
        <v>269.67340993773422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-6.7984728957526396E-14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300.80663531652721</v>
      </c>
      <c r="BJ145" s="59">
        <f t="shared" si="146"/>
        <v>306.01967513533549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27.261236173417192</v>
      </c>
      <c r="BQ145" s="21">
        <f>EXP(-LN(2)/25)*BQ144+(1-EXP(-LN(2)/25))/(LN(2)/25)*Calculateur!BL145*Calculateur!BN145*VLOOKUP('Données projet'!$B$11,Paramètres!$A$1:$I$89,3,0)*0.475*44/12</f>
        <v>8.8222391936703932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36.083475367087587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6.2527760746888816E-13</v>
      </c>
      <c r="O146" s="13">
        <f>N146*VLOOKUP('Données projet'!$B$9,Paramètres!$A$1:$I$89,3,0)*VLOOKUP('Données projet'!$B$9,Paramètres!$A$1:$I$89,5,0)</f>
        <v>2.9262992029543964E-13</v>
      </c>
      <c r="P146" s="13">
        <f t="shared" si="141"/>
        <v>3.8796387982050903E-12</v>
      </c>
      <c r="Q146" s="20">
        <f t="shared" si="108"/>
        <v>7.2667013513884219E-12</v>
      </c>
      <c r="R146" s="59">
        <f t="shared" si="109"/>
        <v>293.33333333334059</v>
      </c>
      <c r="S146" s="59">
        <f ca="1">AVERAGE(OFFSET($R$3,0,0,'Données projet'!$E$9+1,1))-AVERAGE(OFFSET($H$3,0,0,'Données projet'!$E$9+1,1))</f>
        <v>333.20260838961286</v>
      </c>
      <c r="T146" s="59">
        <f t="shared" si="142"/>
        <v>274.05921873522806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135.86558383382624</v>
      </c>
      <c r="AA146" s="21">
        <f>EXP(-LN(2)/25)*AA145+(1-EXP(-LN(2)/25))/(LN(2)/25)*Calculateur!V146*Calculateur!X146*VLOOKUP('Données projet'!$B$9,Paramètres!$A$1:$I$89,3,0)*0.475*44/12</f>
        <v>46.483848270116148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182.34943210394238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581.88778927327667</v>
      </c>
      <c r="AO146" s="59">
        <f t="shared" si="144"/>
        <v>269.67340993773422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-6.7984728957526396E-14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300.80663531652721</v>
      </c>
      <c r="BJ146" s="59">
        <f t="shared" si="146"/>
        <v>306.01967513533549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26.726659959768696</v>
      </c>
      <c r="BQ146" s="21">
        <f>EXP(-LN(2)/25)*BQ145+(1-EXP(-LN(2)/25))/(LN(2)/25)*Calculateur!BL146*Calculateur!BN146*VLOOKUP('Données projet'!$B$11,Paramètres!$A$1:$I$89,3,0)*0.475*44/12</f>
        <v>8.58099459897808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35.307654558746776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6.2527760746888816E-13</v>
      </c>
      <c r="O147" s="13">
        <f>N147*VLOOKUP('Données projet'!$B$9,Paramètres!$A$1:$I$89,3,0)*VLOOKUP('Données projet'!$B$9,Paramètres!$A$1:$I$89,5,0)</f>
        <v>2.9262992029543964E-13</v>
      </c>
      <c r="P147" s="13">
        <f t="shared" si="141"/>
        <v>3.8796387982050903E-12</v>
      </c>
      <c r="Q147" s="20">
        <f t="shared" si="108"/>
        <v>7.2667013513884219E-12</v>
      </c>
      <c r="R147" s="59">
        <f t="shared" si="109"/>
        <v>293.33333333334059</v>
      </c>
      <c r="S147" s="59">
        <f ca="1">AVERAGE(OFFSET($R$3,0,0,'Données projet'!$E$9+1,1))-AVERAGE(OFFSET($H$3,0,0,'Données projet'!$E$9+1,1))</f>
        <v>333.20260838961286</v>
      </c>
      <c r="T147" s="59">
        <f t="shared" si="142"/>
        <v>274.05921873522806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133.20134260466833</v>
      </c>
      <c r="AA147" s="21">
        <f>EXP(-LN(2)/25)*AA146+(1-EXP(-LN(2)/25))/(LN(2)/25)*Calculateur!V147*Calculateur!X147*VLOOKUP('Données projet'!$B$9,Paramètres!$A$1:$I$89,3,0)*0.475*44/12</f>
        <v>45.212744994690482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178.41408759935882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581.88778927327667</v>
      </c>
      <c r="AO147" s="59">
        <f t="shared" si="144"/>
        <v>269.67340993773422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-6.7984728957526396E-14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300.80663531652721</v>
      </c>
      <c r="BJ147" s="59">
        <f t="shared" si="146"/>
        <v>306.01967513533549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26.202566459610551</v>
      </c>
      <c r="BQ147" s="21">
        <f>EXP(-LN(2)/25)*BQ146+(1-EXP(-LN(2)/25))/(LN(2)/25)*Calculateur!BL147*Calculateur!BN147*VLOOKUP('Données projet'!$B$11,Paramètres!$A$1:$I$89,3,0)*0.475*44/12</f>
        <v>8.3463468504141307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34.54891331002468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6.2527760746888816E-13</v>
      </c>
      <c r="O148" s="13">
        <f>N148*VLOOKUP('Données projet'!$B$9,Paramètres!$A$1:$I$89,3,0)*VLOOKUP('Données projet'!$B$9,Paramètres!$A$1:$I$89,5,0)</f>
        <v>2.9262992029543964E-13</v>
      </c>
      <c r="P148" s="13">
        <f t="shared" si="141"/>
        <v>3.8796387982050903E-12</v>
      </c>
      <c r="Q148" s="20">
        <f t="shared" si="108"/>
        <v>7.2667013513884219E-12</v>
      </c>
      <c r="R148" s="59">
        <f t="shared" si="109"/>
        <v>293.33333333334059</v>
      </c>
      <c r="S148" s="59">
        <f ca="1">AVERAGE(OFFSET($R$3,0,0,'Données projet'!$E$9+1,1))-AVERAGE(OFFSET($H$3,0,0,'Données projet'!$E$9+1,1))</f>
        <v>333.20260838961286</v>
      </c>
      <c r="T148" s="59">
        <f t="shared" si="142"/>
        <v>274.05921873522806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130.58934552098751</v>
      </c>
      <c r="AA148" s="21">
        <f>EXP(-LN(2)/25)*AA147+(1-EXP(-LN(2)/25))/(LN(2)/25)*Calculateur!V148*Calculateur!X148*VLOOKUP('Données projet'!$B$9,Paramètres!$A$1:$I$89,3,0)*0.475*44/12</f>
        <v>43.976400105175749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174.56574562616325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581.88778927327667</v>
      </c>
      <c r="AO148" s="59">
        <f t="shared" si="144"/>
        <v>269.67340993773422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-6.7984728957526396E-14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300.80663531652721</v>
      </c>
      <c r="BJ148" s="59">
        <f t="shared" si="146"/>
        <v>306.01967513533549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25.688750113325039</v>
      </c>
      <c r="BQ148" s="21">
        <f>EXP(-LN(2)/25)*BQ147+(1-EXP(-LN(2)/25))/(LN(2)/25)*Calculateur!BL148*Calculateur!BN148*VLOOKUP('Données projet'!$B$11,Paramètres!$A$1:$I$89,3,0)*0.475*44/12</f>
        <v>8.1181155568742511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33.806865670199286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6.2527760746888816E-13</v>
      </c>
      <c r="O149" s="13">
        <f>N149*VLOOKUP('Données projet'!$B$9,Paramètres!$A$1:$I$89,3,0)*VLOOKUP('Données projet'!$B$9,Paramètres!$A$1:$I$89,5,0)</f>
        <v>2.9262992029543964E-13</v>
      </c>
      <c r="P149" s="13">
        <f t="shared" si="141"/>
        <v>3.8796387982050903E-12</v>
      </c>
      <c r="Q149" s="20">
        <f t="shared" si="108"/>
        <v>7.2667013513884219E-12</v>
      </c>
      <c r="R149" s="59">
        <f t="shared" si="109"/>
        <v>293.33333333334059</v>
      </c>
      <c r="S149" s="59">
        <f ca="1">AVERAGE(OFFSET($R$3,0,0,'Données projet'!$E$9+1,1))-AVERAGE(OFFSET($H$3,0,0,'Données projet'!$E$9+1,1))</f>
        <v>333.20260838961286</v>
      </c>
      <c r="T149" s="59">
        <f t="shared" si="142"/>
        <v>274.05921873522806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128.02856810695675</v>
      </c>
      <c r="AA149" s="21">
        <f>EXP(-LN(2)/25)*AA148+(1-EXP(-LN(2)/25))/(LN(2)/25)*Calculateur!V149*Calculateur!X149*VLOOKUP('Données projet'!$B$9,Paramètres!$A$1:$I$89,3,0)*0.475*44/12</f>
        <v>42.773863131681345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170.80243123863809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581.88778927327667</v>
      </c>
      <c r="AO149" s="59">
        <f t="shared" si="144"/>
        <v>269.67340993773422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-6.7984728957526396E-14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300.80663531652721</v>
      </c>
      <c r="BJ149" s="59">
        <f t="shared" si="146"/>
        <v>306.01967513533549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25.185009392193159</v>
      </c>
      <c r="BQ149" s="21">
        <f>EXP(-LN(2)/25)*BQ148+(1-EXP(-LN(2)/25))/(LN(2)/25)*Calculateur!BL149*Calculateur!BN149*VLOOKUP('Données projet'!$B$11,Paramètres!$A$1:$I$89,3,0)*0.475*44/12</f>
        <v>7.8961252600583816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33.081134652251542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6.2527760746888816E-13</v>
      </c>
      <c r="O150" s="13">
        <f>N150*VLOOKUP('Données projet'!$B$9,Paramètres!$A$1:$I$89,3,0)*VLOOKUP('Données projet'!$B$9,Paramètres!$A$1:$I$89,5,0)</f>
        <v>2.9262992029543964E-13</v>
      </c>
      <c r="P150" s="13">
        <f t="shared" si="141"/>
        <v>3.8796387982050903E-12</v>
      </c>
      <c r="Q150" s="20">
        <f t="shared" si="108"/>
        <v>7.2667013513884219E-12</v>
      </c>
      <c r="R150" s="59">
        <f t="shared" si="109"/>
        <v>293.33333333334059</v>
      </c>
      <c r="S150" s="59">
        <f ca="1">AVERAGE(OFFSET($R$3,0,0,'Données projet'!$E$9+1,1))-AVERAGE(OFFSET($H$3,0,0,'Données projet'!$E$9+1,1))</f>
        <v>333.20260838961286</v>
      </c>
      <c r="T150" s="59">
        <f t="shared" si="142"/>
        <v>274.05921873522806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125.51800597609515</v>
      </c>
      <c r="AA150" s="21">
        <f>EXP(-LN(2)/25)*AA149+(1-EXP(-LN(2)/25))/(LN(2)/25)*Calculateur!V150*Calculateur!X150*VLOOKUP('Données projet'!$B$9,Paramètres!$A$1:$I$89,3,0)*0.475*44/12</f>
        <v>41.604209594965816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167.12221557106096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581.88778927327667</v>
      </c>
      <c r="AO150" s="59">
        <f t="shared" si="144"/>
        <v>269.67340993773422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-6.7984728957526396E-14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300.80663531652721</v>
      </c>
      <c r="BJ150" s="59">
        <f t="shared" si="146"/>
        <v>306.01967513533549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24.691146719351174</v>
      </c>
      <c r="BQ150" s="21">
        <f>EXP(-LN(2)/25)*BQ149+(1-EXP(-LN(2)/25))/(LN(2)/25)*Calculateur!BL150*Calculateur!BN150*VLOOKUP('Données projet'!$B$11,Paramètres!$A$1:$I$89,3,0)*0.475*44/12</f>
        <v>7.6802052995829042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32.371352018934076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6.2527760746888816E-13</v>
      </c>
      <c r="O151" s="13">
        <f>N151*VLOOKUP('Données projet'!$B$9,Paramètres!$A$1:$I$89,3,0)*VLOOKUP('Données projet'!$B$9,Paramètres!$A$1:$I$89,5,0)</f>
        <v>2.9262992029543964E-13</v>
      </c>
      <c r="P151" s="13">
        <f t="shared" si="141"/>
        <v>3.8796387982050903E-12</v>
      </c>
      <c r="Q151" s="20">
        <f t="shared" si="108"/>
        <v>7.2667013513884219E-12</v>
      </c>
      <c r="R151" s="59">
        <f t="shared" si="109"/>
        <v>293.33333333334059</v>
      </c>
      <c r="S151" s="59">
        <f ca="1">AVERAGE(OFFSET($R$3,0,0,'Données projet'!$E$9+1,1))-AVERAGE(OFFSET($H$3,0,0,'Données projet'!$E$9+1,1))</f>
        <v>333.20260838961286</v>
      </c>
      <c r="T151" s="59">
        <f t="shared" si="142"/>
        <v>274.05921873522806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123.05667443732806</v>
      </c>
      <c r="AA151" s="21">
        <f>EXP(-LN(2)/25)*AA150+(1-EXP(-LN(2)/25))/(LN(2)/25)*Calculateur!V151*Calculateur!X151*VLOOKUP('Données projet'!$B$9,Paramètres!$A$1:$I$89,3,0)*0.475*44/12</f>
        <v>40.466540295721181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163.52321473304923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581.88778927327667</v>
      </c>
      <c r="AO151" s="59">
        <f t="shared" si="144"/>
        <v>269.67340993773422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-6.7984728957526396E-14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300.80663531652721</v>
      </c>
      <c r="BJ151" s="59">
        <f t="shared" si="146"/>
        <v>306.01967513533549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24.206968392297135</v>
      </c>
      <c r="BQ151" s="21">
        <f>EXP(-LN(2)/25)*BQ150+(1-EXP(-LN(2)/25))/(LN(2)/25)*Calculateur!BL151*Calculateur!BN151*VLOOKUP('Données projet'!$B$11,Paramètres!$A$1:$I$89,3,0)*0.475*44/12</f>
        <v>7.470189681781366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31.677158074078502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6.2527760746888816E-13</v>
      </c>
      <c r="O152" s="13">
        <f>N152*VLOOKUP('Données projet'!$B$9,Paramètres!$A$1:$I$89,3,0)*VLOOKUP('Données projet'!$B$9,Paramètres!$A$1:$I$89,5,0)</f>
        <v>2.9262992029543964E-13</v>
      </c>
      <c r="P152" s="13">
        <f t="shared" si="141"/>
        <v>3.8796387982050903E-12</v>
      </c>
      <c r="Q152" s="20">
        <f t="shared" si="108"/>
        <v>7.2667013513884219E-12</v>
      </c>
      <c r="R152" s="59">
        <f t="shared" si="109"/>
        <v>293.33333333334059</v>
      </c>
      <c r="S152" s="59">
        <f ca="1">AVERAGE(OFFSET($R$3,0,0,'Données projet'!$E$9+1,1))-AVERAGE(OFFSET($H$3,0,0,'Données projet'!$E$9+1,1))</f>
        <v>333.20260838961286</v>
      </c>
      <c r="T152" s="59">
        <f t="shared" si="142"/>
        <v>274.05921873522806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120.64360810877218</v>
      </c>
      <c r="AA152" s="21">
        <f>EXP(-LN(2)/25)*AA151+(1-EXP(-LN(2)/25))/(LN(2)/25)*Calculateur!V152*Calculateur!X152*VLOOKUP('Données projet'!$B$9,Paramètres!$A$1:$I$89,3,0)*0.475*44/12</f>
        <v>39.359980623291818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160.003588732064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581.88778927327667</v>
      </c>
      <c r="AO152" s="59">
        <f t="shared" si="144"/>
        <v>269.67340993773422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-6.7984728957526396E-14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300.80663531652721</v>
      </c>
      <c r="BJ152" s="59">
        <f t="shared" si="146"/>
        <v>306.01967513533549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23.732284506917004</v>
      </c>
      <c r="BQ152" s="21">
        <f>EXP(-LN(2)/25)*BQ151+(1-EXP(-LN(2)/25))/(LN(2)/25)*Calculateur!BL152*Calculateur!BN152*VLOOKUP('Données projet'!$B$11,Paramètres!$A$1:$I$89,3,0)*0.475*44/12</f>
        <v>7.2659169520928524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30.998201459009856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6.2527760746888816E-13</v>
      </c>
      <c r="O153" s="13">
        <f>N153*VLOOKUP('Données projet'!$B$9,Paramètres!$A$1:$I$89,3,0)*VLOOKUP('Données projet'!$B$9,Paramètres!$A$1:$I$89,5,0)</f>
        <v>2.9262992029543964E-13</v>
      </c>
      <c r="P153" s="13">
        <f t="shared" si="141"/>
        <v>3.8796387982050903E-12</v>
      </c>
      <c r="Q153" s="20">
        <f t="shared" si="108"/>
        <v>7.2667013513884219E-12</v>
      </c>
      <c r="R153" s="59">
        <f t="shared" si="109"/>
        <v>293.33333333334059</v>
      </c>
      <c r="S153" s="59">
        <f ca="1">AVERAGE(OFFSET($R$3,0,0,'Données projet'!$E$9+1,1))-AVERAGE(OFFSET($H$3,0,0,'Données projet'!$E$9+1,1))</f>
        <v>333.20260838961286</v>
      </c>
      <c r="T153" s="59">
        <f t="shared" si="142"/>
        <v>274.05921873522806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118.27786053909416</v>
      </c>
      <c r="AA153" s="21">
        <f>EXP(-LN(2)/25)*AA152+(1-EXP(-LN(2)/25))/(LN(2)/25)*Calculateur!V153*Calculateur!X153*VLOOKUP('Données projet'!$B$9,Paramètres!$A$1:$I$89,3,0)*0.475*44/12</f>
        <v>38.283679883296479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156.56154042239064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581.88778927327667</v>
      </c>
      <c r="AO153" s="59">
        <f t="shared" si="144"/>
        <v>269.67340993773422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-6.7984728957526396E-14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300.80663531652721</v>
      </c>
      <c r="BJ153" s="59">
        <f t="shared" si="146"/>
        <v>306.01967513533549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23.266908883000596</v>
      </c>
      <c r="BQ153" s="21">
        <f>EXP(-LN(2)/25)*BQ152+(1-EXP(-LN(2)/25))/(LN(2)/25)*Calculateur!BL153*Calculateur!BN153*VLOOKUP('Données projet'!$B$11,Paramètres!$A$1:$I$89,3,0)*0.475*44/12</f>
        <v>7.0672300709399076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30.334138953940503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6.2527760746888816E-13</v>
      </c>
      <c r="O154" s="13">
        <f>N154*VLOOKUP('Données projet'!$B$9,Paramètres!$A$1:$I$89,3,0)*VLOOKUP('Données projet'!$B$9,Paramètres!$A$1:$I$89,5,0)</f>
        <v>2.9262992029543964E-13</v>
      </c>
      <c r="P154" s="13">
        <f t="shared" si="141"/>
        <v>3.8796387982050903E-12</v>
      </c>
      <c r="Q154" s="20">
        <f t="shared" ref="Q154:Q203" si="162">(O154+P154)*0.475*44/12</f>
        <v>7.2667013513884219E-12</v>
      </c>
      <c r="R154" s="59">
        <f t="shared" si="109"/>
        <v>293.33333333334059</v>
      </c>
      <c r="S154" s="59">
        <f ca="1">AVERAGE(OFFSET($R$3,0,0,'Données projet'!$E$9+1,1))-AVERAGE(OFFSET($H$3,0,0,'Données projet'!$E$9+1,1))</f>
        <v>333.20260838961286</v>
      </c>
      <c r="T154" s="59">
        <f t="shared" si="142"/>
        <v>274.05921873522806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115.95850383629399</v>
      </c>
      <c r="AA154" s="21">
        <f>EXP(-LN(2)/25)*AA153+(1-EXP(-LN(2)/25))/(LN(2)/25)*Calculateur!V154*Calculateur!X154*VLOOKUP('Données projet'!$B$9,Paramètres!$A$1:$I$89,3,0)*0.475*44/12</f>
        <v>37.23681064363651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153.19531447993049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581.88778927327667</v>
      </c>
      <c r="AO154" s="59">
        <f t="shared" si="144"/>
        <v>269.67340993773422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-6.7984728957526396E-14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300.80663531652721</v>
      </c>
      <c r="BJ154" s="59">
        <f t="shared" si="146"/>
        <v>306.01967513533549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22.810658991218087</v>
      </c>
      <c r="BQ154" s="21">
        <f>EXP(-LN(2)/25)*BQ153+(1-EXP(-LN(2)/25))/(LN(2)/25)*Calculateur!BL154*Calculateur!BN154*VLOOKUP('Données projet'!$B$11,Paramètres!$A$1:$I$89,3,0)*0.475*44/12</f>
        <v>6.8739762930005792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29.684635284218665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6.2527760746888816E-13</v>
      </c>
      <c r="O155" s="13">
        <f>N155*VLOOKUP('Données projet'!$B$9,Paramètres!$A$1:$I$89,3,0)*VLOOKUP('Données projet'!$B$9,Paramètres!$A$1:$I$89,5,0)</f>
        <v>2.9262992029543964E-13</v>
      </c>
      <c r="P155" s="13">
        <f t="shared" si="141"/>
        <v>3.8796387982050903E-12</v>
      </c>
      <c r="Q155" s="20">
        <f t="shared" si="162"/>
        <v>7.2667013513884219E-12</v>
      </c>
      <c r="R155" s="59">
        <f t="shared" si="109"/>
        <v>293.33333333334059</v>
      </c>
      <c r="S155" s="59">
        <f ca="1">AVERAGE(OFFSET($R$3,0,0,'Données projet'!$E$9+1,1))-AVERAGE(OFFSET($H$3,0,0,'Données projet'!$E$9+1,1))</f>
        <v>333.20260838961286</v>
      </c>
      <c r="T155" s="59">
        <f t="shared" si="142"/>
        <v>274.05921873522806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113.68462830376782</v>
      </c>
      <c r="AA155" s="21">
        <f>EXP(-LN(2)/25)*AA154+(1-EXP(-LN(2)/25))/(LN(2)/25)*Calculateur!V155*Calculateur!X155*VLOOKUP('Données projet'!$B$9,Paramètres!$A$1:$I$89,3,0)*0.475*44/12</f>
        <v>36.2185680983875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149.90319640215532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581.88778927327667</v>
      </c>
      <c r="AO155" s="59">
        <f t="shared" si="144"/>
        <v>269.67340993773422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-6.7984728957526396E-14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300.80663531652721</v>
      </c>
      <c r="BJ155" s="59">
        <f t="shared" si="146"/>
        <v>306.01967513533549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22.363355881528477</v>
      </c>
      <c r="BQ155" s="21">
        <f>EXP(-LN(2)/25)*BQ154+(1-EXP(-LN(2)/25))/(LN(2)/25)*Calculateur!BL155*Calculateur!BN155*VLOOKUP('Données projet'!$B$11,Paramètres!$A$1:$I$89,3,0)*0.475*44/12</f>
        <v>6.6860070497817761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29.049362931310252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6.2527760746888816E-13</v>
      </c>
      <c r="O156" s="13">
        <f>N156*VLOOKUP('Données projet'!$B$9,Paramètres!$A$1:$I$89,3,0)*VLOOKUP('Données projet'!$B$9,Paramètres!$A$1:$I$89,5,0)</f>
        <v>2.9262992029543964E-13</v>
      </c>
      <c r="P156" s="13">
        <f t="shared" si="141"/>
        <v>3.8796387982050903E-12</v>
      </c>
      <c r="Q156" s="20">
        <f t="shared" si="162"/>
        <v>7.2667013513884219E-12</v>
      </c>
      <c r="R156" s="59">
        <f t="shared" si="109"/>
        <v>293.33333333334059</v>
      </c>
      <c r="S156" s="59">
        <f ca="1">AVERAGE(OFFSET($R$3,0,0,'Données projet'!$E$9+1,1))-AVERAGE(OFFSET($H$3,0,0,'Données projet'!$E$9+1,1))</f>
        <v>333.20260838961286</v>
      </c>
      <c r="T156" s="59">
        <f t="shared" si="142"/>
        <v>274.05921873522806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111.45534208350738</v>
      </c>
      <c r="AA156" s="21">
        <f>EXP(-LN(2)/25)*AA155+(1-EXP(-LN(2)/25))/(LN(2)/25)*Calculateur!V156*Calculateur!X156*VLOOKUP('Données projet'!$B$9,Paramètres!$A$1:$I$89,3,0)*0.475*44/12</f>
        <v>35.228169449085378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146.68351153259275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581.88778927327667</v>
      </c>
      <c r="AO156" s="59">
        <f t="shared" si="144"/>
        <v>269.67340993773422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-6.7984728957526396E-14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300.80663531652721</v>
      </c>
      <c r="BJ156" s="59">
        <f t="shared" si="146"/>
        <v>306.01967513533549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21.924824112991924</v>
      </c>
      <c r="BQ156" s="21">
        <f>EXP(-LN(2)/25)*BQ155+(1-EXP(-LN(2)/25))/(LN(2)/25)*Calculateur!BL156*Calculateur!BN156*VLOOKUP('Données projet'!$B$11,Paramètres!$A$1:$I$89,3,0)*0.475*44/12</f>
        <v>6.5031778354036636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28.42800194839559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6.2527760746888816E-13</v>
      </c>
      <c r="O157" s="13">
        <f>N157*VLOOKUP('Données projet'!$B$9,Paramètres!$A$1:$I$89,3,0)*VLOOKUP('Données projet'!$B$9,Paramètres!$A$1:$I$89,5,0)</f>
        <v>2.9262992029543964E-13</v>
      </c>
      <c r="P157" s="13">
        <f t="shared" si="141"/>
        <v>3.8796387982050903E-12</v>
      </c>
      <c r="Q157" s="20">
        <f t="shared" si="162"/>
        <v>7.2667013513884219E-12</v>
      </c>
      <c r="R157" s="59">
        <f t="shared" si="109"/>
        <v>293.33333333334059</v>
      </c>
      <c r="S157" s="59">
        <f ca="1">AVERAGE(OFFSET($R$3,0,0,'Données projet'!$E$9+1,1))-AVERAGE(OFFSET($H$3,0,0,'Données projet'!$E$9+1,1))</f>
        <v>333.20260838961286</v>
      </c>
      <c r="T157" s="59">
        <f t="shared" si="142"/>
        <v>274.05921873522806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109.2697708062959</v>
      </c>
      <c r="AA157" s="21">
        <f>EXP(-LN(2)/25)*AA156+(1-EXP(-LN(2)/25))/(LN(2)/25)*Calculateur!V157*Calculateur!X157*VLOOKUP('Données projet'!$B$9,Paramètres!$A$1:$I$89,3,0)*0.475*44/12</f>
        <v>34.264853302931222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143.53462410922711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581.88778927327667</v>
      </c>
      <c r="AO157" s="59">
        <f t="shared" si="144"/>
        <v>269.67340993773422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-6.7984728957526396E-14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300.80663531652721</v>
      </c>
      <c r="BJ157" s="59">
        <f t="shared" si="146"/>
        <v>306.01967513533549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21.494891684958404</v>
      </c>
      <c r="BQ157" s="21">
        <f>EXP(-LN(2)/25)*BQ156+(1-EXP(-LN(2)/25))/(LN(2)/25)*Calculateur!BL157*Calculateur!BN157*VLOOKUP('Données projet'!$B$11,Paramètres!$A$1:$I$89,3,0)*0.475*44/12</f>
        <v>6.3253480955072909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27.820239780465695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6.2527760746888816E-13</v>
      </c>
      <c r="O158" s="13">
        <f>N158*VLOOKUP('Données projet'!$B$9,Paramètres!$A$1:$I$89,3,0)*VLOOKUP('Données projet'!$B$9,Paramètres!$A$1:$I$89,5,0)</f>
        <v>2.9262992029543964E-13</v>
      </c>
      <c r="P158" s="13">
        <f t="shared" si="141"/>
        <v>3.8796387982050903E-12</v>
      </c>
      <c r="Q158" s="20">
        <f t="shared" si="162"/>
        <v>7.2667013513884219E-12</v>
      </c>
      <c r="R158" s="59">
        <f t="shared" si="109"/>
        <v>293.33333333334059</v>
      </c>
      <c r="S158" s="59">
        <f ca="1">AVERAGE(OFFSET($R$3,0,0,'Données projet'!$E$9+1,1))-AVERAGE(OFFSET($H$3,0,0,'Données projet'!$E$9+1,1))</f>
        <v>333.20260838961286</v>
      </c>
      <c r="T158" s="59">
        <f t="shared" si="142"/>
        <v>274.05921873522806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107.12705724876368</v>
      </c>
      <c r="AA158" s="21">
        <f>EXP(-LN(2)/25)*AA157+(1-EXP(-LN(2)/25))/(LN(2)/25)*Calculateur!V158*Calculateur!X158*VLOOKUP('Données projet'!$B$9,Paramètres!$A$1:$I$89,3,0)*0.475*44/12</f>
        <v>33.327879087452246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140.45493633621592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581.88778927327667</v>
      </c>
      <c r="AO158" s="59">
        <f t="shared" si="144"/>
        <v>269.67340993773422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-6.7984728957526396E-14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300.80663531652721</v>
      </c>
      <c r="BJ158" s="59">
        <f t="shared" si="146"/>
        <v>306.01967513533549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21.073389969605735</v>
      </c>
      <c r="BQ158" s="21">
        <f>EXP(-LN(2)/25)*BQ157+(1-EXP(-LN(2)/25))/(LN(2)/25)*Calculateur!BL158*Calculateur!BN158*VLOOKUP('Données projet'!$B$11,Paramètres!$A$1:$I$89,3,0)*0.475*44/12</f>
        <v>6.1523811192000446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27.225771088805779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6.2527760746888816E-13</v>
      </c>
      <c r="O159" s="13">
        <f>N159*VLOOKUP('Données projet'!$B$9,Paramètres!$A$1:$I$89,3,0)*VLOOKUP('Données projet'!$B$9,Paramètres!$A$1:$I$89,5,0)</f>
        <v>2.9262992029543964E-13</v>
      </c>
      <c r="P159" s="13">
        <f t="shared" si="141"/>
        <v>3.8796387982050903E-12</v>
      </c>
      <c r="Q159" s="20">
        <f t="shared" si="162"/>
        <v>7.2667013513884219E-12</v>
      </c>
      <c r="R159" s="59">
        <f t="shared" si="109"/>
        <v>293.33333333334059</v>
      </c>
      <c r="S159" s="59">
        <f ca="1">AVERAGE(OFFSET($R$3,0,0,'Données projet'!$E$9+1,1))-AVERAGE(OFFSET($H$3,0,0,'Données projet'!$E$9+1,1))</f>
        <v>333.20260838961286</v>
      </c>
      <c r="T159" s="59">
        <f t="shared" si="142"/>
        <v>274.05921873522806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105.02636099716845</v>
      </c>
      <c r="AA159" s="21">
        <f>EXP(-LN(2)/25)*AA158+(1-EXP(-LN(2)/25))/(LN(2)/25)*Calculateur!V159*Calculateur!X159*VLOOKUP('Données projet'!$B$9,Paramètres!$A$1:$I$89,3,0)*0.475*44/12</f>
        <v>32.416526481168873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137.44288747833733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581.88778927327667</v>
      </c>
      <c r="AO159" s="59">
        <f t="shared" si="144"/>
        <v>269.67340993773422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-6.7984728957526396E-14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300.80663531652721</v>
      </c>
      <c r="BJ159" s="59">
        <f t="shared" si="146"/>
        <v>306.01967513533549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20.66015364580047</v>
      </c>
      <c r="BQ159" s="21">
        <f>EXP(-LN(2)/25)*BQ158+(1-EXP(-LN(2)/25))/(LN(2)/25)*Calculateur!BL159*Calculateur!BN159*VLOOKUP('Données projet'!$B$11,Paramètres!$A$1:$I$89,3,0)*0.475*44/12</f>
        <v>5.984143933955858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26.644297579756326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6.2527760746888816E-13</v>
      </c>
      <c r="O160" s="13">
        <f>N160*VLOOKUP('Données projet'!$B$9,Paramètres!$A$1:$I$89,3,0)*VLOOKUP('Données projet'!$B$9,Paramètres!$A$1:$I$89,5,0)</f>
        <v>2.9262992029543964E-13</v>
      </c>
      <c r="P160" s="13">
        <f t="shared" si="141"/>
        <v>3.8796387982050903E-12</v>
      </c>
      <c r="Q160" s="20">
        <f t="shared" si="162"/>
        <v>7.2667013513884219E-12</v>
      </c>
      <c r="R160" s="59">
        <f t="shared" si="109"/>
        <v>293.33333333334059</v>
      </c>
      <c r="S160" s="59">
        <f ca="1">AVERAGE(OFFSET($R$3,0,0,'Données projet'!$E$9+1,1))-AVERAGE(OFFSET($H$3,0,0,'Données projet'!$E$9+1,1))</f>
        <v>333.20260838961286</v>
      </c>
      <c r="T160" s="59">
        <f t="shared" si="142"/>
        <v>274.05921873522806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102.96685811776881</v>
      </c>
      <c r="AA160" s="21">
        <f>EXP(-LN(2)/25)*AA159+(1-EXP(-LN(2)/25))/(LN(2)/25)*Calculateur!V160*Calculateur!X160*VLOOKUP('Données projet'!$B$9,Paramètres!$A$1:$I$89,3,0)*0.475*44/12</f>
        <v>31.530094859830271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134.49695297759908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581.88778927327667</v>
      </c>
      <c r="AO160" s="59">
        <f t="shared" si="144"/>
        <v>269.67340993773422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-6.7984728957526396E-14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300.80663531652721</v>
      </c>
      <c r="BJ160" s="59">
        <f t="shared" si="146"/>
        <v>306.01967513533549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20.255020634255757</v>
      </c>
      <c r="BQ160" s="21">
        <f>EXP(-LN(2)/25)*BQ159+(1-EXP(-LN(2)/25))/(LN(2)/25)*Calculateur!BL160*Calculateur!BN160*VLOOKUP('Données projet'!$B$11,Paramètres!$A$1:$I$89,3,0)*0.475*44/12</f>
        <v>5.8205072033893828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26.07552783764514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6.2527760746888816E-13</v>
      </c>
      <c r="O161" s="13">
        <f>N161*VLOOKUP('Données projet'!$B$9,Paramètres!$A$1:$I$89,3,0)*VLOOKUP('Données projet'!$B$9,Paramètres!$A$1:$I$89,5,0)</f>
        <v>2.9262992029543964E-13</v>
      </c>
      <c r="P161" s="13">
        <f t="shared" si="141"/>
        <v>3.8796387982050903E-12</v>
      </c>
      <c r="Q161" s="20">
        <f t="shared" si="162"/>
        <v>7.2667013513884219E-12</v>
      </c>
      <c r="R161" s="59">
        <f t="shared" si="109"/>
        <v>293.33333333334059</v>
      </c>
      <c r="S161" s="59">
        <f ca="1">AVERAGE(OFFSET($R$3,0,0,'Données projet'!$E$9+1,1))-AVERAGE(OFFSET($H$3,0,0,'Données projet'!$E$9+1,1))</f>
        <v>333.20260838961286</v>
      </c>
      <c r="T161" s="59">
        <f t="shared" si="142"/>
        <v>274.05921873522806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100.94774083366147</v>
      </c>
      <c r="AA161" s="21">
        <f>EXP(-LN(2)/25)*AA160+(1-EXP(-LN(2)/25))/(LN(2)/25)*Calculateur!V161*Calculateur!X161*VLOOKUP('Données projet'!$B$9,Paramètres!$A$1:$I$89,3,0)*0.475*44/12</f>
        <v>30.667902757792586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131.61564359145405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581.88778927327667</v>
      </c>
      <c r="AO161" s="59">
        <f t="shared" si="144"/>
        <v>269.67340993773422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-6.7984728957526396E-14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300.80663531652721</v>
      </c>
      <c r="BJ161" s="59">
        <f t="shared" si="146"/>
        <v>306.01967513533549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19.857832033960698</v>
      </c>
      <c r="BQ161" s="21">
        <f>EXP(-LN(2)/25)*BQ160+(1-EXP(-LN(2)/25))/(LN(2)/25)*Calculateur!BL161*Calculateur!BN161*VLOOKUP('Données projet'!$B$11,Paramètres!$A$1:$I$89,3,0)*0.475*44/12</f>
        <v>5.6613451278255296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25.519177161786228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6.2527760746888816E-13</v>
      </c>
      <c r="O162" s="13">
        <f>N162*VLOOKUP('Données projet'!$B$9,Paramètres!$A$1:$I$89,3,0)*VLOOKUP('Données projet'!$B$9,Paramètres!$A$1:$I$89,5,0)</f>
        <v>2.9262992029543964E-13</v>
      </c>
      <c r="P162" s="13">
        <f t="shared" si="141"/>
        <v>3.8796387982050903E-12</v>
      </c>
      <c r="Q162" s="20">
        <f t="shared" si="162"/>
        <v>7.2667013513884219E-12</v>
      </c>
      <c r="R162" s="59">
        <f t="shared" si="109"/>
        <v>293.33333333334059</v>
      </c>
      <c r="S162" s="59">
        <f ca="1">AVERAGE(OFFSET($R$3,0,0,'Données projet'!$E$9+1,1))-AVERAGE(OFFSET($H$3,0,0,'Données projet'!$E$9+1,1))</f>
        <v>333.20260838961286</v>
      </c>
      <c r="T162" s="59">
        <f t="shared" si="142"/>
        <v>274.05921873522806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98.968217207955547</v>
      </c>
      <c r="AA162" s="21">
        <f>EXP(-LN(2)/25)*AA161+(1-EXP(-LN(2)/25))/(LN(2)/25)*Calculateur!V162*Calculateur!X162*VLOOKUP('Données projet'!$B$9,Paramètres!$A$1:$I$89,3,0)*0.475*44/12</f>
        <v>29.829287344125834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128.79750455208139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581.88778927327667</v>
      </c>
      <c r="AO162" s="59">
        <f t="shared" si="144"/>
        <v>269.67340993773422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-6.7984728957526396E-14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300.80663531652721</v>
      </c>
      <c r="BJ162" s="59">
        <f t="shared" si="146"/>
        <v>306.01967513533549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19.468432059856301</v>
      </c>
      <c r="BQ162" s="21">
        <f>EXP(-LN(2)/25)*BQ161+(1-EXP(-LN(2)/25))/(LN(2)/25)*Calculateur!BL162*Calculateur!BN162*VLOOKUP('Données projet'!$B$11,Paramètres!$A$1:$I$89,3,0)*0.475*44/12</f>
        <v>5.5065353475879393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24.97496740744424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6.2527760746888816E-13</v>
      </c>
      <c r="O163" s="13">
        <f>N163*VLOOKUP('Données projet'!$B$9,Paramètres!$A$1:$I$89,3,0)*VLOOKUP('Données projet'!$B$9,Paramètres!$A$1:$I$89,5,0)</f>
        <v>2.9262992029543964E-13</v>
      </c>
      <c r="P163" s="13">
        <f t="shared" si="141"/>
        <v>3.8796387982050903E-12</v>
      </c>
      <c r="Q163" s="20">
        <f t="shared" si="162"/>
        <v>7.2667013513884219E-12</v>
      </c>
      <c r="R163" s="59">
        <f t="shared" si="109"/>
        <v>293.33333333334059</v>
      </c>
      <c r="S163" s="59">
        <f ca="1">AVERAGE(OFFSET($R$3,0,0,'Données projet'!$E$9+1,1))-AVERAGE(OFFSET($H$3,0,0,'Données projet'!$E$9+1,1))</f>
        <v>333.20260838961286</v>
      </c>
      <c r="T163" s="59">
        <f t="shared" si="142"/>
        <v>274.05921873522806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97.027510833159525</v>
      </c>
      <c r="AA163" s="21">
        <f>EXP(-LN(2)/25)*AA162+(1-EXP(-LN(2)/25))/(LN(2)/25)*Calculateur!V163*Calculateur!X163*VLOOKUP('Données projet'!$B$9,Paramètres!$A$1:$I$89,3,0)*0.475*44/12</f>
        <v>29.013603913046669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126.04111474620619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581.88778927327667</v>
      </c>
      <c r="AO163" s="59">
        <f t="shared" si="144"/>
        <v>269.67340993773422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-6.7984728957526396E-14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300.80663531652721</v>
      </c>
      <c r="BJ163" s="59">
        <f t="shared" si="146"/>
        <v>306.01967513533549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19.086667981733559</v>
      </c>
      <c r="BQ163" s="21">
        <f>EXP(-LN(2)/25)*BQ162+(1-EXP(-LN(2)/25))/(LN(2)/25)*Calculateur!BL163*Calculateur!BN163*VLOOKUP('Données projet'!$B$11,Paramètres!$A$1:$I$89,3,0)*0.475*44/12</f>
        <v>5.3559588489320387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24.442626830665596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6.2527760746888816E-13</v>
      </c>
      <c r="O164" s="13">
        <f>N164*VLOOKUP('Données projet'!$B$9,Paramètres!$A$1:$I$89,3,0)*VLOOKUP('Données projet'!$B$9,Paramètres!$A$1:$I$89,5,0)</f>
        <v>2.9262992029543964E-13</v>
      </c>
      <c r="P164" s="13">
        <f t="shared" si="141"/>
        <v>3.8796387982050903E-12</v>
      </c>
      <c r="Q164" s="20">
        <f t="shared" si="162"/>
        <v>7.2667013513884219E-12</v>
      </c>
      <c r="R164" s="59">
        <f t="shared" si="109"/>
        <v>293.33333333334059</v>
      </c>
      <c r="S164" s="59">
        <f ca="1">AVERAGE(OFFSET($R$3,0,0,'Données projet'!$E$9+1,1))-AVERAGE(OFFSET($H$3,0,0,'Données projet'!$E$9+1,1))</f>
        <v>333.20260838961286</v>
      </c>
      <c r="T164" s="59">
        <f t="shared" si="142"/>
        <v>274.05921873522806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95.124860526659248</v>
      </c>
      <c r="AA164" s="21">
        <f>EXP(-LN(2)/25)*AA163+(1-EXP(-LN(2)/25))/(LN(2)/25)*Calculateur!V164*Calculateur!X164*VLOOKUP('Données projet'!$B$9,Paramètres!$A$1:$I$89,3,0)*0.475*44/12</f>
        <v>28.220225388285289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123.34508591494453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581.88778927327667</v>
      </c>
      <c r="AO164" s="59">
        <f t="shared" si="144"/>
        <v>269.67340993773422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-6.7984728957526396E-14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300.80663531652721</v>
      </c>
      <c r="BJ164" s="59">
        <f t="shared" si="146"/>
        <v>306.01967513533549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18.712390064329707</v>
      </c>
      <c r="BQ164" s="21">
        <f>EXP(-LN(2)/25)*BQ163+(1-EXP(-LN(2)/25))/(LN(2)/25)*Calculateur!BL164*Calculateur!BN164*VLOOKUP('Données projet'!$B$11,Paramètres!$A$1:$I$89,3,0)*0.475*44/12</f>
        <v>5.2094998725503574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23.921889936880063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6.2527760746888816E-13</v>
      </c>
      <c r="O165" s="13">
        <f>N165*VLOOKUP('Données projet'!$B$9,Paramètres!$A$1:$I$89,3,0)*VLOOKUP('Données projet'!$B$9,Paramètres!$A$1:$I$89,5,0)</f>
        <v>2.9262992029543964E-13</v>
      </c>
      <c r="P165" s="13">
        <f t="shared" si="141"/>
        <v>3.8796387982050903E-12</v>
      </c>
      <c r="Q165" s="20">
        <f t="shared" si="162"/>
        <v>7.2667013513884219E-12</v>
      </c>
      <c r="R165" s="59">
        <f t="shared" si="109"/>
        <v>293.33333333334059</v>
      </c>
      <c r="S165" s="59">
        <f ca="1">AVERAGE(OFFSET($R$3,0,0,'Données projet'!$E$9+1,1))-AVERAGE(OFFSET($H$3,0,0,'Données projet'!$E$9+1,1))</f>
        <v>333.20260838961286</v>
      </c>
      <c r="T165" s="59">
        <f t="shared" si="142"/>
        <v>274.05921873522806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93.259520032167345</v>
      </c>
      <c r="AA165" s="21">
        <f>EXP(-LN(2)/25)*AA164+(1-EXP(-LN(2)/25))/(LN(2)/25)*Calculateur!V165*Calculateur!X165*VLOOKUP('Données projet'!$B$9,Paramètres!$A$1:$I$89,3,0)*0.475*44/12</f>
        <v>27.448541841005472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120.70806187317282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581.88778927327667</v>
      </c>
      <c r="AO165" s="59">
        <f t="shared" si="144"/>
        <v>269.67340993773422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-6.7984728957526396E-14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300.80663531652721</v>
      </c>
      <c r="BJ165" s="59">
        <f t="shared" si="146"/>
        <v>306.01967513533549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18.345451508599158</v>
      </c>
      <c r="BQ165" s="21">
        <f>EXP(-LN(2)/25)*BQ164+(1-EXP(-LN(2)/25))/(LN(2)/25)*Calculateur!BL165*Calculateur!BN165*VLOOKUP('Données projet'!$B$11,Paramètres!$A$1:$I$89,3,0)*0.475*44/12</f>
        <v>5.0670458245797763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23.412497333178933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6.2527760746888816E-13</v>
      </c>
      <c r="O166" s="13">
        <f>N166*VLOOKUP('Données projet'!$B$9,Paramètres!$A$1:$I$89,3,0)*VLOOKUP('Données projet'!$B$9,Paramètres!$A$1:$I$89,5,0)</f>
        <v>2.9262992029543964E-13</v>
      </c>
      <c r="P166" s="13">
        <f t="shared" si="141"/>
        <v>3.8796387982050903E-12</v>
      </c>
      <c r="Q166" s="20">
        <f t="shared" si="162"/>
        <v>7.2667013513884219E-12</v>
      </c>
      <c r="R166" s="59">
        <f t="shared" si="109"/>
        <v>293.33333333334059</v>
      </c>
      <c r="S166" s="59">
        <f ca="1">AVERAGE(OFFSET($R$3,0,0,'Données projet'!$E$9+1,1))-AVERAGE(OFFSET($H$3,0,0,'Données projet'!$E$9+1,1))</f>
        <v>333.20260838961286</v>
      </c>
      <c r="T166" s="59">
        <f t="shared" si="142"/>
        <v>274.05921873522806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91.430757727027057</v>
      </c>
      <c r="AA166" s="21">
        <f>EXP(-LN(2)/25)*AA165+(1-EXP(-LN(2)/25))/(LN(2)/25)*Calculateur!V166*Calculateur!X166*VLOOKUP('Données projet'!$B$9,Paramètres!$A$1:$I$89,3,0)*0.475*44/12</f>
        <v>26.697960020907097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118.12871774793416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581.88778927327667</v>
      </c>
      <c r="AO166" s="59">
        <f t="shared" si="144"/>
        <v>269.67340993773422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-6.7984728957526396E-14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300.80663531652721</v>
      </c>
      <c r="BJ166" s="59">
        <f t="shared" si="146"/>
        <v>306.01967513533549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17.985708394136065</v>
      </c>
      <c r="BQ166" s="21">
        <f>EXP(-LN(2)/25)*BQ165+(1-EXP(-LN(2)/25))/(LN(2)/25)*Calculateur!BL166*Calculateur!BN166*VLOOKUP('Données projet'!$B$11,Paramètres!$A$1:$I$89,3,0)*0.475*44/12</f>
        <v>4.9284871900422829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22.914195584178348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6.2527760746888816E-13</v>
      </c>
      <c r="O167" s="13">
        <f>N167*VLOOKUP('Données projet'!$B$9,Paramètres!$A$1:$I$89,3,0)*VLOOKUP('Données projet'!$B$9,Paramètres!$A$1:$I$89,5,0)</f>
        <v>2.9262992029543964E-13</v>
      </c>
      <c r="P167" s="13">
        <f t="shared" si="141"/>
        <v>3.8796387982050903E-12</v>
      </c>
      <c r="Q167" s="20">
        <f t="shared" si="162"/>
        <v>7.2667013513884219E-12</v>
      </c>
      <c r="R167" s="59">
        <f t="shared" si="109"/>
        <v>293.33333333334059</v>
      </c>
      <c r="S167" s="59">
        <f ca="1">AVERAGE(OFFSET($R$3,0,0,'Données projet'!$E$9+1,1))-AVERAGE(OFFSET($H$3,0,0,'Données projet'!$E$9+1,1))</f>
        <v>333.20260838961286</v>
      </c>
      <c r="T167" s="59">
        <f t="shared" si="142"/>
        <v>274.05921873522806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89.637856335255705</v>
      </c>
      <c r="AA167" s="21">
        <f>EXP(-LN(2)/25)*AA166+(1-EXP(-LN(2)/25))/(LN(2)/25)*Calculateur!V167*Calculateur!X167*VLOOKUP('Données projet'!$B$9,Paramètres!$A$1:$I$89,3,0)*0.475*44/12</f>
        <v>25.967902900150694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115.6057592354064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581.88778927327667</v>
      </c>
      <c r="AO167" s="59">
        <f t="shared" si="144"/>
        <v>269.67340993773422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-6.7984728957526396E-14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300.80663531652721</v>
      </c>
      <c r="BJ167" s="59">
        <f t="shared" si="146"/>
        <v>306.01967513533549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17.633019622725961</v>
      </c>
      <c r="BQ167" s="21">
        <f>EXP(-LN(2)/25)*BQ166+(1-EXP(-LN(2)/25))/(LN(2)/25)*Calculateur!BL167*Calculateur!BN167*VLOOKUP('Données projet'!$B$11,Paramètres!$A$1:$I$89,3,0)*0.475*44/12</f>
        <v>4.7937174486526999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22.42673707137866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6.2527760746888816E-13</v>
      </c>
      <c r="O168" s="13">
        <f>N168*VLOOKUP('Données projet'!$B$9,Paramètres!$A$1:$I$89,3,0)*VLOOKUP('Données projet'!$B$9,Paramètres!$A$1:$I$89,5,0)</f>
        <v>2.9262992029543964E-13</v>
      </c>
      <c r="P168" s="13">
        <f t="shared" si="141"/>
        <v>3.8796387982050903E-12</v>
      </c>
      <c r="Q168" s="20">
        <f t="shared" si="162"/>
        <v>7.2667013513884219E-12</v>
      </c>
      <c r="R168" s="59">
        <f t="shared" si="109"/>
        <v>293.33333333334059</v>
      </c>
      <c r="S168" s="59">
        <f ca="1">AVERAGE(OFFSET($R$3,0,0,'Données projet'!$E$9+1,1))-AVERAGE(OFFSET($H$3,0,0,'Données projet'!$E$9+1,1))</f>
        <v>333.20260838961286</v>
      </c>
      <c r="T168" s="59">
        <f t="shared" si="142"/>
        <v>274.05921873522806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87.880112646215125</v>
      </c>
      <c r="AA168" s="21">
        <f>EXP(-LN(2)/25)*AA167+(1-EXP(-LN(2)/25))/(LN(2)/25)*Calculateur!V168*Calculateur!X168*VLOOKUP('Données projet'!$B$9,Paramètres!$A$1:$I$89,3,0)*0.475*44/12</f>
        <v>25.257809229753409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113.13792187596853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581.88778927327667</v>
      </c>
      <c r="AO168" s="59">
        <f t="shared" si="144"/>
        <v>269.67340993773422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-6.7984728957526396E-14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300.80663531652721</v>
      </c>
      <c r="BJ168" s="59">
        <f t="shared" si="146"/>
        <v>306.01967513533549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17.287246863004299</v>
      </c>
      <c r="BQ168" s="21">
        <f>EXP(-LN(2)/25)*BQ167+(1-EXP(-LN(2)/25))/(LN(2)/25)*Calculateur!BL168*Calculateur!BN168*VLOOKUP('Données projet'!$B$11,Paramètres!$A$1:$I$89,3,0)*0.475*44/12</f>
        <v>4.6626329929286472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21.949879855932945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6.2527760746888816E-13</v>
      </c>
      <c r="O169" s="13">
        <f>N169*VLOOKUP('Données projet'!$B$9,Paramètres!$A$1:$I$89,3,0)*VLOOKUP('Données projet'!$B$9,Paramètres!$A$1:$I$89,5,0)</f>
        <v>2.9262992029543964E-13</v>
      </c>
      <c r="P169" s="13">
        <f t="shared" si="141"/>
        <v>3.8796387982050903E-12</v>
      </c>
      <c r="Q169" s="20">
        <f t="shared" si="162"/>
        <v>7.2667013513884219E-12</v>
      </c>
      <c r="R169" s="59">
        <f t="shared" si="109"/>
        <v>293.33333333334059</v>
      </c>
      <c r="S169" s="59">
        <f ca="1">AVERAGE(OFFSET($R$3,0,0,'Données projet'!$E$9+1,1))-AVERAGE(OFFSET($H$3,0,0,'Données projet'!$E$9+1,1))</f>
        <v>333.20260838961286</v>
      </c>
      <c r="T169" s="59">
        <f t="shared" si="142"/>
        <v>274.05921873522806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86.156837238798843</v>
      </c>
      <c r="AA169" s="21">
        <f>EXP(-LN(2)/25)*AA168+(1-EXP(-LN(2)/25))/(LN(2)/25)*Calculateur!V169*Calculateur!X169*VLOOKUP('Données projet'!$B$9,Paramètres!$A$1:$I$89,3,0)*0.475*44/12</f>
        <v>24.567133108115343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110.72397034691419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581.88778927327667</v>
      </c>
      <c r="AO169" s="59">
        <f t="shared" si="144"/>
        <v>269.67340993773422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-6.7984728957526396E-14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300.80663531652721</v>
      </c>
      <c r="BJ169" s="59">
        <f t="shared" si="146"/>
        <v>306.01967513533549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16.948254496200221</v>
      </c>
      <c r="BQ169" s="21">
        <f>EXP(-LN(2)/25)*BQ168+(1-EXP(-LN(2)/25))/(LN(2)/25)*Calculateur!BL169*Calculateur!BN169*VLOOKUP('Données projet'!$B$11,Paramètres!$A$1:$I$89,3,0)*0.475*44/12</f>
        <v>4.5351330485398007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21.483387544740022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6.2527760746888816E-13</v>
      </c>
      <c r="O170" s="13">
        <f>N170*VLOOKUP('Données projet'!$B$9,Paramètres!$A$1:$I$89,3,0)*VLOOKUP('Données projet'!$B$9,Paramètres!$A$1:$I$89,5,0)</f>
        <v>2.9262992029543964E-13</v>
      </c>
      <c r="P170" s="13">
        <f t="shared" si="141"/>
        <v>3.8796387982050903E-12</v>
      </c>
      <c r="Q170" s="20">
        <f t="shared" si="162"/>
        <v>7.2667013513884219E-12</v>
      </c>
      <c r="R170" s="59">
        <f t="shared" si="109"/>
        <v>293.33333333334059</v>
      </c>
      <c r="S170" s="59">
        <f ca="1">AVERAGE(OFFSET($R$3,0,0,'Données projet'!$E$9+1,1))-AVERAGE(OFFSET($H$3,0,0,'Données projet'!$E$9+1,1))</f>
        <v>333.20260838961286</v>
      </c>
      <c r="T170" s="59">
        <f t="shared" si="142"/>
        <v>274.05921873522806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84.467354211027782</v>
      </c>
      <c r="AA170" s="21">
        <f>EXP(-LN(2)/25)*AA169+(1-EXP(-LN(2)/25))/(LN(2)/25)*Calculateur!V170*Calculateur!X170*VLOOKUP('Données projet'!$B$9,Paramètres!$A$1:$I$89,3,0)*0.475*44/12</f>
        <v>23.895343561344546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108.36269777237233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581.88778927327667</v>
      </c>
      <c r="AO170" s="59">
        <f t="shared" si="144"/>
        <v>269.67340993773422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-6.7984728957526396E-14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300.80663531652721</v>
      </c>
      <c r="BJ170" s="59">
        <f t="shared" si="146"/>
        <v>306.01967513533549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16.615909562944243</v>
      </c>
      <c r="BQ170" s="21">
        <f>EXP(-LN(2)/25)*BQ169+(1-EXP(-LN(2)/25))/(LN(2)/25)*Calculateur!BL170*Calculateur!BN170*VLOOKUP('Données projet'!$B$11,Paramètres!$A$1:$I$89,3,0)*0.475*44/12</f>
        <v>4.4111195968351984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21.027029159779442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6.2527760746888816E-13</v>
      </c>
      <c r="O171" s="13">
        <f>N171*VLOOKUP('Données projet'!$B$9,Paramètres!$A$1:$I$89,3,0)*VLOOKUP('Données projet'!$B$9,Paramètres!$A$1:$I$89,5,0)</f>
        <v>2.9262992029543964E-13</v>
      </c>
      <c r="P171" s="13">
        <f t="shared" si="141"/>
        <v>3.8796387982050903E-12</v>
      </c>
      <c r="Q171" s="20">
        <f t="shared" si="162"/>
        <v>7.2667013513884219E-12</v>
      </c>
      <c r="R171" s="59">
        <f t="shared" si="109"/>
        <v>293.33333333334059</v>
      </c>
      <c r="S171" s="59">
        <f ca="1">AVERAGE(OFFSET($R$3,0,0,'Données projet'!$E$9+1,1))-AVERAGE(OFFSET($H$3,0,0,'Données projet'!$E$9+1,1))</f>
        <v>333.20260838961286</v>
      </c>
      <c r="T171" s="59">
        <f t="shared" si="142"/>
        <v>274.05921873522806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82.811000914948423</v>
      </c>
      <c r="AA171" s="21">
        <f>EXP(-LN(2)/25)*AA170+(1-EXP(-LN(2)/25))/(LN(2)/25)*Calculateur!V171*Calculateur!X171*VLOOKUP('Données projet'!$B$9,Paramètres!$A$1:$I$89,3,0)*0.475*44/12</f>
        <v>23.241924135058074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106.05292505000649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581.88778927327667</v>
      </c>
      <c r="AO171" s="59">
        <f t="shared" si="144"/>
        <v>269.67340993773422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-6.7984728957526396E-14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300.80663531652721</v>
      </c>
      <c r="BJ171" s="59">
        <f t="shared" si="146"/>
        <v>306.01967513533549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16.290081711119022</v>
      </c>
      <c r="BQ171" s="21">
        <f>EXP(-LN(2)/25)*BQ170+(1-EXP(-LN(2)/25))/(LN(2)/25)*Calculateur!BL171*Calculateur!BN171*VLOOKUP('Données projet'!$B$11,Paramètres!$A$1:$I$89,3,0)*0.475*44/12</f>
        <v>4.2904972994890418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20.580579010608062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6.2527760746888816E-13</v>
      </c>
      <c r="O172" s="13">
        <f>N172*VLOOKUP('Données projet'!$B$9,Paramètres!$A$1:$I$89,3,0)*VLOOKUP('Données projet'!$B$9,Paramètres!$A$1:$I$89,5,0)</f>
        <v>2.9262992029543964E-13</v>
      </c>
      <c r="P172" s="13">
        <f t="shared" si="141"/>
        <v>3.8796387982050903E-12</v>
      </c>
      <c r="Q172" s="20">
        <f t="shared" si="162"/>
        <v>7.2667013513884219E-12</v>
      </c>
      <c r="R172" s="59">
        <f t="shared" si="109"/>
        <v>293.33333333334059</v>
      </c>
      <c r="S172" s="59">
        <f ca="1">AVERAGE(OFFSET($R$3,0,0,'Données projet'!$E$9+1,1))-AVERAGE(OFFSET($H$3,0,0,'Données projet'!$E$9+1,1))</f>
        <v>333.20260838961286</v>
      </c>
      <c r="T172" s="59">
        <f t="shared" si="142"/>
        <v>274.05921873522806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81.187127696729419</v>
      </c>
      <c r="AA172" s="21">
        <f>EXP(-LN(2)/25)*AA171+(1-EXP(-LN(2)/25))/(LN(2)/25)*Calculateur!V172*Calculateur!X172*VLOOKUP('Données projet'!$B$9,Paramètres!$A$1:$I$89,3,0)*0.475*44/12</f>
        <v>22.606372497345241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103.79350019407465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581.88778927327667</v>
      </c>
      <c r="AO172" s="59">
        <f t="shared" si="144"/>
        <v>269.67340993773422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-6.7984728957526396E-14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300.80663531652721</v>
      </c>
      <c r="BJ172" s="59">
        <f t="shared" si="146"/>
        <v>306.01967513533549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15.970643144732726</v>
      </c>
      <c r="BQ172" s="21">
        <f>EXP(-LN(2)/25)*BQ171+(1-EXP(-LN(2)/25))/(LN(2)/25)*Calculateur!BL172*Calculateur!BN172*VLOOKUP('Données projet'!$B$11,Paramètres!$A$1:$I$89,3,0)*0.475*44/12</f>
        <v>4.1731734252070671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20.143816569939794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6.2527760746888816E-13</v>
      </c>
      <c r="O173" s="13">
        <f>N173*VLOOKUP('Données projet'!$B$9,Paramètres!$A$1:$I$89,3,0)*VLOOKUP('Données projet'!$B$9,Paramètres!$A$1:$I$89,5,0)</f>
        <v>2.9262992029543964E-13</v>
      </c>
      <c r="P173" s="13">
        <f t="shared" si="141"/>
        <v>3.8796387982050903E-12</v>
      </c>
      <c r="Q173" s="20">
        <f t="shared" si="162"/>
        <v>7.2667013513884219E-12</v>
      </c>
      <c r="R173" s="59">
        <f t="shared" si="109"/>
        <v>293.33333333334059</v>
      </c>
      <c r="S173" s="59">
        <f ca="1">AVERAGE(OFFSET($R$3,0,0,'Données projet'!$E$9+1,1))-AVERAGE(OFFSET($H$3,0,0,'Données projet'!$E$9+1,1))</f>
        <v>333.20260838961286</v>
      </c>
      <c r="T173" s="59">
        <f t="shared" si="142"/>
        <v>274.05921873522806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79.595097641854835</v>
      </c>
      <c r="AA173" s="21">
        <f>EXP(-LN(2)/25)*AA172+(1-EXP(-LN(2)/25))/(LN(2)/25)*Calculateur!V173*Calculateur!X173*VLOOKUP('Données projet'!$B$9,Paramètres!$A$1:$I$89,3,0)*0.475*44/12</f>
        <v>21.988200052587874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101.58329769444271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581.88778927327667</v>
      </c>
      <c r="AO173" s="59">
        <f t="shared" si="144"/>
        <v>269.67340993773422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-6.7984728957526396E-14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300.80663531652721</v>
      </c>
      <c r="BJ173" s="59">
        <f t="shared" si="146"/>
        <v>306.01967513533549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15.657468573794979</v>
      </c>
      <c r="BQ173" s="21">
        <f>EXP(-LN(2)/25)*BQ172+(1-EXP(-LN(2)/25))/(LN(2)/25)*Calculateur!BL173*Calculateur!BN173*VLOOKUP('Données projet'!$B$11,Paramètres!$A$1:$I$89,3,0)*0.475*44/12</f>
        <v>4.0590577784371273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19.716526352232108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6.2527760746888816E-13</v>
      </c>
      <c r="O174" s="13">
        <f>N174*VLOOKUP('Données projet'!$B$9,Paramètres!$A$1:$I$89,3,0)*VLOOKUP('Données projet'!$B$9,Paramètres!$A$1:$I$89,5,0)</f>
        <v>2.9262992029543964E-13</v>
      </c>
      <c r="P174" s="13">
        <f t="shared" si="141"/>
        <v>3.8796387982050903E-12</v>
      </c>
      <c r="Q174" s="20">
        <f t="shared" si="162"/>
        <v>7.2667013513884219E-12</v>
      </c>
      <c r="R174" s="59">
        <f t="shared" si="109"/>
        <v>293.33333333334059</v>
      </c>
      <c r="S174" s="59">
        <f ca="1">AVERAGE(OFFSET($R$3,0,0,'Données projet'!$E$9+1,1))-AVERAGE(OFFSET($H$3,0,0,'Données projet'!$E$9+1,1))</f>
        <v>333.20260838961286</v>
      </c>
      <c r="T174" s="59">
        <f t="shared" si="142"/>
        <v>274.05921873522806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78.034286325313886</v>
      </c>
      <c r="AA174" s="21">
        <f>EXP(-LN(2)/25)*AA173+(1-EXP(-LN(2)/25))/(LN(2)/25)*Calculateur!V174*Calculateur!X174*VLOOKUP('Données projet'!$B$9,Paramètres!$A$1:$I$89,3,0)*0.475*44/12</f>
        <v>21.386931565840673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99.421217891154555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581.88778927327667</v>
      </c>
      <c r="AO174" s="59">
        <f t="shared" si="144"/>
        <v>269.67340993773422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-6.7984728957526396E-14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300.80663531652721</v>
      </c>
      <c r="BJ174" s="59">
        <f t="shared" si="146"/>
        <v>306.01967513533549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15.350435165175695</v>
      </c>
      <c r="BQ174" s="21">
        <f>EXP(-LN(2)/25)*BQ173+(1-EXP(-LN(2)/25))/(LN(2)/25)*Calculateur!BL174*Calculateur!BN174*VLOOKUP('Données projet'!$B$11,Paramètres!$A$1:$I$89,3,0)*0.475*44/12</f>
        <v>3.9480626300291926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19.298497795204888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6.2527760746888816E-13</v>
      </c>
      <c r="O175" s="13">
        <f>N175*VLOOKUP('Données projet'!$B$9,Paramètres!$A$1:$I$89,3,0)*VLOOKUP('Données projet'!$B$9,Paramètres!$A$1:$I$89,5,0)</f>
        <v>2.9262992029543964E-13</v>
      </c>
      <c r="P175" s="13">
        <f t="shared" si="141"/>
        <v>3.8796387982050903E-12</v>
      </c>
      <c r="Q175" s="20">
        <f t="shared" si="162"/>
        <v>7.2667013513884219E-12</v>
      </c>
      <c r="R175" s="59">
        <f t="shared" si="109"/>
        <v>293.33333333334059</v>
      </c>
      <c r="S175" s="59">
        <f ca="1">AVERAGE(OFFSET($R$3,0,0,'Données projet'!$E$9+1,1))-AVERAGE(OFFSET($H$3,0,0,'Données projet'!$E$9+1,1))</f>
        <v>333.20260838961286</v>
      </c>
      <c r="T175" s="59">
        <f t="shared" si="142"/>
        <v>274.05921873522806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76.504081566689408</v>
      </c>
      <c r="AA175" s="21">
        <f>EXP(-LN(2)/25)*AA174+(1-EXP(-LN(2)/25))/(LN(2)/25)*Calculateur!V175*Calculateur!X175*VLOOKUP('Données projet'!$B$9,Paramètres!$A$1:$I$89,3,0)*0.475*44/12</f>
        <v>20.802104797482908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97.306186364172319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581.88778927327667</v>
      </c>
      <c r="AO175" s="59">
        <f t="shared" si="144"/>
        <v>269.67340993773422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-6.7984728957526396E-14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300.80663531652721</v>
      </c>
      <c r="BJ175" s="59">
        <f t="shared" si="146"/>
        <v>306.01967513533549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15.049422494427546</v>
      </c>
      <c r="BQ175" s="21">
        <f>EXP(-LN(2)/25)*BQ174+(1-EXP(-LN(2)/25))/(LN(2)/25)*Calculateur!BL175*Calculateur!BN175*VLOOKUP('Données projet'!$B$11,Paramètres!$A$1:$I$89,3,0)*0.475*44/12</f>
        <v>3.8401026497914539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18.889525144219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6.2527760746888816E-13</v>
      </c>
      <c r="O176" s="13">
        <f>N176*VLOOKUP('Données projet'!$B$9,Paramètres!$A$1:$I$89,3,0)*VLOOKUP('Données projet'!$B$9,Paramètres!$A$1:$I$89,5,0)</f>
        <v>2.9262992029543964E-13</v>
      </c>
      <c r="P176" s="13">
        <f t="shared" si="141"/>
        <v>3.8796387982050903E-12</v>
      </c>
      <c r="Q176" s="20">
        <f t="shared" si="162"/>
        <v>7.2667013513884219E-12</v>
      </c>
      <c r="R176" s="59">
        <f t="shared" si="109"/>
        <v>293.33333333334059</v>
      </c>
      <c r="S176" s="59">
        <f ca="1">AVERAGE(OFFSET($R$3,0,0,'Données projet'!$E$9+1,1))-AVERAGE(OFFSET($H$3,0,0,'Données projet'!$E$9+1,1))</f>
        <v>333.20260838961286</v>
      </c>
      <c r="T176" s="59">
        <f t="shared" si="142"/>
        <v>274.05921873522806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75.003883190048811</v>
      </c>
      <c r="AA176" s="21">
        <f>EXP(-LN(2)/25)*AA175+(1-EXP(-LN(2)/25))/(LN(2)/25)*Calculateur!V176*Calculateur!X176*VLOOKUP('Données projet'!$B$9,Paramètres!$A$1:$I$89,3,0)*0.475*44/12</f>
        <v>20.233270147860591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95.237153337909405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581.88778927327667</v>
      </c>
      <c r="AO176" s="59">
        <f t="shared" si="144"/>
        <v>269.67340993773422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-6.7984728957526396E-14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300.80663531652721</v>
      </c>
      <c r="BJ176" s="59">
        <f t="shared" si="146"/>
        <v>306.01967513533549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14.754312498553169</v>
      </c>
      <c r="BQ176" s="21">
        <f>EXP(-LN(2)/25)*BQ175+(1-EXP(-LN(2)/25))/(LN(2)/25)*Calculateur!BL176*Calculateur!BN176*VLOOKUP('Données projet'!$B$11,Paramètres!$A$1:$I$89,3,0)*0.475*44/12</f>
        <v>3.7350948408906848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18.489407339443854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6.2527760746888816E-13</v>
      </c>
      <c r="O177" s="13">
        <f>N177*VLOOKUP('Données projet'!$B$9,Paramètres!$A$1:$I$89,3,0)*VLOOKUP('Données projet'!$B$9,Paramètres!$A$1:$I$89,5,0)</f>
        <v>2.9262992029543964E-13</v>
      </c>
      <c r="P177" s="13">
        <f t="shared" si="141"/>
        <v>3.8796387982050903E-12</v>
      </c>
      <c r="Q177" s="20">
        <f t="shared" si="162"/>
        <v>7.2667013513884219E-12</v>
      </c>
      <c r="R177" s="59">
        <f t="shared" si="109"/>
        <v>293.33333333334059</v>
      </c>
      <c r="S177" s="59">
        <f ca="1">AVERAGE(OFFSET($R$3,0,0,'Données projet'!$E$9+1,1))-AVERAGE(OFFSET($H$3,0,0,'Données projet'!$E$9+1,1))</f>
        <v>333.20260838961286</v>
      </c>
      <c r="T177" s="59">
        <f t="shared" si="142"/>
        <v>274.05921873522806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73.533102788543474</v>
      </c>
      <c r="AA177" s="21">
        <f>EXP(-LN(2)/25)*AA176+(1-EXP(-LN(2)/25))/(LN(2)/25)*Calculateur!V177*Calculateur!X177*VLOOKUP('Données projet'!$B$9,Paramètres!$A$1:$I$89,3,0)*0.475*44/12</f>
        <v>19.679990311645909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93.213093100189383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581.88778927327667</v>
      </c>
      <c r="AO177" s="59">
        <f t="shared" si="144"/>
        <v>269.67340993773422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-6.7984728957526396E-14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300.80663531652721</v>
      </c>
      <c r="BJ177" s="59">
        <f t="shared" si="146"/>
        <v>306.01967513533549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14.464989429698564</v>
      </c>
      <c r="BQ177" s="21">
        <f>EXP(-LN(2)/25)*BQ176+(1-EXP(-LN(2)/25))/(LN(2)/25)*Calculateur!BL177*Calculateur!BN177*VLOOKUP('Données projet'!$B$11,Paramètres!$A$1:$I$89,3,0)*0.475*44/12</f>
        <v>3.632958476046428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18.097947905744991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6.2527760746888816E-13</v>
      </c>
      <c r="O178" s="13">
        <f>N178*VLOOKUP('Données projet'!$B$9,Paramètres!$A$1:$I$89,3,0)*VLOOKUP('Données projet'!$B$9,Paramètres!$A$1:$I$89,5,0)</f>
        <v>2.9262992029543964E-13</v>
      </c>
      <c r="P178" s="13">
        <f t="shared" si="141"/>
        <v>3.8796387982050903E-12</v>
      </c>
      <c r="Q178" s="20">
        <f t="shared" si="162"/>
        <v>7.2667013513884219E-12</v>
      </c>
      <c r="R178" s="59">
        <f t="shared" si="109"/>
        <v>293.33333333334059</v>
      </c>
      <c r="S178" s="59">
        <f ca="1">AVERAGE(OFFSET($R$3,0,0,'Données projet'!$E$9+1,1))-AVERAGE(OFFSET($H$3,0,0,'Données projet'!$E$9+1,1))</f>
        <v>333.20260838961286</v>
      </c>
      <c r="T178" s="59">
        <f t="shared" si="142"/>
        <v>274.05921873522806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72.091163493624194</v>
      </c>
      <c r="AA178" s="21">
        <f>EXP(-LN(2)/25)*AA177+(1-EXP(-LN(2)/25))/(LN(2)/25)*Calculateur!V178*Calculateur!X178*VLOOKUP('Données projet'!$B$9,Paramètres!$A$1:$I$89,3,0)*0.475*44/12</f>
        <v>19.141839941648239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91.233003435272437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581.88778927327667</v>
      </c>
      <c r="AO178" s="59">
        <f t="shared" si="144"/>
        <v>269.67340993773422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-6.7984728957526396E-14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300.80663531652721</v>
      </c>
      <c r="BJ178" s="59">
        <f t="shared" si="146"/>
        <v>306.01967513533549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14.181339809754551</v>
      </c>
      <c r="BQ178" s="21">
        <f>EXP(-LN(2)/25)*BQ177+(1-EXP(-LN(2)/25))/(LN(2)/25)*Calculateur!BL178*Calculateur!BN178*VLOOKUP('Données projet'!$B$11,Paramètres!$A$1:$I$89,3,0)*0.475*44/12</f>
        <v>3.5336150354699556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17.714954845224508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6.2527760746888816E-13</v>
      </c>
      <c r="O179" s="13">
        <f>N179*VLOOKUP('Données projet'!$B$9,Paramètres!$A$1:$I$89,3,0)*VLOOKUP('Données projet'!$B$9,Paramètres!$A$1:$I$89,5,0)</f>
        <v>2.9262992029543964E-13</v>
      </c>
      <c r="P179" s="13">
        <f t="shared" si="141"/>
        <v>3.8796387982050903E-12</v>
      </c>
      <c r="Q179" s="20">
        <f t="shared" si="162"/>
        <v>7.2667013513884219E-12</v>
      </c>
      <c r="R179" s="59">
        <f t="shared" si="109"/>
        <v>293.33333333334059</v>
      </c>
      <c r="S179" s="59">
        <f ca="1">AVERAGE(OFFSET($R$3,0,0,'Données projet'!$E$9+1,1))-AVERAGE(OFFSET($H$3,0,0,'Données projet'!$E$9+1,1))</f>
        <v>333.20260838961286</v>
      </c>
      <c r="T179" s="59">
        <f t="shared" si="142"/>
        <v>274.05921873522806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70.677499748782154</v>
      </c>
      <c r="AA179" s="21">
        <f>EXP(-LN(2)/25)*AA178+(1-EXP(-LN(2)/25))/(LN(2)/25)*Calculateur!V179*Calculateur!X179*VLOOKUP('Données projet'!$B$9,Paramètres!$A$1:$I$89,3,0)*0.475*44/12</f>
        <v>18.618405321818255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89.295905070600412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581.88778927327667</v>
      </c>
      <c r="AO179" s="59">
        <f t="shared" si="144"/>
        <v>269.67340993773422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-6.7984728957526396E-14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300.80663531652721</v>
      </c>
      <c r="BJ179" s="59">
        <f t="shared" si="146"/>
        <v>306.01967513533549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13.903252385848456</v>
      </c>
      <c r="BQ179" s="21">
        <f>EXP(-LN(2)/25)*BQ178+(1-EXP(-LN(2)/25))/(LN(2)/25)*Calculateur!BL179*Calculateur!BN179*VLOOKUP('Données projet'!$B$11,Paramètres!$A$1:$I$89,3,0)*0.475*44/12</f>
        <v>3.4369881465002909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17.340240532348748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6.2527760746888816E-13</v>
      </c>
      <c r="O180" s="13">
        <f>N180*VLOOKUP('Données projet'!$B$9,Paramètres!$A$1:$I$89,3,0)*VLOOKUP('Données projet'!$B$9,Paramètres!$A$1:$I$89,5,0)</f>
        <v>2.9262992029543964E-13</v>
      </c>
      <c r="P180" s="13">
        <f t="shared" si="141"/>
        <v>3.8796387982050903E-12</v>
      </c>
      <c r="Q180" s="20">
        <f t="shared" si="162"/>
        <v>7.2667013513884219E-12</v>
      </c>
      <c r="R180" s="59">
        <f t="shared" si="109"/>
        <v>293.33333333334059</v>
      </c>
      <c r="S180" s="59">
        <f ca="1">AVERAGE(OFFSET($R$3,0,0,'Données projet'!$E$9+1,1))-AVERAGE(OFFSET($H$3,0,0,'Données projet'!$E$9+1,1))</f>
        <v>333.20260838961286</v>
      </c>
      <c r="T180" s="59">
        <f t="shared" si="142"/>
        <v>274.05921873522806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69.291557087726716</v>
      </c>
      <c r="AA180" s="21">
        <f>EXP(-LN(2)/25)*AA179+(1-EXP(-LN(2)/25))/(LN(2)/25)*Calculateur!V180*Calculateur!X180*VLOOKUP('Données projet'!$B$9,Paramètres!$A$1:$I$89,3,0)*0.475*44/12</f>
        <v>18.10928404919375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87.400841136920462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581.88778927327667</v>
      </c>
      <c r="AO180" s="59">
        <f t="shared" si="144"/>
        <v>269.67340993773422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-6.7984728957526396E-14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300.80663531652721</v>
      </c>
      <c r="BJ180" s="59">
        <f t="shared" si="146"/>
        <v>306.01967513533549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13.630618086708578</v>
      </c>
      <c r="BQ180" s="21">
        <f>EXP(-LN(2)/25)*BQ179+(1-EXP(-LN(2)/25))/(LN(2)/25)*Calculateur!BL180*Calculateur!BN180*VLOOKUP('Données projet'!$B$11,Paramètres!$A$1:$I$89,3,0)*0.475*44/12</f>
        <v>3.3430035248908894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16.973621611599469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6.2527760746888816E-13</v>
      </c>
      <c r="O181" s="13">
        <f>N181*VLOOKUP('Données projet'!$B$9,Paramètres!$A$1:$I$89,3,0)*VLOOKUP('Données projet'!$B$9,Paramètres!$A$1:$I$89,5,0)</f>
        <v>2.9262992029543964E-13</v>
      </c>
      <c r="P181" s="13">
        <f t="shared" si="141"/>
        <v>3.8796387982050903E-12</v>
      </c>
      <c r="Q181" s="20">
        <f t="shared" si="162"/>
        <v>7.2667013513884219E-12</v>
      </c>
      <c r="R181" s="59">
        <f t="shared" si="109"/>
        <v>293.33333333334059</v>
      </c>
      <c r="S181" s="59">
        <f ca="1">AVERAGE(OFFSET($R$3,0,0,'Données projet'!$E$9+1,1))-AVERAGE(OFFSET($H$3,0,0,'Données projet'!$E$9+1,1))</f>
        <v>333.20260838961286</v>
      </c>
      <c r="T181" s="59">
        <f t="shared" si="142"/>
        <v>274.05921873522806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67.932791916913033</v>
      </c>
      <c r="AA181" s="21">
        <f>EXP(-LN(2)/25)*AA180+(1-EXP(-LN(2)/25))/(LN(2)/25)*Calculateur!V181*Calculateur!X181*VLOOKUP('Données projet'!$B$9,Paramètres!$A$1:$I$89,3,0)*0.475*44/12</f>
        <v>17.614084724542689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85.546876641455725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581.88778927327667</v>
      </c>
      <c r="AO181" s="59">
        <f t="shared" si="144"/>
        <v>269.67340993773422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-6.7984728957526396E-14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300.80663531652721</v>
      </c>
      <c r="BJ181" s="59">
        <f t="shared" si="146"/>
        <v>306.01967513533549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13.36332997988433</v>
      </c>
      <c r="BQ181" s="21">
        <f>EXP(-LN(2)/25)*BQ180+(1-EXP(-LN(2)/25))/(LN(2)/25)*Calculateur!BL181*Calculateur!BN181*VLOOKUP('Données projet'!$B$11,Paramètres!$A$1:$I$89,3,0)*0.475*44/12</f>
        <v>3.2515889177018331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16.614918897586165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6.2527760746888816E-13</v>
      </c>
      <c r="O182" s="13">
        <f>N182*VLOOKUP('Données projet'!$B$9,Paramètres!$A$1:$I$89,3,0)*VLOOKUP('Données projet'!$B$9,Paramètres!$A$1:$I$89,5,0)</f>
        <v>2.9262992029543964E-13</v>
      </c>
      <c r="P182" s="13">
        <f t="shared" si="141"/>
        <v>3.8796387982050903E-12</v>
      </c>
      <c r="Q182" s="20">
        <f t="shared" si="162"/>
        <v>7.2667013513884219E-12</v>
      </c>
      <c r="R182" s="59">
        <f t="shared" si="109"/>
        <v>293.33333333334059</v>
      </c>
      <c r="S182" s="59">
        <f ca="1">AVERAGE(OFFSET($R$3,0,0,'Données projet'!$E$9+1,1))-AVERAGE(OFFSET($H$3,0,0,'Données projet'!$E$9+1,1))</f>
        <v>333.20260838961286</v>
      </c>
      <c r="T182" s="59">
        <f t="shared" si="142"/>
        <v>274.05921873522806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66.600671302334078</v>
      </c>
      <c r="AA182" s="21">
        <f>EXP(-LN(2)/25)*AA181+(1-EXP(-LN(2)/25))/(LN(2)/25)*Calculateur!V182*Calculateur!X182*VLOOKUP('Données projet'!$B$9,Paramètres!$A$1:$I$89,3,0)*0.475*44/12</f>
        <v>17.132426651465611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83.733097953799685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581.88778927327667</v>
      </c>
      <c r="AO182" s="59">
        <f t="shared" si="144"/>
        <v>269.67340993773422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-6.7984728957526396E-14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300.80663531652721</v>
      </c>
      <c r="BJ182" s="59">
        <f t="shared" si="146"/>
        <v>306.01967513533549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13.10128322980526</v>
      </c>
      <c r="BQ182" s="21">
        <f>EXP(-LN(2)/25)*BQ181+(1-EXP(-LN(2)/25))/(LN(2)/25)*Calculateur!BL182*Calculateur!BN182*VLOOKUP('Données projet'!$B$11,Paramètres!$A$1:$I$89,3,0)*0.475*44/12</f>
        <v>3.1626740477536468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16.263957277558905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6.2527760746888816E-13</v>
      </c>
      <c r="O183" s="13">
        <f>N183*VLOOKUP('Données projet'!$B$9,Paramètres!$A$1:$I$89,3,0)*VLOOKUP('Données projet'!$B$9,Paramètres!$A$1:$I$89,5,0)</f>
        <v>2.9262992029543964E-13</v>
      </c>
      <c r="P183" s="13">
        <f t="shared" si="141"/>
        <v>3.8796387982050903E-12</v>
      </c>
      <c r="Q183" s="20">
        <f t="shared" si="162"/>
        <v>7.2667013513884219E-12</v>
      </c>
      <c r="R183" s="59">
        <f t="shared" si="109"/>
        <v>293.33333333334059</v>
      </c>
      <c r="S183" s="59">
        <f ca="1">AVERAGE(OFFSET($R$3,0,0,'Données projet'!$E$9+1,1))-AVERAGE(OFFSET($H$3,0,0,'Données projet'!$E$9+1,1))</f>
        <v>333.20260838961286</v>
      </c>
      <c r="T183" s="59">
        <f t="shared" si="142"/>
        <v>274.05921873522806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65.294672760493668</v>
      </c>
      <c r="AA183" s="21">
        <f>EXP(-LN(2)/25)*AA182+(1-EXP(-LN(2)/25))/(LN(2)/25)*Calculateur!V183*Calculateur!X183*VLOOKUP('Données projet'!$B$9,Paramètres!$A$1:$I$89,3,0)*0.475*44/12</f>
        <v>16.663939543726123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81.958612304219798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581.88778927327667</v>
      </c>
      <c r="AO183" s="59">
        <f t="shared" si="144"/>
        <v>269.67340993773422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-6.7984728957526396E-14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300.80663531652721</v>
      </c>
      <c r="BJ183" s="59">
        <f t="shared" si="146"/>
        <v>306.01967513533549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12.844375056662503</v>
      </c>
      <c r="BQ183" s="21">
        <f>EXP(-LN(2)/25)*BQ182+(1-EXP(-LN(2)/25))/(LN(2)/25)*Calculateur!BL183*Calculateur!BN183*VLOOKUP('Données projet'!$B$11,Paramètres!$A$1:$I$89,3,0)*0.475*44/12</f>
        <v>3.0761905596000236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15.920565616262527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6.2527760746888816E-13</v>
      </c>
      <c r="O184" s="13">
        <f>N184*VLOOKUP('Données projet'!$B$9,Paramètres!$A$1:$I$89,3,0)*VLOOKUP('Données projet'!$B$9,Paramètres!$A$1:$I$89,5,0)</f>
        <v>2.9262992029543964E-13</v>
      </c>
      <c r="P184" s="13">
        <f t="shared" si="141"/>
        <v>3.8796387982050903E-12</v>
      </c>
      <c r="Q184" s="20">
        <f t="shared" si="162"/>
        <v>7.2667013513884219E-12</v>
      </c>
      <c r="R184" s="59">
        <f t="shared" si="109"/>
        <v>293.33333333334059</v>
      </c>
      <c r="S184" s="59">
        <f ca="1">AVERAGE(OFFSET($R$3,0,0,'Données projet'!$E$9+1,1))-AVERAGE(OFFSET($H$3,0,0,'Données projet'!$E$9+1,1))</f>
        <v>333.20260838961286</v>
      </c>
      <c r="T184" s="59">
        <f t="shared" si="142"/>
        <v>274.05921873522806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64.014284053478292</v>
      </c>
      <c r="AA184" s="21">
        <f>EXP(-LN(2)/25)*AA183+(1-EXP(-LN(2)/25))/(LN(2)/25)*Calculateur!V184*Calculateur!X184*VLOOKUP('Données projet'!$B$9,Paramètres!$A$1:$I$89,3,0)*0.475*44/12</f>
        <v>16.208263240584436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80.222547294062736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581.88778927327667</v>
      </c>
      <c r="AO184" s="59">
        <f t="shared" si="144"/>
        <v>269.67340993773422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-6.7984728957526396E-14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300.80663531652721</v>
      </c>
      <c r="BJ184" s="59">
        <f t="shared" si="146"/>
        <v>306.01967513533549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12.592504696096563</v>
      </c>
      <c r="BQ184" s="21">
        <f>EXP(-LN(2)/25)*BQ183+(1-EXP(-LN(2)/25))/(LN(2)/25)*Calculateur!BL184*Calculateur!BN184*VLOOKUP('Données projet'!$B$11,Paramètres!$A$1:$I$89,3,0)*0.475*44/12</f>
        <v>2.9920719669779303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15.584576663074493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6.2527760746888816E-13</v>
      </c>
      <c r="O185" s="13">
        <f>N185*VLOOKUP('Données projet'!$B$9,Paramètres!$A$1:$I$89,3,0)*VLOOKUP('Données projet'!$B$9,Paramètres!$A$1:$I$89,5,0)</f>
        <v>2.9262992029543964E-13</v>
      </c>
      <c r="P185" s="13">
        <f t="shared" si="141"/>
        <v>3.8796387982050903E-12</v>
      </c>
      <c r="Q185" s="20">
        <f t="shared" si="162"/>
        <v>7.2667013513884219E-12</v>
      </c>
      <c r="R185" s="59">
        <f t="shared" si="109"/>
        <v>293.33333333334059</v>
      </c>
      <c r="S185" s="59">
        <f ca="1">AVERAGE(OFFSET($R$3,0,0,'Données projet'!$E$9+1,1))-AVERAGE(OFFSET($H$3,0,0,'Données projet'!$E$9+1,1))</f>
        <v>333.20260838961286</v>
      </c>
      <c r="T185" s="59">
        <f t="shared" si="142"/>
        <v>274.05921873522806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62.759002988047499</v>
      </c>
      <c r="AA185" s="21">
        <f>EXP(-LN(2)/25)*AA184+(1-EXP(-LN(2)/25))/(LN(2)/25)*Calculateur!V185*Calculateur!X185*VLOOKUP('Données projet'!$B$9,Paramètres!$A$1:$I$89,3,0)*0.475*44/12</f>
        <v>15.765047429915136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78.524050417962627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581.88778927327667</v>
      </c>
      <c r="AO185" s="59">
        <f t="shared" si="144"/>
        <v>269.67340993773422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-6.7984728957526396E-14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300.80663531652721</v>
      </c>
      <c r="BJ185" s="59">
        <f t="shared" si="146"/>
        <v>306.01967513533549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12.345573359675571</v>
      </c>
      <c r="BQ185" s="21">
        <f>EXP(-LN(2)/25)*BQ184+(1-EXP(-LN(2)/25))/(LN(2)/25)*Calculateur!BL185*Calculateur!BN185*VLOOKUP('Données projet'!$B$11,Paramètres!$A$1:$I$89,3,0)*0.475*44/12</f>
        <v>2.9102536016946927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15.255826961370264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6.2527760746888816E-13</v>
      </c>
      <c r="O186" s="13">
        <f>N186*VLOOKUP('Données projet'!$B$9,Paramètres!$A$1:$I$89,3,0)*VLOOKUP('Données projet'!$B$9,Paramètres!$A$1:$I$89,5,0)</f>
        <v>2.9262992029543964E-13</v>
      </c>
      <c r="P186" s="13">
        <f t="shared" si="141"/>
        <v>3.8796387982050903E-12</v>
      </c>
      <c r="Q186" s="20">
        <f t="shared" si="162"/>
        <v>7.2667013513884219E-12</v>
      </c>
      <c r="R186" s="59">
        <f t="shared" si="109"/>
        <v>293.33333333334059</v>
      </c>
      <c r="S186" s="59">
        <f ca="1">AVERAGE(OFFSET($R$3,0,0,'Données projet'!$E$9+1,1))-AVERAGE(OFFSET($H$3,0,0,'Données projet'!$E$9+1,1))</f>
        <v>333.20260838961286</v>
      </c>
      <c r="T186" s="59">
        <f t="shared" si="142"/>
        <v>274.05921873522806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61.52833721866395</v>
      </c>
      <c r="AA186" s="21">
        <f>EXP(-LN(2)/25)*AA185+(1-EXP(-LN(2)/25))/(LN(2)/25)*Calculateur!V186*Calculateur!X186*VLOOKUP('Données projet'!$B$9,Paramètres!$A$1:$I$89,3,0)*0.475*44/12</f>
        <v>15.333951378896293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76.862288597560237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581.88778927327667</v>
      </c>
      <c r="AO186" s="59">
        <f t="shared" si="144"/>
        <v>269.67340993773422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-6.7984728957526396E-14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300.80663531652721</v>
      </c>
      <c r="BJ186" s="59">
        <f t="shared" si="146"/>
        <v>306.01967513533549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12.103484196148552</v>
      </c>
      <c r="BQ186" s="21">
        <f>EXP(-LN(2)/25)*BQ185+(1-EXP(-LN(2)/25))/(LN(2)/25)*Calculateur!BL186*Calculateur!BN186*VLOOKUP('Données projet'!$B$11,Paramètres!$A$1:$I$89,3,0)*0.475*44/12</f>
        <v>2.8306725639127661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14.934156760061317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6.2527760746888816E-13</v>
      </c>
      <c r="O187" s="13">
        <f>N187*VLOOKUP('Données projet'!$B$9,Paramètres!$A$1:$I$89,3,0)*VLOOKUP('Données projet'!$B$9,Paramètres!$A$1:$I$89,5,0)</f>
        <v>2.9262992029543964E-13</v>
      </c>
      <c r="P187" s="13">
        <f t="shared" si="141"/>
        <v>3.8796387982050903E-12</v>
      </c>
      <c r="Q187" s="20">
        <f t="shared" si="162"/>
        <v>7.2667013513884219E-12</v>
      </c>
      <c r="R187" s="59">
        <f t="shared" si="109"/>
        <v>293.33333333334059</v>
      </c>
      <c r="S187" s="59">
        <f ca="1">AVERAGE(OFFSET($R$3,0,0,'Données projet'!$E$9+1,1))-AVERAGE(OFFSET($H$3,0,0,'Données projet'!$E$9+1,1))</f>
        <v>333.20260838961286</v>
      </c>
      <c r="T187" s="59">
        <f t="shared" si="142"/>
        <v>274.05921873522806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60.321804054386014</v>
      </c>
      <c r="AA187" s="21">
        <f>EXP(-LN(2)/25)*AA186+(1-EXP(-LN(2)/25))/(LN(2)/25)*Calculateur!V187*Calculateur!X187*VLOOKUP('Données projet'!$B$9,Paramètres!$A$1:$I$89,3,0)*0.475*44/12</f>
        <v>14.914643672062917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75.23644772644893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581.88778927327667</v>
      </c>
      <c r="AO187" s="59">
        <f t="shared" si="144"/>
        <v>269.67340993773422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-6.7984728957526396E-14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300.80663531652721</v>
      </c>
      <c r="BJ187" s="59">
        <f t="shared" si="146"/>
        <v>306.01967513533549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11.866142253458486</v>
      </c>
      <c r="BQ187" s="21">
        <f>EXP(-LN(2)/25)*BQ186+(1-EXP(-LN(2)/25))/(LN(2)/25)*Calculateur!BL187*Calculateur!BN187*VLOOKUP('Données projet'!$B$11,Paramètres!$A$1:$I$89,3,0)*0.475*44/12</f>
        <v>2.753267673793971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14.619409927252457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6.2527760746888816E-13</v>
      </c>
      <c r="O188" s="13">
        <f>N188*VLOOKUP('Données projet'!$B$9,Paramètres!$A$1:$I$89,3,0)*VLOOKUP('Données projet'!$B$9,Paramètres!$A$1:$I$89,5,0)</f>
        <v>2.9262992029543964E-13</v>
      </c>
      <c r="P188" s="13">
        <f t="shared" si="141"/>
        <v>3.8796387982050903E-12</v>
      </c>
      <c r="Q188" s="20">
        <f t="shared" si="162"/>
        <v>7.2667013513884219E-12</v>
      </c>
      <c r="R188" s="59">
        <f t="shared" si="109"/>
        <v>293.33333333334059</v>
      </c>
      <c r="S188" s="59">
        <f ca="1">AVERAGE(OFFSET($R$3,0,0,'Données projet'!$E$9+1,1))-AVERAGE(OFFSET($H$3,0,0,'Données projet'!$E$9+1,1))</f>
        <v>333.20260838961286</v>
      </c>
      <c r="T188" s="59">
        <f t="shared" si="142"/>
        <v>274.05921873522806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59.138930269547004</v>
      </c>
      <c r="AA188" s="21">
        <f>EXP(-LN(2)/25)*AA187+(1-EXP(-LN(2)/25))/(LN(2)/25)*Calculateur!V188*Calculateur!X188*VLOOKUP('Données projet'!$B$9,Paramètres!$A$1:$I$89,3,0)*0.475*44/12</f>
        <v>14.506801956523335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73.645732226070336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581.88778927327667</v>
      </c>
      <c r="AO188" s="59">
        <f t="shared" si="144"/>
        <v>269.67340993773422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-6.7984728957526396E-14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300.80663531652721</v>
      </c>
      <c r="BJ188" s="59">
        <f t="shared" si="146"/>
        <v>306.01967513533549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11.633454441500284</v>
      </c>
      <c r="BQ188" s="21">
        <f>EXP(-LN(2)/25)*BQ187+(1-EXP(-LN(2)/25))/(LN(2)/25)*Calculateur!BL188*Calculateur!BN188*VLOOKUP('Données projet'!$B$11,Paramètres!$A$1:$I$89,3,0)*0.475*44/12</f>
        <v>2.6779794244660207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14.311433865966304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6.2527760746888816E-13</v>
      </c>
      <c r="O189" s="13">
        <f>N189*VLOOKUP('Données projet'!$B$9,Paramètres!$A$1:$I$89,3,0)*VLOOKUP('Données projet'!$B$9,Paramètres!$A$1:$I$89,5,0)</f>
        <v>2.9262992029543964E-13</v>
      </c>
      <c r="P189" s="13">
        <f t="shared" si="141"/>
        <v>3.8796387982050903E-12</v>
      </c>
      <c r="Q189" s="20">
        <f t="shared" si="162"/>
        <v>7.2667013513884219E-12</v>
      </c>
      <c r="R189" s="59">
        <f t="shared" si="109"/>
        <v>293.33333333334059</v>
      </c>
      <c r="S189" s="59">
        <f ca="1">AVERAGE(OFFSET($R$3,0,0,'Données projet'!$E$9+1,1))-AVERAGE(OFFSET($H$3,0,0,'Données projet'!$E$9+1,1))</f>
        <v>333.20260838961286</v>
      </c>
      <c r="T189" s="59">
        <f t="shared" si="142"/>
        <v>274.05921873522806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57.979251918146915</v>
      </c>
      <c r="AA189" s="21">
        <f>EXP(-LN(2)/25)*AA188+(1-EXP(-LN(2)/25))/(LN(2)/25)*Calculateur!V189*Calculateur!X189*VLOOKUP('Données projet'!$B$9,Paramètres!$A$1:$I$89,3,0)*0.475*44/12</f>
        <v>14.110112694142645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72.089364612289557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581.88778927327667</v>
      </c>
      <c r="AO189" s="59">
        <f t="shared" si="144"/>
        <v>269.67340993773422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-6.7984728957526396E-14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300.80663531652721</v>
      </c>
      <c r="BJ189" s="59">
        <f t="shared" si="146"/>
        <v>306.01967513533549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11.405329495609029</v>
      </c>
      <c r="BQ189" s="21">
        <f>EXP(-LN(2)/25)*BQ188+(1-EXP(-LN(2)/25))/(LN(2)/25)*Calculateur!BL189*Calculateur!BN189*VLOOKUP('Données projet'!$B$11,Paramètres!$A$1:$I$89,3,0)*0.475*44/12</f>
        <v>2.60474993627518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14.010079431884209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6.2527760746888816E-13</v>
      </c>
      <c r="O190" s="13">
        <f>N190*VLOOKUP('Données projet'!$B$9,Paramètres!$A$1:$I$89,3,0)*VLOOKUP('Données projet'!$B$9,Paramètres!$A$1:$I$89,5,0)</f>
        <v>2.9262992029543964E-13</v>
      </c>
      <c r="P190" s="13">
        <f t="shared" si="141"/>
        <v>3.8796387982050903E-12</v>
      </c>
      <c r="Q190" s="20">
        <f t="shared" si="162"/>
        <v>7.2667013513884219E-12</v>
      </c>
      <c r="R190" s="59">
        <f t="shared" si="109"/>
        <v>293.33333333334059</v>
      </c>
      <c r="S190" s="59">
        <f ca="1">AVERAGE(OFFSET($R$3,0,0,'Données projet'!$E$9+1,1))-AVERAGE(OFFSET($H$3,0,0,'Données projet'!$E$9+1,1))</f>
        <v>333.20260838961286</v>
      </c>
      <c r="T190" s="59">
        <f t="shared" si="142"/>
        <v>274.05921873522806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56.842314151883834</v>
      </c>
      <c r="AA190" s="21">
        <f>EXP(-LN(2)/25)*AA189+(1-EXP(-LN(2)/25))/(LN(2)/25)*Calculateur!V190*Calculateur!X190*VLOOKUP('Données projet'!$B$9,Paramètres!$A$1:$I$89,3,0)*0.475*44/12</f>
        <v>13.724270920502736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70.566585072386573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581.88778927327667</v>
      </c>
      <c r="AO190" s="59">
        <f t="shared" si="144"/>
        <v>269.67340993773422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-6.7984728957526396E-14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300.80663531652721</v>
      </c>
      <c r="BJ190" s="59">
        <f t="shared" si="146"/>
        <v>306.01967513533549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11.181677940764224</v>
      </c>
      <c r="BQ190" s="21">
        <f>EXP(-LN(2)/25)*BQ189+(1-EXP(-LN(2)/25))/(LN(2)/25)*Calculateur!BL190*Calculateur!BN190*VLOOKUP('Données projet'!$B$11,Paramètres!$A$1:$I$89,3,0)*0.475*44/12</f>
        <v>2.5335229122898895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13.715200853054114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6.2527760746888816E-13</v>
      </c>
      <c r="O191" s="13">
        <f>N191*VLOOKUP('Données projet'!$B$9,Paramètres!$A$1:$I$89,3,0)*VLOOKUP('Données projet'!$B$9,Paramètres!$A$1:$I$89,5,0)</f>
        <v>2.9262992029543964E-13</v>
      </c>
      <c r="P191" s="13">
        <f t="shared" si="141"/>
        <v>3.8796387982050903E-12</v>
      </c>
      <c r="Q191" s="20">
        <f t="shared" si="162"/>
        <v>7.2667013513884219E-12</v>
      </c>
      <c r="R191" s="59">
        <f t="shared" si="109"/>
        <v>293.33333333334059</v>
      </c>
      <c r="S191" s="59">
        <f ca="1">AVERAGE(OFFSET($R$3,0,0,'Données projet'!$E$9+1,1))-AVERAGE(OFFSET($H$3,0,0,'Données projet'!$E$9+1,1))</f>
        <v>333.20260838961286</v>
      </c>
      <c r="T191" s="59">
        <f t="shared" si="142"/>
        <v>274.05921873522806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55.727671041753609</v>
      </c>
      <c r="AA191" s="21">
        <f>EXP(-LN(2)/25)*AA190+(1-EXP(-LN(2)/25))/(LN(2)/25)*Calculateur!V191*Calculateur!X191*VLOOKUP('Données projet'!$B$9,Paramètres!$A$1:$I$89,3,0)*0.475*44/12</f>
        <v>13.348980010453548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69.076651052207154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581.88778927327667</v>
      </c>
      <c r="AO191" s="59">
        <f t="shared" si="144"/>
        <v>269.67340993773422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-6.7984728957526396E-14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300.80663531652721</v>
      </c>
      <c r="BJ191" s="59">
        <f t="shared" si="146"/>
        <v>306.01967513533549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10.962412056495948</v>
      </c>
      <c r="BQ191" s="21">
        <f>EXP(-LN(2)/25)*BQ190+(1-EXP(-LN(2)/25))/(LN(2)/25)*Calculateur!BL191*Calculateur!BN191*VLOOKUP('Données projet'!$B$11,Paramètres!$A$1:$I$89,3,0)*0.475*44/12</f>
        <v>2.4642435950211428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13.426655651517091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6.2527760746888816E-13</v>
      </c>
      <c r="O192" s="13">
        <f>N192*VLOOKUP('Données projet'!$B$9,Paramètres!$A$1:$I$89,3,0)*VLOOKUP('Données projet'!$B$9,Paramètres!$A$1:$I$89,5,0)</f>
        <v>2.9262992029543964E-13</v>
      </c>
      <c r="P192" s="13">
        <f t="shared" si="141"/>
        <v>3.8796387982050903E-12</v>
      </c>
      <c r="Q192" s="20">
        <f t="shared" si="162"/>
        <v>7.2667013513884219E-12</v>
      </c>
      <c r="R192" s="59">
        <f t="shared" si="109"/>
        <v>293.33333333334059</v>
      </c>
      <c r="S192" s="59">
        <f ca="1">AVERAGE(OFFSET($R$3,0,0,'Données projet'!$E$9+1,1))-AVERAGE(OFFSET($H$3,0,0,'Données projet'!$E$9+1,1))</f>
        <v>333.20260838961286</v>
      </c>
      <c r="T192" s="59">
        <f t="shared" si="142"/>
        <v>274.05921873522806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54.634885403147869</v>
      </c>
      <c r="AA192" s="21">
        <f>EXP(-LN(2)/25)*AA191+(1-EXP(-LN(2)/25))/(LN(2)/25)*Calculateur!V192*Calculateur!X192*VLOOKUP('Données projet'!$B$9,Paramètres!$A$1:$I$89,3,0)*0.475*44/12</f>
        <v>12.983951450075347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67.618836853223215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581.88778927327667</v>
      </c>
      <c r="AO192" s="59">
        <f t="shared" si="144"/>
        <v>269.67340993773422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-6.7984728957526396E-14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300.80663531652721</v>
      </c>
      <c r="BJ192" s="59">
        <f t="shared" si="146"/>
        <v>306.01967513533549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10.747445842479189</v>
      </c>
      <c r="BQ192" s="21">
        <f>EXP(-LN(2)/25)*BQ191+(1-EXP(-LN(2)/25))/(LN(2)/25)*Calculateur!BL192*Calculateur!BN192*VLOOKUP('Données projet'!$B$11,Paramètres!$A$1:$I$89,3,0)*0.475*44/12</f>
        <v>2.3968587243263513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13.144304566805541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6.2527760746888816E-13</v>
      </c>
      <c r="O193" s="13">
        <f>N193*VLOOKUP('Données projet'!$B$9,Paramètres!$A$1:$I$89,3,0)*VLOOKUP('Données projet'!$B$9,Paramètres!$A$1:$I$89,5,0)</f>
        <v>2.9262992029543964E-13</v>
      </c>
      <c r="P193" s="13">
        <f t="shared" si="141"/>
        <v>3.8796387982050903E-12</v>
      </c>
      <c r="Q193" s="20">
        <f t="shared" si="162"/>
        <v>7.2667013513884219E-12</v>
      </c>
      <c r="R193" s="59">
        <f t="shared" si="109"/>
        <v>293.33333333334059</v>
      </c>
      <c r="S193" s="59">
        <f ca="1">AVERAGE(OFFSET($R$3,0,0,'Données projet'!$E$9+1,1))-AVERAGE(OFFSET($H$3,0,0,'Données projet'!$E$9+1,1))</f>
        <v>333.20260838961286</v>
      </c>
      <c r="T193" s="59">
        <f t="shared" si="142"/>
        <v>274.05921873522806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53.563528624381767</v>
      </c>
      <c r="AA193" s="21">
        <f>EXP(-LN(2)/25)*AA192+(1-EXP(-LN(2)/25))/(LN(2)/25)*Calculateur!V193*Calculateur!X193*VLOOKUP('Données projet'!$B$9,Paramètres!$A$1:$I$89,3,0)*0.475*44/12</f>
        <v>12.628904614876705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66.192433239258477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581.88778927327667</v>
      </c>
      <c r="AO193" s="59">
        <f t="shared" si="144"/>
        <v>269.67340993773422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-6.7984728957526396E-14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300.80663531652721</v>
      </c>
      <c r="BJ193" s="59">
        <f t="shared" si="146"/>
        <v>306.01967513533549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10.536694984802855</v>
      </c>
      <c r="BQ193" s="21">
        <f>EXP(-LN(2)/25)*BQ192+(1-EXP(-LN(2)/25))/(LN(2)/25)*Calculateur!BL193*Calculateur!BN193*VLOOKUP('Données projet'!$B$11,Paramètres!$A$1:$I$89,3,0)*0.475*44/12</f>
        <v>2.3313164964643249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12.86801148126718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6.2527760746888816E-13</v>
      </c>
      <c r="O194" s="13">
        <f>N194*VLOOKUP('Données projet'!$B$9,Paramètres!$A$1:$I$89,3,0)*VLOOKUP('Données projet'!$B$9,Paramètres!$A$1:$I$89,5,0)</f>
        <v>2.9262992029543964E-13</v>
      </c>
      <c r="P194" s="13">
        <f t="shared" si="141"/>
        <v>3.8796387982050903E-12</v>
      </c>
      <c r="Q194" s="20">
        <f t="shared" si="162"/>
        <v>7.2667013513884219E-12</v>
      </c>
      <c r="R194" s="59">
        <f t="shared" si="109"/>
        <v>293.33333333334059</v>
      </c>
      <c r="S194" s="59">
        <f ca="1">AVERAGE(OFFSET($R$3,0,0,'Données projet'!$E$9+1,1))-AVERAGE(OFFSET($H$3,0,0,'Données projet'!$E$9+1,1))</f>
        <v>333.20260838961286</v>
      </c>
      <c r="T194" s="59">
        <f t="shared" si="142"/>
        <v>274.05921873522806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52.513180498584155</v>
      </c>
      <c r="AA194" s="21">
        <f>EXP(-LN(2)/25)*AA193+(1-EXP(-LN(2)/25))/(LN(2)/25)*Calculateur!V194*Calculateur!X194*VLOOKUP('Données projet'!$B$9,Paramètres!$A$1:$I$89,3,0)*0.475*44/12</f>
        <v>12.283566554057671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64.79674705264182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581.88778927327667</v>
      </c>
      <c r="AO194" s="59">
        <f t="shared" si="144"/>
        <v>269.67340993773422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-6.7984728957526396E-14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300.80663531652721</v>
      </c>
      <c r="BJ194" s="59">
        <f t="shared" si="146"/>
        <v>306.01967513533549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10.330076822900223</v>
      </c>
      <c r="BQ194" s="21">
        <f>EXP(-LN(2)/25)*BQ193+(1-EXP(-LN(2)/25))/(LN(2)/25)*Calculateur!BL194*Calculateur!BN194*VLOOKUP('Données projet'!$B$11,Paramètres!$A$1:$I$89,3,0)*0.475*44/12</f>
        <v>2.2675665242699017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12.597643347170123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6.2527760746888816E-13</v>
      </c>
      <c r="O195" s="13">
        <f>N195*VLOOKUP('Données projet'!$B$9,Paramètres!$A$1:$I$89,3,0)*VLOOKUP('Données projet'!$B$9,Paramètres!$A$1:$I$89,5,0)</f>
        <v>2.9262992029543964E-13</v>
      </c>
      <c r="P195" s="13">
        <f t="shared" si="141"/>
        <v>3.8796387982050903E-12</v>
      </c>
      <c r="Q195" s="20">
        <f t="shared" si="162"/>
        <v>7.2667013513884219E-12</v>
      </c>
      <c r="R195" s="59">
        <f t="shared" ref="R195:R203" si="191">Q195+(I195+J195)*44/12</f>
        <v>293.33333333334059</v>
      </c>
      <c r="S195" s="59">
        <f ca="1">AVERAGE(OFFSET($R$3,0,0,'Données projet'!$E$9+1,1))-AVERAGE(OFFSET($H$3,0,0,'Données projet'!$E$9+1,1))</f>
        <v>333.20260838961286</v>
      </c>
      <c r="T195" s="59">
        <f t="shared" si="142"/>
        <v>274.05921873522806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51.48342905888434</v>
      </c>
      <c r="AA195" s="21">
        <f>EXP(-LN(2)/25)*AA194+(1-EXP(-LN(2)/25))/(LN(2)/25)*Calculateur!V195*Calculateur!X195*VLOOKUP('Données projet'!$B$9,Paramètres!$A$1:$I$89,3,0)*0.475*44/12</f>
        <v>11.947671780672273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63.431100839556613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581.88778927327667</v>
      </c>
      <c r="AO195" s="59">
        <f t="shared" si="144"/>
        <v>269.67340993773422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-6.7984728957526396E-14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300.80663531652721</v>
      </c>
      <c r="BJ195" s="59">
        <f t="shared" si="146"/>
        <v>306.01967513533549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10.127510317127866</v>
      </c>
      <c r="BQ195" s="21">
        <f>EXP(-LN(2)/25)*BQ194+(1-EXP(-LN(2)/25))/(LN(2)/25)*Calculateur!BL195*Calculateur!BN195*VLOOKUP('Données projet'!$B$11,Paramètres!$A$1:$I$89,3,0)*0.475*44/12</f>
        <v>2.2055597984176005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12.333070115545468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6.2527760746888816E-13</v>
      </c>
      <c r="O196" s="13">
        <f>N196*VLOOKUP('Données projet'!$B$9,Paramètres!$A$1:$I$89,3,0)*VLOOKUP('Données projet'!$B$9,Paramètres!$A$1:$I$89,5,0)</f>
        <v>2.9262992029543964E-13</v>
      </c>
      <c r="P196" s="13">
        <f t="shared" si="141"/>
        <v>3.8796387982050903E-12</v>
      </c>
      <c r="Q196" s="20">
        <f t="shared" si="162"/>
        <v>7.2667013513884219E-12</v>
      </c>
      <c r="R196" s="59">
        <f t="shared" si="191"/>
        <v>293.33333333334059</v>
      </c>
      <c r="S196" s="59">
        <f ca="1">AVERAGE(OFFSET($R$3,0,0,'Données projet'!$E$9+1,1))-AVERAGE(OFFSET($H$3,0,0,'Données projet'!$E$9+1,1))</f>
        <v>333.20260838961286</v>
      </c>
      <c r="T196" s="59">
        <f t="shared" si="142"/>
        <v>274.05921873522806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50.473870416830678</v>
      </c>
      <c r="AA196" s="21">
        <f>EXP(-LN(2)/25)*AA195+(1-EXP(-LN(2)/25))/(LN(2)/25)*Calculateur!V196*Calculateur!X196*VLOOKUP('Données projet'!$B$9,Paramètres!$A$1:$I$89,3,0)*0.475*44/12</f>
        <v>11.620962067529037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62.094832484359713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581.88778927327667</v>
      </c>
      <c r="AO196" s="59">
        <f t="shared" si="144"/>
        <v>269.67340993773422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-6.7984728957526396E-14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300.80663531652721</v>
      </c>
      <c r="BJ196" s="59">
        <f t="shared" si="146"/>
        <v>306.01967513533549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9.9289160169803363</v>
      </c>
      <c r="BQ196" s="21">
        <f>EXP(-LN(2)/25)*BQ195+(1-EXP(-LN(2)/25))/(LN(2)/25)*Calculateur!BL196*Calculateur!BN196*VLOOKUP('Données projet'!$B$11,Paramètres!$A$1:$I$89,3,0)*0.475*44/12</f>
        <v>2.1452486497445222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12.074164666724858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6.2527760746888816E-13</v>
      </c>
      <c r="O197" s="13">
        <f>N197*VLOOKUP('Données projet'!$B$9,Paramètres!$A$1:$I$89,3,0)*VLOOKUP('Données projet'!$B$9,Paramètres!$A$1:$I$89,5,0)</f>
        <v>2.9262992029543964E-13</v>
      </c>
      <c r="P197" s="13">
        <f t="shared" ref="P197:P203" si="203">EXP(-1.0587+0.8836*LN(O197)+0.284)</f>
        <v>3.8796387982050903E-12</v>
      </c>
      <c r="Q197" s="20">
        <f t="shared" si="162"/>
        <v>7.2667013513884219E-12</v>
      </c>
      <c r="R197" s="59">
        <f t="shared" si="191"/>
        <v>293.33333333334059</v>
      </c>
      <c r="S197" s="59">
        <f ca="1">AVERAGE(OFFSET($R$3,0,0,'Données projet'!$E$9+1,1))-AVERAGE(OFFSET($H$3,0,0,'Données projet'!$E$9+1,1))</f>
        <v>333.20260838961286</v>
      </c>
      <c r="T197" s="59">
        <f t="shared" ref="T197:T203" si="204">$T$3</f>
        <v>274.05921873522806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49.484108603977717</v>
      </c>
      <c r="AA197" s="21">
        <f>EXP(-LN(2)/25)*AA196+(1-EXP(-LN(2)/25))/(LN(2)/25)*Calculateur!V197*Calculateur!X197*VLOOKUP('Données projet'!$B$9,Paramètres!$A$1:$I$89,3,0)*0.475*44/12</f>
        <v>11.30318624867262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60.787294852650334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581.88778927327667</v>
      </c>
      <c r="AO197" s="59">
        <f t="shared" ref="AO197:AO203" si="205">$AO$3</f>
        <v>269.67340993773422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-6.7984728957526396E-14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300.80663531652721</v>
      </c>
      <c r="BJ197" s="59">
        <f t="shared" ref="BJ197:BJ203" si="206">$BJ$3</f>
        <v>306.01967513533549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9.7342160299281382</v>
      </c>
      <c r="BQ197" s="21">
        <f>EXP(-LN(2)/25)*BQ196+(1-EXP(-LN(2)/25))/(LN(2)/25)*Calculateur!BL197*Calculateur!BN197*VLOOKUP('Données projet'!$B$11,Paramètres!$A$1:$I$89,3,0)*0.475*44/12</f>
        <v>2.0865867126035349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11.820802742531672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6.2527760746888816E-13</v>
      </c>
      <c r="O198" s="13">
        <f>N198*VLOOKUP('Données projet'!$B$9,Paramètres!$A$1:$I$89,3,0)*VLOOKUP('Données projet'!$B$9,Paramètres!$A$1:$I$89,5,0)</f>
        <v>2.9262992029543964E-13</v>
      </c>
      <c r="P198" s="13">
        <f t="shared" si="203"/>
        <v>3.8796387982050903E-12</v>
      </c>
      <c r="Q198" s="20">
        <f t="shared" si="162"/>
        <v>7.2667013513884219E-12</v>
      </c>
      <c r="R198" s="59">
        <f t="shared" si="191"/>
        <v>293.33333333334059</v>
      </c>
      <c r="S198" s="59">
        <f ca="1">AVERAGE(OFFSET($R$3,0,0,'Données projet'!$E$9+1,1))-AVERAGE(OFFSET($H$3,0,0,'Données projet'!$E$9+1,1))</f>
        <v>333.20260838961286</v>
      </c>
      <c r="T198" s="59">
        <f t="shared" si="204"/>
        <v>274.05921873522806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48.513755416579706</v>
      </c>
      <c r="AA198" s="21">
        <f>EXP(-LN(2)/25)*AA197+(1-EXP(-LN(2)/25))/(LN(2)/25)*Calculateur!V198*Calculateur!X198*VLOOKUP('Données projet'!$B$9,Paramètres!$A$1:$I$89,3,0)*0.475*44/12</f>
        <v>10.994100026293937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59.507855442873641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581.88778927327667</v>
      </c>
      <c r="AO198" s="59">
        <f t="shared" si="205"/>
        <v>269.67340993773422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-6.7984728957526396E-14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300.80663531652721</v>
      </c>
      <c r="BJ198" s="59">
        <f t="shared" si="206"/>
        <v>306.01967513533549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9.5433339908667669</v>
      </c>
      <c r="BQ198" s="21">
        <f>EXP(-LN(2)/25)*BQ197+(1-EXP(-LN(2)/25))/(LN(2)/25)*Calculateur!BL198*Calculateur!BN198*VLOOKUP('Données projet'!$B$11,Paramètres!$A$1:$I$89,3,0)*0.475*44/12</f>
        <v>2.029528889218565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11.572862880085331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6.2527760746888816E-13</v>
      </c>
      <c r="O199" s="13">
        <f>N199*VLOOKUP('Données projet'!$B$9,Paramètres!$A$1:$I$89,3,0)*VLOOKUP('Données projet'!$B$9,Paramètres!$A$1:$I$89,5,0)</f>
        <v>2.9262992029543964E-13</v>
      </c>
      <c r="P199" s="13">
        <f t="shared" si="203"/>
        <v>3.8796387982050903E-12</v>
      </c>
      <c r="Q199" s="20">
        <f t="shared" si="162"/>
        <v>7.2667013513884219E-12</v>
      </c>
      <c r="R199" s="59">
        <f t="shared" si="191"/>
        <v>293.33333333334059</v>
      </c>
      <c r="S199" s="59">
        <f ca="1">AVERAGE(OFFSET($R$3,0,0,'Données projet'!$E$9+1,1))-AVERAGE(OFFSET($H$3,0,0,'Données projet'!$E$9+1,1))</f>
        <v>333.20260838961286</v>
      </c>
      <c r="T199" s="59">
        <f t="shared" si="204"/>
        <v>274.05921873522806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47.562430263329567</v>
      </c>
      <c r="AA199" s="21">
        <f>EXP(-LN(2)/25)*AA198+(1-EXP(-LN(2)/25))/(LN(2)/25)*Calculateur!V199*Calculateur!X199*VLOOKUP('Données projet'!$B$9,Paramètres!$A$1:$I$89,3,0)*0.475*44/12</f>
        <v>10.693465782920336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58.255896046249902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581.88778927327667</v>
      </c>
      <c r="AO199" s="59">
        <f t="shared" si="205"/>
        <v>269.67340993773422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-6.7984728957526396E-14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300.80663531652721</v>
      </c>
      <c r="BJ199" s="59">
        <f t="shared" si="206"/>
        <v>306.01967513533549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9.3561950321648428</v>
      </c>
      <c r="BQ199" s="21">
        <f>EXP(-LN(2)/25)*BQ198+(1-EXP(-LN(2)/25))/(LN(2)/25)*Calculateur!BL199*Calculateur!BN199*VLOOKUP('Données projet'!$B$11,Paramètres!$A$1:$I$89,3,0)*0.475*44/12</f>
        <v>1.9740313150145976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11.33022634717944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6.2527760746888816E-13</v>
      </c>
      <c r="O200" s="13">
        <f>N200*VLOOKUP('Données projet'!$B$9,Paramètres!$A$1:$I$89,3,0)*VLOOKUP('Données projet'!$B$9,Paramètres!$A$1:$I$89,5,0)</f>
        <v>2.9262992029543964E-13</v>
      </c>
      <c r="P200" s="13">
        <f t="shared" si="203"/>
        <v>3.8796387982050903E-12</v>
      </c>
      <c r="Q200" s="20">
        <f t="shared" si="162"/>
        <v>7.2667013513884219E-12</v>
      </c>
      <c r="R200" s="59">
        <f t="shared" si="191"/>
        <v>293.33333333334059</v>
      </c>
      <c r="S200" s="59">
        <f ca="1">AVERAGE(OFFSET($R$3,0,0,'Données projet'!$E$9+1,1))-AVERAGE(OFFSET($H$3,0,0,'Données projet'!$E$9+1,1))</f>
        <v>333.20260838961286</v>
      </c>
      <c r="T200" s="59">
        <f t="shared" si="204"/>
        <v>274.05921873522806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46.629760016083615</v>
      </c>
      <c r="AA200" s="21">
        <f>EXP(-LN(2)/25)*AA199+(1-EXP(-LN(2)/25))/(LN(2)/25)*Calculateur!V200*Calculateur!X200*VLOOKUP('Données projet'!$B$9,Paramètres!$A$1:$I$89,3,0)*0.475*44/12</f>
        <v>10.401052398741454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57.030812414825071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581.88778927327667</v>
      </c>
      <c r="AO200" s="59">
        <f t="shared" si="205"/>
        <v>269.67340993773422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-6.7984728957526396E-14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300.80663531652721</v>
      </c>
      <c r="BJ200" s="59">
        <f t="shared" si="206"/>
        <v>306.01967513533549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9.1727257542995684</v>
      </c>
      <c r="BQ200" s="21">
        <f>EXP(-LN(2)/25)*BQ199+(1-EXP(-LN(2)/25))/(LN(2)/25)*Calculateur!BL200*Calculateur!BN200*VLOOKUP('Données projet'!$B$11,Paramètres!$A$1:$I$89,3,0)*0.475*44/12</f>
        <v>1.9200513248957283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11.092777079195297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6.2527760746888816E-13</v>
      </c>
      <c r="O201" s="13">
        <f>N201*VLOOKUP('Données projet'!$B$9,Paramètres!$A$1:$I$89,3,0)*VLOOKUP('Données projet'!$B$9,Paramètres!$A$1:$I$89,5,0)</f>
        <v>2.9262992029543964E-13</v>
      </c>
      <c r="P201" s="13">
        <f t="shared" si="203"/>
        <v>3.8796387982050903E-12</v>
      </c>
      <c r="Q201" s="20">
        <f t="shared" si="162"/>
        <v>7.2667013513884219E-12</v>
      </c>
      <c r="R201" s="59">
        <f t="shared" si="191"/>
        <v>293.33333333334059</v>
      </c>
      <c r="S201" s="59">
        <f ca="1">AVERAGE(OFFSET($R$3,0,0,'Données projet'!$E$9+1,1))-AVERAGE(OFFSET($H$3,0,0,'Données projet'!$E$9+1,1))</f>
        <v>333.20260838961286</v>
      </c>
      <c r="T201" s="59">
        <f t="shared" si="204"/>
        <v>274.05921873522806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45.715378863513479</v>
      </c>
      <c r="AA201" s="21">
        <f>EXP(-LN(2)/25)*AA200+(1-EXP(-LN(2)/25))/(LN(2)/25)*Calculateur!V201*Calculateur!X201*VLOOKUP('Données projet'!$B$9,Paramètres!$A$1:$I$89,3,0)*0.475*44/12</f>
        <v>10.116635073930295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55.832013937443776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581.88778927327667</v>
      </c>
      <c r="AO201" s="59">
        <f t="shared" si="205"/>
        <v>269.67340993773422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-6.7984728957526396E-14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300.80663531652721</v>
      </c>
      <c r="BJ201" s="59">
        <f t="shared" si="206"/>
        <v>306.01967513533549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8.9928541970680218</v>
      </c>
      <c r="BQ201" s="21">
        <f>EXP(-LN(2)/25)*BQ200+(1-EXP(-LN(2)/25))/(LN(2)/25)*Calculateur!BL201*Calculateur!BN201*VLOOKUP('Données projet'!$B$11,Paramètres!$A$1:$I$89,3,0)*0.475*44/12</f>
        <v>1.8675474204453437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10.860401617513366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6.2527760746888816E-13</v>
      </c>
      <c r="O202" s="13">
        <f>N202*VLOOKUP('Données projet'!$B$9,Paramètres!$A$1:$I$89,3,0)*VLOOKUP('Données projet'!$B$9,Paramètres!$A$1:$I$89,5,0)</f>
        <v>2.9262992029543964E-13</v>
      </c>
      <c r="P202" s="13">
        <f t="shared" si="203"/>
        <v>3.8796387982050903E-12</v>
      </c>
      <c r="Q202" s="20">
        <f t="shared" si="162"/>
        <v>7.2667013513884219E-12</v>
      </c>
      <c r="R202" s="59">
        <f t="shared" si="191"/>
        <v>293.33333333334059</v>
      </c>
      <c r="S202" s="59">
        <f ca="1">AVERAGE(OFFSET($R$3,0,0,'Données projet'!$E$9+1,1))-AVERAGE(OFFSET($H$3,0,0,'Données projet'!$E$9+1,1))</f>
        <v>333.20260838961286</v>
      </c>
      <c r="T202" s="59">
        <f t="shared" si="204"/>
        <v>274.05921873522806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44.81892816762781</v>
      </c>
      <c r="AA202" s="21">
        <f>EXP(-LN(2)/25)*AA201+(1-EXP(-LN(2)/25))/(LN(2)/25)*Calculateur!V202*Calculateur!X202*VLOOKUP('Données projet'!$B$9,Paramètres!$A$1:$I$89,3,0)*0.475*44/12</f>
        <v>9.8399951558229546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54.658923323450765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581.88778927327667</v>
      </c>
      <c r="AO202" s="59">
        <f t="shared" si="205"/>
        <v>269.67340993773422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-6.7984728957526396E-14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300.80663531652721</v>
      </c>
      <c r="BJ202" s="59">
        <f t="shared" si="206"/>
        <v>306.01967513533549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8.8165098113629696</v>
      </c>
      <c r="BQ202" s="21">
        <f>EXP(-LN(2)/25)*BQ201+(1-EXP(-LN(2)/25))/(LN(2)/25)*Calculateur!BL202*Calculateur!BN202*VLOOKUP('Données projet'!$B$11,Paramètres!$A$1:$I$89,3,0)*0.475*44/12</f>
        <v>1.8164792380232153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10.632989049386184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6.2527760746888816E-13</v>
      </c>
      <c r="O203" s="13">
        <f>N203*VLOOKUP('Données projet'!$B$9,Paramètres!$A$1:$I$89,3,0)*VLOOKUP('Données projet'!$B$9,Paramètres!$A$1:$I$89,5,0)</f>
        <v>2.9262992029543964E-13</v>
      </c>
      <c r="P203" s="13">
        <f t="shared" si="203"/>
        <v>3.8796387982050903E-12</v>
      </c>
      <c r="Q203" s="20">
        <f t="shared" si="162"/>
        <v>7.2667013513884219E-12</v>
      </c>
      <c r="R203" s="59">
        <f t="shared" si="191"/>
        <v>293.33333333334059</v>
      </c>
      <c r="S203" s="59">
        <f ca="1">AVERAGE(OFFSET($R$3,0,0,'Données projet'!$E$9+1,1))-AVERAGE(OFFSET($H$3,0,0,'Données projet'!$E$9+1,1))</f>
        <v>333.20260838961286</v>
      </c>
      <c r="T203" s="59">
        <f t="shared" si="204"/>
        <v>274.05921873522806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43.94005632310752</v>
      </c>
      <c r="AA203" s="21">
        <f>EXP(-LN(2)/25)*AA202+(1-EXP(-LN(2)/25))/(LN(2)/25)*Calculateur!V203*Calculateur!X203*VLOOKUP('Données projet'!$B$9,Paramètres!$A$1:$I$89,3,0)*0.475*44/12</f>
        <v>9.5709199708241197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53.510976293931641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581.88778927327667</v>
      </c>
      <c r="AO203" s="59">
        <f t="shared" si="205"/>
        <v>269.67340993773422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-6.7984728957526396E-14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300.80663531652721</v>
      </c>
      <c r="BJ203" s="59">
        <f t="shared" si="206"/>
        <v>306.01967513533549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8.6436234315021387</v>
      </c>
      <c r="BQ203" s="21">
        <f>EXP(-LN(2)/25)*BQ202+(1-EXP(-LN(2)/25))/(LN(2)/25)*Calculateur!BL203*Calculateur!BN203*VLOOKUP('Données projet'!$B$11,Paramètres!$A$1:$I$89,3,0)*0.475*44/12</f>
        <v>1.7668075177349789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10.410430949237117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1.1241384564293442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1.3267648858502221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1" sqref="J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0.19139999999999999</v>
      </c>
      <c r="C6" s="147">
        <f ca="1">IF(OR('Données projet'!B9="",'Données projet'!C9="",'Données projet'!C9=0%),0,Calculateur!S3)</f>
        <v>333.20260838961286</v>
      </c>
      <c r="D6" s="147">
        <f>IF(OR('Données projet'!B9="",'Données projet'!C9="",'Données projet'!C9=0%),0,Calculateur!T3)</f>
        <v>274.05921873522806</v>
      </c>
      <c r="E6" s="147">
        <f ca="1">MIN(C6,D6)</f>
        <v>274.05921873522806</v>
      </c>
      <c r="F6" s="147">
        <f ca="1">E6*B6</f>
        <v>52.454934465922648</v>
      </c>
      <c r="G6" s="147">
        <f ca="1">F6*(100%-'Données projet'!$C$24)*(100%-'Données projet'!$C$25)*(100%-'Données projet'!$C$26)*(100%-'Données projet'!$C$27)</f>
        <v>42.488496917397349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42.488496917397349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4.752E-2</v>
      </c>
      <c r="C7" s="147">
        <f ca="1">IF(OR('Données projet'!B10="",'Données projet'!C10="",'Données projet'!C10=0%),0,Calculateur!AN3)</f>
        <v>581.88778927327667</v>
      </c>
      <c r="D7" s="147">
        <f>IF(OR('Données projet'!B10="",'Données projet'!C10="",'Données projet'!C10=0%),0,Calculateur!AO3)</f>
        <v>269.67340993773422</v>
      </c>
      <c r="E7" s="147">
        <f t="shared" ref="E7:E15" ca="1" si="0">MIN(C7,D7)</f>
        <v>269.67340993773422</v>
      </c>
      <c r="F7" s="147">
        <f t="shared" ref="F7:F15" ca="1" si="1">E7*B7</f>
        <v>12.814880440241129</v>
      </c>
      <c r="G7" s="147">
        <f ca="1">F7*(100%-'Données projet'!$C$24)*(100%-'Données projet'!$C$25)*(100%-'Données projet'!$C$26)*(100%-'Données projet'!$C$27)</f>
        <v>10.380053156595316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10.380053156595316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1.0797600000000001</v>
      </c>
      <c r="C8" s="147">
        <f ca="1">IF(OR('Données projet'!B11="",'Données projet'!C11="",'Données projet'!C11=0%),0,Calculateur!BI3)</f>
        <v>300.80663531652721</v>
      </c>
      <c r="D8" s="147">
        <f>IF(OR('Données projet'!B11="",'Données projet'!C11="",'Données projet'!C11=0%),0,Calculateur!BJ3)</f>
        <v>306.01967513533549</v>
      </c>
      <c r="E8" s="147">
        <f t="shared" ca="1" si="0"/>
        <v>300.80663531652721</v>
      </c>
      <c r="F8" s="147">
        <f t="shared" ca="1" si="1"/>
        <v>324.79897254937345</v>
      </c>
      <c r="G8" s="147">
        <f ca="1">F8*(100%-'Données projet'!$C$24)*(100%-'Données projet'!$C$25)*(100%-'Données projet'!$C$26)*(100%-'Données projet'!$C$27)</f>
        <v>263.0871677649925</v>
      </c>
      <c r="H8" s="155">
        <f>IF(OR('Données projet'!B11="",'Données projet'!C11="",'Données projet'!C11=0%),0,AVERAGE(Calculateur!$BS$3:$BS$33)*B8)</f>
        <v>11.840336507001972</v>
      </c>
      <c r="I8" s="149">
        <f>H8*(100%-'Données projet'!$C$24)*(100%-'Données projet'!$C$25)*(100%-'Données projet'!$C$26)*(100%-'Données projet'!$C$27)</f>
        <v>9.5906725706715967</v>
      </c>
      <c r="J8" s="150">
        <f>IF(OR('Données projet'!B11="",'Données projet'!C11="",'Données projet'!C11=0%),0,SUM(Calculateur!$BL$3:$BL$33)*VLOOKUP('Données projet'!$B$11,Paramètres!$A$1:$I$89,9,0)*B8)</f>
        <v>97.565493959999984</v>
      </c>
      <c r="K8" s="151">
        <f>J8*(100%-'Données projet'!$C$24)*(100%-'Données projet'!$C$25)*(100%-'Données projet'!$C$26)*(100%-'Données projet'!$C$27)</f>
        <v>79.028050107599995</v>
      </c>
      <c r="L8" s="152">
        <f t="shared" ca="1" si="2"/>
        <v>351.70589044326408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390.06878745553723</v>
      </c>
      <c r="G16" s="166">
        <f t="shared" ca="1" si="3"/>
        <v>315.95571783898515</v>
      </c>
      <c r="H16" s="167">
        <f t="shared" si="3"/>
        <v>11.840336507001972</v>
      </c>
      <c r="I16" s="167">
        <f t="shared" si="3"/>
        <v>9.5906725706715967</v>
      </c>
      <c r="J16" s="168">
        <f t="shared" si="3"/>
        <v>97.565493959999984</v>
      </c>
      <c r="K16" s="168">
        <f t="shared" si="3"/>
        <v>79.028050107599995</v>
      </c>
      <c r="L16" s="169">
        <f t="shared" ca="1" si="3"/>
        <v>404.57444051725673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9" zoomScale="80" zoomScaleNormal="80" workbookViewId="0">
      <selection activeCell="V34" sqref="V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-7085.6989715235368</v>
      </c>
      <c r="U10" s="178">
        <f>'Données projet'!D9</f>
        <v>0.19139999999999999</v>
      </c>
      <c r="V10" s="177">
        <f>U10*T10</f>
        <v>-1356.2027831496048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-14055.437942700939</v>
      </c>
      <c r="U11" s="178">
        <f>'Données projet'!D10</f>
        <v>4.752E-2</v>
      </c>
      <c r="V11" s="177">
        <f t="shared" ref="V11" si="0">U11*T11</f>
        <v>-667.91441103714862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-5047.5507606309284</v>
      </c>
      <c r="U12" s="178">
        <f>'Données projet'!D11</f>
        <v>1.0797600000000001</v>
      </c>
      <c r="V12" s="177">
        <f t="shared" ref="V12:V19" si="1">U12*T12</f>
        <v>-5450.1434092988511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250+360+1600*(1.68+0.57+0.19)</f>
        <v>4514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1507.1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(400/SUM(U10:U19)+20)+(200/SUM(U10:U19)+10)</f>
        <v>485.00045500045496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161.666818333485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51</v>
      </c>
      <c r="B23" s="181">
        <f>'Données projet'!D36</f>
        <v>171.3</v>
      </c>
      <c r="C23" s="193"/>
      <c r="D23" s="182">
        <f>B23*C23</f>
        <v>0</v>
      </c>
      <c r="E23" s="193"/>
      <c r="F23" s="230"/>
      <c r="H23" s="190">
        <v>4</v>
      </c>
      <c r="I23" s="191"/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-9145.978846033835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61</v>
      </c>
      <c r="B24" s="181">
        <f>'Données projet'!D37</f>
        <v>100.2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471.01050650650643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73</v>
      </c>
      <c r="B25" s="181">
        <f>'Données projet'!D38</f>
        <v>102.1</v>
      </c>
      <c r="C25" s="193"/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1">
        <f ca="1">T23-T24</f>
        <v>-9145.978846033835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85</v>
      </c>
      <c r="B26" s="181">
        <f>'Données projet'!D39</f>
        <v>94.69</v>
      </c>
      <c r="C26" s="193"/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97</v>
      </c>
      <c r="B27" s="181">
        <f>'Données projet'!D40</f>
        <v>89.6</v>
      </c>
      <c r="C27" s="193"/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109</v>
      </c>
      <c r="B28" s="181">
        <f>'Données projet'!D41</f>
        <v>91.09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121</v>
      </c>
      <c r="B29" s="181">
        <f>'Données projet'!D42</f>
        <v>233.54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131</v>
      </c>
      <c r="B30" s="181">
        <f>'Données projet'!D43</f>
        <v>294.08999999999997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7763.9016839999995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852.74720000000002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10116.648884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250+360+1600*(2.1+0.57+3.6)</f>
        <v>10642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2426.3000000000002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250+360+1600*(0.56+0.57+0.19)</f>
        <v>2721.9999999999995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1238.3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17</v>
      </c>
      <c r="B85" s="181">
        <f>'Données projet'!D88</f>
        <v>40.76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23</v>
      </c>
      <c r="B86" s="181">
        <f>'Données projet'!D89</f>
        <v>57.75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29</v>
      </c>
      <c r="B87" s="181">
        <f>'Données projet'!D90</f>
        <v>54.64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36</v>
      </c>
      <c r="B88" s="181">
        <f>'Données projet'!D91</f>
        <v>76.069999999999993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44</v>
      </c>
      <c r="B89" s="181">
        <f>'Données projet'!D92</f>
        <v>77.91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52</v>
      </c>
      <c r="B90" s="181">
        <f>'Données projet'!D93</f>
        <v>75.37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60</v>
      </c>
      <c r="B91" s="181">
        <f>'Données projet'!D94</f>
        <v>436.34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2025-03-31T13:44:26Z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