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https://lesvergersdusud-my.sharepoint.com/personal/t_vogel_lesvergersdusud_fr/Documents/Documents/Verger Du Sud/crédit carbone/"/>
    </mc:Choice>
  </mc:AlternateContent>
  <xr:revisionPtr revIDLastSave="0" documentId="8_{91A9BB54-F44A-4043-BBA2-A883410BD7DF}" xr6:coauthVersionLast="47" xr6:coauthVersionMax="47" xr10:uidLastSave="{00000000-0000-0000-0000-000000000000}"/>
  <bookViews>
    <workbookView xWindow="0" yWindow="0" windowWidth="28800" windowHeight="1800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J86" i="5" l="1"/>
  <c r="K140" i="5"/>
  <c r="F86" i="5"/>
  <c r="K59" i="5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D25" i="9" l="1"/>
  <c r="C20" i="8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G20" i="8" l="1"/>
  <c r="E127" i="5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G46" i="5"/>
  <c r="G49" i="5" s="1"/>
  <c r="G60" i="5" s="1"/>
  <c r="K46" i="5"/>
  <c r="K49" i="5" s="1"/>
  <c r="K60" i="5" s="1"/>
  <c r="C46" i="5"/>
  <c r="C49" i="5" s="1"/>
  <c r="C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D46" i="5"/>
  <c r="D49" i="5" s="1"/>
  <c r="D60" i="5" s="1"/>
  <c r="H46" i="5"/>
  <c r="H49" i="5" s="1"/>
  <c r="H60" i="5" s="1"/>
  <c r="L46" i="5"/>
  <c r="L49" i="5" s="1"/>
  <c r="L60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C6" i="6" s="1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JEAN-CHARLES Isabelle</author>
  </authors>
  <commentList>
    <comment ref="B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ou sous-partie de la parcelle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<sst xmlns="http://schemas.openxmlformats.org/spreadsheetml/2006/main" count="893" uniqueCount="352">
  <si>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</si>
  <si>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</si>
  <si>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</si>
  <si>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</si>
  <si>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</si>
  <si>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</si>
  <si>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</si>
  <si>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</si>
  <si>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</si>
  <si>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</si>
  <si>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</si>
  <si>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</si>
  <si>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</si>
  <si>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</si>
  <si>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</si>
  <si>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</si>
  <si>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</si>
  <si>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</si>
  <si>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</si>
  <si>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</si>
  <si>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</si>
  <si>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</si>
  <si>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</si>
  <si>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</si>
  <si>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</si>
  <si>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</si>
  <si>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</si>
  <si>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</si>
  <si>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</si>
  <si>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</si>
  <si>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</si>
  <si>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</si>
  <si>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</si>
  <si>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</si>
  <si>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</si>
  <si>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</si>
  <si>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</si>
  <si>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</si>
  <si>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</si>
  <si>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</si>
  <si>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</si>
  <si>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</si>
  <si>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</si>
  <si>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</si>
  <si>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</si>
  <si>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</si>
  <si>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</si>
  <si>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</si>
  <si>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</si>
  <si>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</si>
  <si>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</si>
  <si>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</si>
  <si>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</si>
  <si>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</si>
  <si>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</si>
  <si>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</si>
  <si>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</si>
  <si>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</si>
  <si>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</si>
  <si>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</si>
  <si>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</si>
  <si>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</si>
  <si>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</si>
  <si>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</si>
  <si>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</si>
  <si>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</si>
  <si>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</si>
  <si>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</si>
  <si>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</si>
  <si>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</si>
  <si>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</si>
  <si>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</si>
  <si>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</si>
  <si>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</si>
  <si>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</si>
  <si>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</si>
  <si>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</si>
  <si>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</si>
  <si>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</si>
  <si>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</si>
  <si>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</si>
  <si>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</si>
  <si>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</si>
  <si>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</si>
  <si>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</si>
  <si>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</si>
  <si>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</si>
  <si>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</si>
  <si>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</si>
  <si>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</si>
  <si>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</si>
  <si>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</si>
  <si>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</si>
  <si>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</si>
  <si>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</si>
  <si>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</si>
  <si>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</si>
  <si>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</si>
  <si>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</si>
  <si>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</si>
  <si>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</si>
  <si>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</si>
  <si>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</si>
  <si>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</si>
  <si>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</si>
  <si>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</si>
  <si>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</si>
  <si>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</si>
  <si>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</si>
  <si>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</si>
  <si>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</si>
  <si>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</si>
  <si>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</si>
  <si>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</si>
  <si>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</si>
  <si>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</si>
  <si>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</si>
  <si>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</si>
  <si>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</si>
  <si>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</si>
  <si>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</si>
  <si>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</si>
  <si>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</si>
  <si>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</si>
  <si>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</si>
  <si>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</si>
  <si>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</si>
  <si>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</si>
  <si>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</si>
  <si>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</si>
  <si>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</si>
  <si>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</si>
  <si>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</si>
  <si>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</si>
  <si>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</si>
  <si>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</si>
  <si>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</si>
  <si>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</si>
  <si>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</si>
  <si>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</si>
  <si>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</si>
  <si>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</si>
  <si>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</si>
  <si>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</si>
  <si>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</si>
  <si>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</si>
  <si>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</si>
  <si>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</si>
  <si>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</si>
  <si>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</si>
  <si>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</si>
  <si>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</si>
  <si>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</si>
  <si>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</si>
  <si>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</si>
  <si>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</si>
  <si>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</si>
  <si>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</si>
  <si>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</si>
  <si>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</si>
  <si>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</si>
  <si>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</si>
  <si>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</si>
  <si>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</si>
  <si>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</si>
  <si>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</si>
  <si>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</si>
  <si>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</si>
  <si>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</si>
  <si>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</si>
  <si>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</si>
  <si>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</si>
  <si>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</si>
  <si>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</si>
  <si>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</si>
  <si>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</si>
  <si>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</si>
  <si>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</si>
  <si>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</si>
  <si>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</si>
  <si>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</si>
  <si>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</si>
  <si>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</si>
  <si>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</si>
  <si>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</si>
  <si>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</si>
  <si>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</si>
  <si>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</si>
  <si>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</si>
  <si>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</si>
  <si>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</si>
  <si>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</si>
  <si>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</si>
  <si>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</si>
  <si>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</si>
  <si>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</si>
  <si>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</si>
  <si>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</si>
  <si>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</si>
  <si>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</si>
  <si>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</si>
  <si>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</si>
  <si>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</si>
  <si>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</si>
  <si>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</si>
  <si>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</si>
  <si>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</si>
  <si>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</si>
  <si>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</si>
  <si>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</si>
  <si>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</si>
  <si>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</si>
  <si>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</si>
  <si>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</si>
  <si>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</si>
  <si>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</si>
  <si>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</si>
  <si>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</si>
  <si>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</si>
  <si>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</si>
  <si>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</si>
  <si>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</si>
  <si>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</si>
  <si>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</si>
  <si>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</si>
  <si>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</si>
  <si>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</si>
  <si>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</si>
  <si>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</si>
  <si>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</si>
  <si>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</si>
  <si>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</si>
  <si>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</si>
  <si>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</si>
  <si>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</si>
  <si>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</si>
  <si>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</si>
  <si>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</si>
  <si>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</si>
  <si>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</si>
  <si>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</si>
  <si>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</si>
  <si>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</si>
  <si>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</si>
  <si>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</si>
  <si>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</si>
  <si>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</si>
  <si>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</si>
  <si>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</si>
  <si>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</si>
  <si>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</si>
  <si>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</si>
  <si>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</si>
  <si>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</si>
  <si>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</si>
  <si>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</si>
  <si>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</si>
  <si>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</si>
  <si>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</si>
  <si>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</si>
  <si>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</si>
  <si>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</si>
  <si>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</si>
  <si>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</si>
  <si>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</si>
  <si>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</si>
  <si>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</si>
  <si>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</si>
  <si>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</si>
  <si>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</si>
  <si>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</si>
  <si>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</si>
  <si>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</si>
  <si>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</si>
  <si>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</si>
  <si>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</si>
  <si>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</si>
  <si>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</si>
  <si>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</si>
  <si>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</si>
  <si>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</si>
  <si>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</si>
  <si>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</si>
  <si>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</si>
  <si>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</si>
  <si>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</si>
  <si>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</si>
  <si>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</si>
  <si>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</si>
  <si>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</si>
  <si>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</si>
  <si>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</si>
  <si>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</si>
  <si>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</si>
  <si>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</si>
  <si>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</si>
  <si>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</si>
  <si>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</si>
  <si>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</si>
  <si>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</si>
  <si>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</si>
  <si>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</si>
  <si>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</si>
  <si>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</si>
  <si>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</si>
  <si>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</si>
  <si>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</si>
  <si>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</si>
  <si>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</si>
  <si>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</si>
  <si>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</si>
  <si>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</si>
  <si>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</si>
  <si>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</si>
  <si>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</si>
  <si>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</si>
  <si>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</si>
  <si>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</si>
  <si>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</si>
  <si>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</si>
  <si>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</si>
  <si>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</si>
  <si>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</si>
  <si>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</si>
  <si>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</si>
  <si>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</si>
  <si>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</si>
  <si>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</si>
  <si>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</si>
  <si>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</si>
  <si>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</si>
  <si>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</si>
  <si>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</si>
  <si>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</si>
  <si>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</si>
  <si>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</si>
  <si>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</si>
  <si>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</si>
  <si>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</si>
  <si>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</si>
  <si>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</si>
  <si>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</si>
  <si>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</si>
  <si>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</si>
  <si>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</si>
  <si>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</si>
  <si>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</si>
  <si>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</si>
  <si>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</si>
  <si>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INFORMATIONS DU PROJET</t>
  </si>
  <si>
    <t>Surface par espèce plantée (ha)</t>
  </si>
  <si>
    <t>Manosque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</si>
</sst>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3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3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3" fillId="0" borderId="0" xfId="0" applyFont="1"/>
    <xf numFmtId="164" fontId="10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0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3" fillId="0" borderId="0" xfId="0" applyFont="1" applyAlignment="1">
      <alignment horizontal="right"/>
    </xf>
    <xf numFmtId="2" fontId="3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3" fillId="2" borderId="4" xfId="0" applyFont="1" applyFill="1" applyBorder="1"/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3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10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3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3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10" fillId="16" borderId="0" xfId="0" applyFont="1" applyFill="1" applyAlignment="1" applyProtection="1">
      <alignment horizontal="center"/>
      <protection locked="0"/>
    </xf>
    <xf numFmtId="0" fontId="10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30" fillId="15" borderId="0" xfId="0" applyNumberFormat="1" applyFont="1" applyFill="1"/>
    <xf numFmtId="0" fontId="25" fillId="11" borderId="2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3" fillId="17" borderId="1" xfId="0" applyNumberFormat="1" applyFont="1" applyFill="1" applyBorder="1" applyAlignment="1">
      <alignment vertical="center" wrapText="1"/>
    </xf>
    <xf numFmtId="9" fontId="31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20" fillId="14" borderId="0" xfId="0" applyFont="1" applyFill="1" applyAlignment="1">
      <alignment horizontal="left" vertical="center" wrapText="1"/>
    </xf>
    <xf numFmtId="0" fontId="20" fillId="14" borderId="15" xfId="0" applyFont="1" applyFill="1" applyBorder="1" applyAlignment="1">
      <alignment horizontal="left" vertical="center" wrapText="1"/>
    </xf>
    <xf numFmtId="0" fontId="20" fillId="14" borderId="16" xfId="0" applyFont="1" applyFill="1" applyBorder="1" applyAlignment="1">
      <alignment horizontal="left" vertical="center" wrapText="1"/>
    </xf>
    <xf numFmtId="0" fontId="20" fillId="14" borderId="17" xfId="0" applyFont="1" applyFill="1" applyBorder="1" applyAlignment="1">
      <alignment horizontal="left" vertical="center" wrapText="1"/>
    </xf>
    <xf numFmtId="0" fontId="20" fillId="14" borderId="18" xfId="0" applyFont="1" applyFill="1" applyBorder="1" applyAlignment="1">
      <alignment horizontal="left" vertical="center" wrapText="1"/>
    </xf>
    <xf numFmtId="0" fontId="20" fillId="14" borderId="19" xfId="0" applyFont="1" applyFill="1" applyBorder="1" applyAlignment="1">
      <alignment horizontal="left" vertical="center" wrapText="1"/>
    </xf>
    <xf numFmtId="0" fontId="20" fillId="14" borderId="20" xfId="0" applyFont="1" applyFill="1" applyBorder="1" applyAlignment="1">
      <alignment horizontal="left" vertical="center" wrapText="1"/>
    </xf>
    <xf numFmtId="0" fontId="20" fillId="14" borderId="21" xfId="0" applyFont="1" applyFill="1" applyBorder="1" applyAlignment="1">
      <alignment horizontal="left" vertical="center" wrapText="1"/>
    </xf>
    <xf numFmtId="0" fontId="20" fillId="14" borderId="22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25" fillId="11" borderId="23" xfId="0" applyFont="1" applyFill="1" applyBorder="1" applyAlignment="1">
      <alignment horizontal="center" vertical="center" wrapText="1"/>
    </xf>
    <xf numFmtId="0" fontId="25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75" zoomScaleNormal="60" workbookViewId="0">
      <selection activeCell="B11" sqref="B11:P30"/>
    </sheetView>
  </sheetViews>
  <sheetFormatPr baseColWidth="10" defaultRowHeight="15" x14ac:dyDescent="0.2"/>
  <cols>
    <col min="1" max="1" width="4.83203125" customWidth="1"/>
    <col min="15" max="15" width="11.5" customWidth="1"/>
  </cols>
  <sheetData>
    <row r="2" spans="2:16" x14ac:dyDescent="0.2">
      <c r="K2" t="s">
        <v>346</v>
      </c>
    </row>
    <row r="3" spans="2:16" ht="15" customHeight="1" x14ac:dyDescent="0.2">
      <c r="K3" s="94" t="s">
        <v>310</v>
      </c>
      <c r="L3" s="94"/>
      <c r="M3" s="94"/>
      <c r="N3" s="94"/>
      <c r="O3" s="94"/>
      <c r="P3" s="94"/>
    </row>
    <row r="4" spans="2:16" x14ac:dyDescent="0.2">
      <c r="K4" s="94"/>
      <c r="L4" s="94"/>
      <c r="M4" s="94"/>
      <c r="N4" s="94"/>
      <c r="O4" s="94"/>
      <c r="P4" s="94"/>
    </row>
    <row r="5" spans="2:16" x14ac:dyDescent="0.2">
      <c r="K5" s="94"/>
      <c r="L5" s="94"/>
      <c r="M5" s="94"/>
      <c r="N5" s="94"/>
      <c r="O5" s="94"/>
      <c r="P5" s="94"/>
    </row>
    <row r="7" spans="2:16" ht="15" customHeight="1" x14ac:dyDescent="0.2">
      <c r="B7" s="95" t="s">
        <v>309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2:16" ht="15" customHeight="1" x14ac:dyDescent="0.2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5" customHeight="1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1" spans="2:16" ht="15" customHeight="1" x14ac:dyDescent="0.2">
      <c r="B11" s="96" t="s">
        <v>333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</row>
    <row r="12" spans="2:16" ht="15" customHeight="1" x14ac:dyDescent="0.2">
      <c r="B12" s="99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0"/>
    </row>
    <row r="13" spans="2:16" ht="15" customHeight="1" x14ac:dyDescent="0.2">
      <c r="B13" s="9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0"/>
    </row>
    <row r="14" spans="2:16" ht="15" customHeight="1" x14ac:dyDescent="0.2">
      <c r="B14" s="9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0"/>
    </row>
    <row r="15" spans="2:16" ht="15" customHeight="1" x14ac:dyDescent="0.2">
      <c r="B15" s="9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0"/>
    </row>
    <row r="16" spans="2:16" ht="15" customHeight="1" x14ac:dyDescent="0.2">
      <c r="B16" s="9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0"/>
    </row>
    <row r="17" spans="2:16" ht="15" customHeight="1" x14ac:dyDescent="0.2">
      <c r="B17" s="99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0"/>
    </row>
    <row r="18" spans="2:16" ht="15" customHeight="1" x14ac:dyDescent="0.2">
      <c r="B18" s="9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0"/>
    </row>
    <row r="19" spans="2:16" ht="15" customHeight="1" x14ac:dyDescent="0.2">
      <c r="B19" s="99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0"/>
    </row>
    <row r="20" spans="2:16" ht="15" customHeight="1" x14ac:dyDescent="0.2">
      <c r="B20" s="99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0"/>
    </row>
    <row r="21" spans="2:16" ht="15" customHeight="1" x14ac:dyDescent="0.2">
      <c r="B21" s="99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0"/>
    </row>
    <row r="22" spans="2:16" ht="15" customHeight="1" x14ac:dyDescent="0.2">
      <c r="B22" s="99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0"/>
    </row>
    <row r="23" spans="2:16" ht="15" customHeight="1" x14ac:dyDescent="0.2">
      <c r="B23" s="9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0"/>
    </row>
    <row r="24" spans="2:16" ht="15" customHeight="1" x14ac:dyDescent="0.2">
      <c r="B24" s="9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0"/>
    </row>
    <row r="25" spans="2:16" ht="15.75" customHeight="1" x14ac:dyDescent="0.2">
      <c r="B25" s="9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0"/>
    </row>
    <row r="26" spans="2:16" ht="15.75" customHeight="1" x14ac:dyDescent="0.2">
      <c r="B26" s="9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0"/>
    </row>
    <row r="27" spans="2:16" ht="15.75" customHeight="1" x14ac:dyDescent="0.2">
      <c r="B27" s="99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0"/>
    </row>
    <row r="28" spans="2:16" ht="15.75" customHeight="1" x14ac:dyDescent="0.2">
      <c r="B28" s="99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0"/>
    </row>
    <row r="29" spans="2:16" ht="15.75" customHeight="1" x14ac:dyDescent="0.2">
      <c r="B29" s="9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0"/>
    </row>
    <row r="30" spans="2:16" ht="15.75" customHeight="1" x14ac:dyDescent="0.2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/>
    </row>
    <row r="32" spans="2:16" ht="22.5" customHeight="1" x14ac:dyDescent="0.2">
      <c r="B32" s="95" t="s">
        <v>338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2:16" x14ac:dyDescent="0.2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2:16" x14ac:dyDescent="0.2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5" defaultRowHeight="15" x14ac:dyDescent="0.2"/>
  <cols>
    <col min="1" max="1" width="25" bestFit="1" customWidth="1"/>
    <col min="2" max="2" width="20.1640625" bestFit="1" customWidth="1"/>
    <col min="3" max="3" width="15.5" bestFit="1" customWidth="1"/>
  </cols>
  <sheetData>
    <row r="1" spans="1:6" x14ac:dyDescent="0.2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70</v>
      </c>
    </row>
    <row r="2" spans="1:6" x14ac:dyDescent="0.2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71</v>
      </c>
    </row>
    <row r="3" spans="1:6" x14ac:dyDescent="0.2">
      <c r="A3" t="s">
        <v>5</v>
      </c>
      <c r="B3" t="s">
        <v>286</v>
      </c>
      <c r="C3" t="s">
        <v>33</v>
      </c>
      <c r="D3" t="s">
        <v>32</v>
      </c>
      <c r="E3" s="60">
        <v>11</v>
      </c>
      <c r="F3" t="s">
        <v>72</v>
      </c>
    </row>
    <row r="4" spans="1:6" x14ac:dyDescent="0.2">
      <c r="B4" t="s">
        <v>2</v>
      </c>
      <c r="C4" t="s">
        <v>34</v>
      </c>
      <c r="D4" t="s">
        <v>48</v>
      </c>
      <c r="E4" s="60">
        <v>12</v>
      </c>
      <c r="F4" t="s">
        <v>73</v>
      </c>
    </row>
    <row r="5" spans="1:6" x14ac:dyDescent="0.2">
      <c r="C5" t="s">
        <v>36</v>
      </c>
      <c r="D5" t="s">
        <v>38</v>
      </c>
      <c r="E5" s="60">
        <v>13</v>
      </c>
      <c r="F5" t="s">
        <v>74</v>
      </c>
    </row>
    <row r="6" spans="1:6" x14ac:dyDescent="0.2">
      <c r="C6" t="s">
        <v>37</v>
      </c>
      <c r="D6" t="s">
        <v>43</v>
      </c>
      <c r="E6" s="60">
        <v>14</v>
      </c>
      <c r="F6" t="s">
        <v>75</v>
      </c>
    </row>
    <row r="7" spans="1:6" x14ac:dyDescent="0.2">
      <c r="C7" t="s">
        <v>39</v>
      </c>
      <c r="D7" t="s">
        <v>47</v>
      </c>
      <c r="E7" s="60">
        <v>15</v>
      </c>
      <c r="F7" t="s">
        <v>76</v>
      </c>
    </row>
    <row r="8" spans="1:6" x14ac:dyDescent="0.2">
      <c r="C8" t="s">
        <v>40</v>
      </c>
      <c r="E8" s="60">
        <v>16</v>
      </c>
      <c r="F8" t="s">
        <v>77</v>
      </c>
    </row>
    <row r="9" spans="1:6" x14ac:dyDescent="0.2">
      <c r="C9" t="s">
        <v>41</v>
      </c>
      <c r="E9" s="60">
        <v>17</v>
      </c>
      <c r="F9" t="s">
        <v>78</v>
      </c>
    </row>
    <row r="10" spans="1:6" x14ac:dyDescent="0.2">
      <c r="C10" t="s">
        <v>42</v>
      </c>
      <c r="E10" s="60">
        <v>18</v>
      </c>
      <c r="F10" t="s">
        <v>79</v>
      </c>
    </row>
    <row r="11" spans="1:6" x14ac:dyDescent="0.2">
      <c r="C11" t="s">
        <v>44</v>
      </c>
      <c r="E11" s="60">
        <v>19</v>
      </c>
      <c r="F11" t="s">
        <v>80</v>
      </c>
    </row>
    <row r="12" spans="1:6" x14ac:dyDescent="0.2">
      <c r="C12" t="s">
        <v>45</v>
      </c>
      <c r="E12" s="60">
        <v>20</v>
      </c>
      <c r="F12" t="s">
        <v>81</v>
      </c>
    </row>
    <row r="13" spans="1:6" x14ac:dyDescent="0.2">
      <c r="C13" t="s">
        <v>46</v>
      </c>
      <c r="F13" t="s">
        <v>82</v>
      </c>
    </row>
    <row r="14" spans="1:6" x14ac:dyDescent="0.2">
      <c r="C14" t="s">
        <v>49</v>
      </c>
      <c r="F14" t="s">
        <v>83</v>
      </c>
    </row>
    <row r="15" spans="1:6" x14ac:dyDescent="0.2">
      <c r="C15" t="s">
        <v>50</v>
      </c>
      <c r="F15" t="s">
        <v>84</v>
      </c>
    </row>
    <row r="16" spans="1:6" x14ac:dyDescent="0.2">
      <c r="C16" t="s">
        <v>51</v>
      </c>
      <c r="F16" t="s">
        <v>85</v>
      </c>
    </row>
    <row r="17" spans="6:6" x14ac:dyDescent="0.2">
      <c r="F17" t="s">
        <v>86</v>
      </c>
    </row>
    <row r="18" spans="6:6" x14ac:dyDescent="0.2">
      <c r="F18" t="s">
        <v>87</v>
      </c>
    </row>
    <row r="19" spans="6:6" x14ac:dyDescent="0.2">
      <c r="F19" t="s">
        <v>88</v>
      </c>
    </row>
    <row r="20" spans="6:6" x14ac:dyDescent="0.2">
      <c r="F20" t="s">
        <v>89</v>
      </c>
    </row>
    <row r="21" spans="6:6" x14ac:dyDescent="0.2">
      <c r="F21" t="s">
        <v>90</v>
      </c>
    </row>
    <row r="22" spans="6:6" x14ac:dyDescent="0.2">
      <c r="F22" t="s">
        <v>91</v>
      </c>
    </row>
    <row r="23" spans="6:6" x14ac:dyDescent="0.2">
      <c r="F23" t="s">
        <v>92</v>
      </c>
    </row>
    <row r="24" spans="6:6" x14ac:dyDescent="0.2">
      <c r="F24" t="s">
        <v>93</v>
      </c>
    </row>
    <row r="25" spans="6:6" x14ac:dyDescent="0.2">
      <c r="F25" t="s">
        <v>94</v>
      </c>
    </row>
    <row r="26" spans="6:6" x14ac:dyDescent="0.2">
      <c r="F26" t="s">
        <v>95</v>
      </c>
    </row>
    <row r="27" spans="6:6" x14ac:dyDescent="0.2">
      <c r="F27" t="s">
        <v>96</v>
      </c>
    </row>
    <row r="28" spans="6:6" x14ac:dyDescent="0.2">
      <c r="F28" t="s">
        <v>97</v>
      </c>
    </row>
    <row r="29" spans="6:6" x14ac:dyDescent="0.2">
      <c r="F29" t="s">
        <v>98</v>
      </c>
    </row>
    <row r="30" spans="6:6" x14ac:dyDescent="0.2">
      <c r="F30" t="s">
        <v>99</v>
      </c>
    </row>
    <row r="31" spans="6:6" x14ac:dyDescent="0.2">
      <c r="F31" t="s">
        <v>100</v>
      </c>
    </row>
    <row r="32" spans="6:6" x14ac:dyDescent="0.2">
      <c r="F32" t="s">
        <v>101</v>
      </c>
    </row>
    <row r="33" spans="6:6" x14ac:dyDescent="0.2">
      <c r="F33" t="s">
        <v>102</v>
      </c>
    </row>
    <row r="34" spans="6:6" x14ac:dyDescent="0.2">
      <c r="F34" t="s">
        <v>103</v>
      </c>
    </row>
    <row r="35" spans="6:6" x14ac:dyDescent="0.2">
      <c r="F35" t="s">
        <v>104</v>
      </c>
    </row>
    <row r="36" spans="6:6" x14ac:dyDescent="0.2">
      <c r="F36" t="s">
        <v>105</v>
      </c>
    </row>
    <row r="37" spans="6:6" x14ac:dyDescent="0.2">
      <c r="F37" t="s">
        <v>345</v>
      </c>
    </row>
    <row r="38" spans="6:6" x14ac:dyDescent="0.2">
      <c r="F38" t="s">
        <v>106</v>
      </c>
    </row>
    <row r="39" spans="6:6" x14ac:dyDescent="0.2">
      <c r="F39" t="s">
        <v>107</v>
      </c>
    </row>
    <row r="40" spans="6:6" x14ac:dyDescent="0.2">
      <c r="F40" t="s">
        <v>108</v>
      </c>
    </row>
    <row r="41" spans="6:6" x14ac:dyDescent="0.2">
      <c r="F41" t="s">
        <v>109</v>
      </c>
    </row>
    <row r="42" spans="6:6" x14ac:dyDescent="0.2">
      <c r="F42" t="s">
        <v>110</v>
      </c>
    </row>
    <row r="43" spans="6:6" x14ac:dyDescent="0.2">
      <c r="F43" t="s">
        <v>111</v>
      </c>
    </row>
    <row r="44" spans="6:6" x14ac:dyDescent="0.2">
      <c r="F44" t="s">
        <v>112</v>
      </c>
    </row>
    <row r="45" spans="6:6" x14ac:dyDescent="0.2">
      <c r="F45" t="s">
        <v>113</v>
      </c>
    </row>
    <row r="46" spans="6:6" x14ac:dyDescent="0.2">
      <c r="F46" t="s">
        <v>114</v>
      </c>
    </row>
    <row r="47" spans="6:6" x14ac:dyDescent="0.2">
      <c r="F47" t="s">
        <v>115</v>
      </c>
    </row>
    <row r="48" spans="6:6" x14ac:dyDescent="0.2">
      <c r="F48" t="s">
        <v>116</v>
      </c>
    </row>
    <row r="49" spans="6:6" x14ac:dyDescent="0.2">
      <c r="F49" t="s">
        <v>117</v>
      </c>
    </row>
    <row r="50" spans="6:6" x14ac:dyDescent="0.2">
      <c r="F50" t="s">
        <v>118</v>
      </c>
    </row>
    <row r="51" spans="6:6" x14ac:dyDescent="0.2">
      <c r="F51" t="s">
        <v>119</v>
      </c>
    </row>
    <row r="52" spans="6:6" x14ac:dyDescent="0.2">
      <c r="F52" t="s">
        <v>120</v>
      </c>
    </row>
    <row r="53" spans="6:6" x14ac:dyDescent="0.2">
      <c r="F53" t="s">
        <v>121</v>
      </c>
    </row>
    <row r="54" spans="6:6" x14ac:dyDescent="0.2">
      <c r="F54" t="s">
        <v>122</v>
      </c>
    </row>
    <row r="55" spans="6:6" x14ac:dyDescent="0.2">
      <c r="F55" t="s">
        <v>123</v>
      </c>
    </row>
    <row r="56" spans="6:6" x14ac:dyDescent="0.2">
      <c r="F56" t="s">
        <v>124</v>
      </c>
    </row>
    <row r="57" spans="6:6" x14ac:dyDescent="0.2">
      <c r="F57" t="s">
        <v>125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117" zoomScaleNormal="70" workbookViewId="0">
      <selection activeCell="B9" sqref="B9"/>
    </sheetView>
  </sheetViews>
  <sheetFormatPr baseColWidth="10" defaultColWidth="11.5" defaultRowHeight="15" x14ac:dyDescent="0.2"/>
  <cols>
    <col min="1" max="1" width="71.33203125" customWidth="1"/>
    <col min="2" max="2" width="16.5" style="2" customWidth="1"/>
    <col min="3" max="3" width="14.6640625" style="2" customWidth="1"/>
    <col min="4" max="4" width="17" style="2" customWidth="1"/>
    <col min="5" max="5" width="15" style="2" customWidth="1"/>
    <col min="6" max="6" width="16.164062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" style="2" customWidth="1"/>
    <col min="13" max="16384" width="11.5" style="2"/>
  </cols>
  <sheetData>
    <row r="1" spans="1:52" ht="12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39.5" customHeight="1" x14ac:dyDescent="0.2">
      <c r="A2" s="107" t="s">
        <v>337</v>
      </c>
      <c r="B2" s="108"/>
      <c r="C2" s="31" t="s">
        <v>336</v>
      </c>
      <c r="D2"/>
      <c r="E2"/>
      <c r="F2"/>
      <c r="G2"/>
      <c r="H2"/>
      <c r="I2"/>
      <c r="J2"/>
      <c r="K2"/>
      <c r="AG2" s="2" t="s">
        <v>336</v>
      </c>
    </row>
    <row r="3" spans="1:52" x14ac:dyDescent="0.2">
      <c r="A3" s="2"/>
      <c r="AG3" s="2" t="s">
        <v>335</v>
      </c>
    </row>
    <row r="4" spans="1:52" customFormat="1" ht="16" thickBot="1" x14ac:dyDescent="0.2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25">
      <c r="A5" s="104" t="s">
        <v>349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ht="16" x14ac:dyDescent="0.2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339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ht="16" x14ac:dyDescent="0.2">
      <c r="A7" s="3" t="s">
        <v>287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6" x14ac:dyDescent="0.2">
      <c r="A8" s="3" t="s">
        <v>350</v>
      </c>
      <c r="B8" s="25">
        <v>2.8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2.8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ht="16" x14ac:dyDescent="0.2">
      <c r="A9" s="3" t="s">
        <v>308</v>
      </c>
      <c r="B9" s="1" t="s">
        <v>50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32" x14ac:dyDescent="0.2">
      <c r="A10" s="3" t="s">
        <v>285</v>
      </c>
      <c r="B10" s="69" t="s">
        <v>133</v>
      </c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ht="16" x14ac:dyDescent="0.2">
      <c r="A11" s="3" t="s">
        <v>29</v>
      </c>
      <c r="B11" s="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ht="16" x14ac:dyDescent="0.2">
      <c r="A12" s="3" t="s">
        <v>289</v>
      </c>
      <c r="B12" s="1">
        <v>2015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2">
      <c r="A13" s="3" t="s">
        <v>20</v>
      </c>
      <c r="B13" s="26" t="s">
        <v>5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ht="16" x14ac:dyDescent="0.2">
      <c r="A14" s="3" t="s">
        <v>290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ht="16" x14ac:dyDescent="0.2">
      <c r="A15" s="3" t="s">
        <v>19</v>
      </c>
      <c r="B15" s="28">
        <v>0.75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4" x14ac:dyDescent="0.2">
      <c r="A16" s="3" t="s">
        <v>8</v>
      </c>
      <c r="B16" s="1" t="s">
        <v>286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344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30" x14ac:dyDescent="0.2">
      <c r="A17" s="4" t="s">
        <v>341</v>
      </c>
      <c r="B17" s="1" t="s">
        <v>92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30" x14ac:dyDescent="0.2">
      <c r="A18" s="4" t="s">
        <v>342</v>
      </c>
      <c r="B18" s="1" t="s">
        <v>92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30" x14ac:dyDescent="0.2">
      <c r="A19" s="4" t="s">
        <v>343</v>
      </c>
      <c r="B19" s="1" t="s">
        <v>92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16" x14ac:dyDescent="0.2">
      <c r="A20" s="3" t="s">
        <v>139</v>
      </c>
      <c r="B20" s="29">
        <v>166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31" x14ac:dyDescent="0.2">
      <c r="A21" s="3" t="s">
        <v>140</v>
      </c>
      <c r="B21" s="30">
        <v>205.05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2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/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6" thickBo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6" thickBot="1" x14ac:dyDescent="0.25">
      <c r="A24" s="104" t="s">
        <v>307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ht="16" x14ac:dyDescent="0.2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t="16" hidden="1" x14ac:dyDescent="0.2">
      <c r="A26" s="6" t="s">
        <v>65</v>
      </c>
      <c r="B26" s="10" t="str">
        <f>CONCATENATE(B9," - ",B11)</f>
        <v>Pommier - Axe</v>
      </c>
      <c r="C26" s="10" t="str">
        <f>CONCATENATE(C9," - ",C11)</f>
        <v xml:space="preserve"> - </v>
      </c>
      <c r="D26" s="10" t="str">
        <f t="shared" ref="D26:K26" si="0">CONCATENATE(D9," - ",D11)</f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ht="16" x14ac:dyDescent="0.2">
      <c r="A27" s="7" t="s">
        <v>60</v>
      </c>
      <c r="B27" s="11">
        <f>IF(B12="","",VLOOKUP(B26,'(ne pas modifier) BDD_REF'!$C$21:$D$42,2,FALSE))</f>
        <v>1000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32" x14ac:dyDescent="0.2">
      <c r="A28" s="7" t="s">
        <v>288</v>
      </c>
      <c r="B28" s="12" t="str">
        <f>IF(B12="","",IF(B12&gt;=B27,"OUI","NON"))</f>
        <v>OUI</v>
      </c>
      <c r="C28" s="12" t="str">
        <f>IF(C12="","",IF(C12&gt;=C27,"OUI","NON"))</f>
        <v/>
      </c>
      <c r="D28" s="12" t="str">
        <f t="shared" ref="D28:K28" si="1">IF(D12="","",IF(D12&gt;=D27,"OUI","NON"))</f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2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ht="16" x14ac:dyDescent="0.2">
      <c r="A30" s="6" t="s">
        <v>294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2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2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ht="16" x14ac:dyDescent="0.2">
      <c r="A33" s="6" t="s">
        <v>63</v>
      </c>
      <c r="L33" s="85" t="s">
        <v>339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8" hidden="1" x14ac:dyDescent="0.2">
      <c r="A34" s="7" t="s">
        <v>27</v>
      </c>
      <c r="B34" s="43" t="str">
        <f>CONCATENATE(Eligibilité_projet!B13," - ",Eligibilité_projet!B16)</f>
        <v xml:space="preserve">Climat Sec Mediterranéen - Prairies 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32" hidden="1" x14ac:dyDescent="0.2">
      <c r="A35" s="7" t="s">
        <v>64</v>
      </c>
      <c r="B35" s="43" t="str">
        <f>CONCATENATE(Eligibilité_projet!B14," - ",Eligibilité_projet!B16,"-",Eligibilité_projet!B13)</f>
        <v>20 - Prairies -Climat Sec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ht="16" x14ac:dyDescent="0.2">
      <c r="A36" s="7" t="s">
        <v>301</v>
      </c>
      <c r="B36" s="44">
        <f>RECant_sol!C9</f>
        <v>149.38000000000002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149.38000000000002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ht="16" x14ac:dyDescent="0.2">
      <c r="A37" s="7" t="s">
        <v>302</v>
      </c>
      <c r="B37" s="45">
        <f>RECant_biom!C28</f>
        <v>102.77422222222221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102.77422222222221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ht="16" x14ac:dyDescent="0.2">
      <c r="A38" s="46" t="s">
        <v>225</v>
      </c>
      <c r="B38" s="45">
        <f t="shared" ref="B38:K38" si="3">IF(B36="","",B36+B37)</f>
        <v>252.15422222222224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252.15422222222224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ht="16" x14ac:dyDescent="0.2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2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2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ht="16" x14ac:dyDescent="0.2">
      <c r="A42" s="6" t="s">
        <v>67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ht="16" x14ac:dyDescent="0.2">
      <c r="A43" s="7" t="s">
        <v>61</v>
      </c>
      <c r="B43" s="12" t="str">
        <f>IF(B15="","",IF(B15&gt;=0.5,"OUI","NON"))</f>
        <v>OUI</v>
      </c>
      <c r="C43" s="12" t="str">
        <f>IF(C15="","",IF(C15&gt;=0.5,"OUI","NON"))</f>
        <v/>
      </c>
      <c r="D43" s="12" t="str">
        <f t="shared" ref="D43:K43" si="5">IF(D15="","",IF(D15&gt;=0.5,"OUI","NON"))</f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ht="16" x14ac:dyDescent="0.2">
      <c r="A45" s="6" t="s">
        <v>340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ht="45.75" customHeight="1" x14ac:dyDescent="0.2">
      <c r="A46" s="7" t="s">
        <v>61</v>
      </c>
      <c r="B46" s="93" t="str">
        <f>IF(B13="","",IF(AND(B13="Hors climat Mediterranéen",B16="Prairies "),"Parcelle non éligible", "OUI"))</f>
        <v>OUI</v>
      </c>
      <c r="C46" s="93" t="str">
        <f>IF(C13="","",IF(AND(C13="Hors climat Mediterranéen",C16="Prairies "),"Parcelle non éligible", "OUI"))</f>
        <v/>
      </c>
      <c r="D46" s="93" t="str">
        <f t="shared" ref="D46:K46" si="6">IF(D13="","",IF(AND(D13="Hors climat Mediterranéen",D16="Prairies "),"Parcelle non éligible", "OUI"))</f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</row>
    <row r="55" spans="1:11" x14ac:dyDescent="0.2">
      <c r="A55" s="2"/>
    </row>
    <row r="56" spans="1:11" x14ac:dyDescent="0.2">
      <c r="A56" s="2"/>
    </row>
    <row r="57" spans="1:11" x14ac:dyDescent="0.2">
      <c r="A57" s="2"/>
    </row>
    <row r="58" spans="1:11" x14ac:dyDescent="0.2">
      <c r="A58" s="2"/>
    </row>
    <row r="59" spans="1:11" x14ac:dyDescent="0.2">
      <c r="A59" s="2"/>
    </row>
    <row r="60" spans="1:11" x14ac:dyDescent="0.2">
      <c r="A60" s="2"/>
    </row>
    <row r="61" spans="1:11" x14ac:dyDescent="0.2">
      <c r="A61" s="2"/>
    </row>
    <row r="62" spans="1:11" x14ac:dyDescent="0.2">
      <c r="A62" s="2"/>
    </row>
    <row r="63" spans="1:11" x14ac:dyDescent="0.2">
      <c r="A63" s="2"/>
    </row>
    <row r="64" spans="1:11" x14ac:dyDescent="0.2">
      <c r="A64" s="2"/>
    </row>
  </sheetData>
  <sheetProtection algorithmName="SHA-512" hashValue="KdwbZjj0HDIPlBl76CTPe4u5khY4AorsJmjoGEA4AygYdXJswMYtZdvq6jSHc2NAPyPBBADhOoT9KLZs9CUYPQ==" saltValue="OkjLKu8Ygt8z7Jcv3/rSzQ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24" sqref="C24"/>
    </sheetView>
  </sheetViews>
  <sheetFormatPr baseColWidth="10" defaultColWidth="11.5" defaultRowHeight="15" x14ac:dyDescent="0.2"/>
  <cols>
    <col min="1" max="1" width="46.6640625" customWidth="1"/>
  </cols>
  <sheetData>
    <row r="2" spans="1:14" ht="14.25" customHeight="1" x14ac:dyDescent="0.2">
      <c r="A2" s="109" t="s">
        <v>330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4" x14ac:dyDescent="0.2">
      <c r="M3" s="2"/>
      <c r="N3" s="2"/>
    </row>
    <row r="4" spans="1:14" ht="32" x14ac:dyDescent="0.2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150</v>
      </c>
      <c r="M4" s="2"/>
      <c r="N4" s="2"/>
    </row>
    <row r="5" spans="1:14" ht="16" x14ac:dyDescent="0.2">
      <c r="A5" s="3" t="s">
        <v>137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1.0011849360303999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1.0011849360303999</v>
      </c>
      <c r="M5" s="2"/>
      <c r="N5" s="2"/>
    </row>
    <row r="6" spans="1:14" ht="16" x14ac:dyDescent="0.2">
      <c r="A6" s="3" t="s">
        <v>138</v>
      </c>
      <c r="B6" s="15">
        <f>IF(Eligibilité_projet!B10="",0,VLOOKUP(Eligibilité_projet!B10,'(ne pas modifier) BDD_REF'!$A$195:$B$204,2,FALSE)/1000)</f>
        <v>3.3667024762240003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3.3667024762240003</v>
      </c>
      <c r="M6" s="2"/>
      <c r="N6" s="2"/>
    </row>
    <row r="7" spans="1:14" ht="16" x14ac:dyDescent="0.2">
      <c r="A7" s="3" t="s">
        <v>222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33.117245562710409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33.117245562710409</v>
      </c>
      <c r="M7" s="2"/>
      <c r="N7" s="2"/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I36" sqref="I36"/>
    </sheetView>
  </sheetViews>
  <sheetFormatPr baseColWidth="10" defaultColWidth="11.5" defaultRowHeight="15" x14ac:dyDescent="0.2"/>
  <cols>
    <col min="1" max="1" width="12.5" style="17" customWidth="1"/>
    <col min="2" max="2" width="53.83203125" customWidth="1"/>
    <col min="3" max="12" width="11.5" style="2"/>
    <col min="14" max="15" width="11.5" style="2"/>
    <col min="109" max="16384" width="11.5" style="2"/>
  </cols>
  <sheetData>
    <row r="2" spans="1:15" ht="36.5" customHeight="1" x14ac:dyDescent="0.2">
      <c r="B2" s="112" t="s">
        <v>334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5" customFormat="1" ht="29" customHeight="1" x14ac:dyDescent="0.2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</row>
    <row r="5" spans="1:15" customFormat="1" ht="16" x14ac:dyDescent="0.2">
      <c r="A5" s="17"/>
      <c r="B5" s="3" t="s">
        <v>144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1.0011849360303999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1.0011849360303999</v>
      </c>
      <c r="N5" s="2"/>
      <c r="O5" s="2"/>
    </row>
    <row r="6" spans="1:15" customFormat="1" x14ac:dyDescent="0.2">
      <c r="A6" s="17"/>
      <c r="N6" s="2"/>
      <c r="O6" s="2"/>
    </row>
    <row r="7" spans="1:15" ht="16" x14ac:dyDescent="0.2">
      <c r="A7" s="13" t="s">
        <v>145</v>
      </c>
      <c r="B7" s="7" t="s">
        <v>311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ht="16" x14ac:dyDescent="0.2">
      <c r="B8" s="7" t="s">
        <v>312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ht="16" x14ac:dyDescent="0.2">
      <c r="B9" s="7" t="s">
        <v>313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ht="16" x14ac:dyDescent="0.2">
      <c r="B10" s="19" t="s">
        <v>327</v>
      </c>
      <c r="C10" s="39">
        <f>C7*'(ne pas modifier) BDD_REF'!$B$207 + (C8+C9)*'(ne pas modifier) BDD_REF'!$B$208</f>
        <v>0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</v>
      </c>
    </row>
    <row r="11" spans="1:15" ht="16" x14ac:dyDescent="0.2">
      <c r="B11" s="19" t="s">
        <v>328</v>
      </c>
      <c r="C11" s="39">
        <f>((C7*'(ne pas modifier) BDD_REF'!$B$220)+('RECeff + REIamont (2)'!C8+'RECeff + REIamont (2)'!C9)*'(ne pas modifier) BDD_REF'!$B$221)*'(ne pas modifier) BDD_REF'!$B$209</f>
        <v>0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</v>
      </c>
    </row>
    <row r="12" spans="1:15" ht="16" x14ac:dyDescent="0.2">
      <c r="B12" s="19" t="s">
        <v>329</v>
      </c>
      <c r="C12" s="39">
        <f>(C7+C8+C9)*'(ne pas modifier) BDD_REF'!$B$222*'(ne pas modifier) BDD_REF'!$B$210</f>
        <v>0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</v>
      </c>
    </row>
    <row r="13" spans="1:15" ht="16" x14ac:dyDescent="0.2">
      <c r="B13" s="7" t="s">
        <v>314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ht="16" x14ac:dyDescent="0.2">
      <c r="B14" s="7" t="s">
        <v>315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0</v>
      </c>
    </row>
    <row r="15" spans="1:15" ht="16" x14ac:dyDescent="0.2">
      <c r="B15" s="7" t="s">
        <v>316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ht="16" x14ac:dyDescent="0.2">
      <c r="B16" s="7" t="s">
        <v>317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ht="16" x14ac:dyDescent="0.2">
      <c r="B17" s="7" t="s">
        <v>318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ht="16" x14ac:dyDescent="0.2">
      <c r="B18" s="7" t="s">
        <v>319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ht="16" x14ac:dyDescent="0.2">
      <c r="B19" s="3" t="s">
        <v>172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</v>
      </c>
    </row>
    <row r="20" spans="1:108" ht="16" x14ac:dyDescent="0.2">
      <c r="B20" s="7" t="s">
        <v>320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ht="16" x14ac:dyDescent="0.2">
      <c r="B21" s="3" t="s">
        <v>183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ht="16" x14ac:dyDescent="0.2">
      <c r="A22" s="18"/>
      <c r="B22" s="19" t="s">
        <v>184</v>
      </c>
      <c r="C22" s="81">
        <f>C19+C21</f>
        <v>0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ht="16" x14ac:dyDescent="0.2">
      <c r="B23" s="7" t="s">
        <v>321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0</v>
      </c>
    </row>
    <row r="24" spans="1:108" ht="16" x14ac:dyDescent="0.2">
      <c r="B24" s="7" t="s">
        <v>322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ht="16" x14ac:dyDescent="0.2">
      <c r="B25" s="3" t="s">
        <v>291</v>
      </c>
      <c r="C25" s="39">
        <f>(C7*'(ne pas modifier) BDD_REF'!$B$212+'RECeff + REIamont (2)'!C23*'(ne pas modifier) BDD_REF'!$B$213+'RECeff + REIamont (2)'!C24*'(ne pas modifier) BDD_REF'!$B$214)/1000</f>
        <v>0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</v>
      </c>
    </row>
    <row r="26" spans="1:108" ht="16" hidden="1" x14ac:dyDescent="0.2">
      <c r="B26" s="3" t="s">
        <v>174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32" x14ac:dyDescent="0.2">
      <c r="A27" s="70" t="s">
        <v>292</v>
      </c>
      <c r="B27" s="7" t="s">
        <v>323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ht="16" x14ac:dyDescent="0.2">
      <c r="B28" s="7" t="s">
        <v>324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ht="16" x14ac:dyDescent="0.2">
      <c r="B29" s="7" t="s">
        <v>325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ht="16" x14ac:dyDescent="0.2">
      <c r="B30" s="7" t="s">
        <v>326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ht="16" x14ac:dyDescent="0.2">
      <c r="B31" s="3" t="s">
        <v>293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ht="16" x14ac:dyDescent="0.2">
      <c r="A32" s="18"/>
      <c r="B32" s="19" t="s">
        <v>185</v>
      </c>
      <c r="C32" s="81">
        <f>C25+C26+C31</f>
        <v>0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ht="16" x14ac:dyDescent="0.2">
      <c r="A33" s="18"/>
      <c r="B33" s="20" t="s">
        <v>143</v>
      </c>
      <c r="C33" s="20">
        <f>((C10+C11+C12)/1000*44/28*'(ne pas modifier) BDD_REF'!$B$232)+'RECeff + REIamont (2)'!C22+'RECeff + REIamont (2)'!C32</f>
        <v>0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ht="16" x14ac:dyDescent="0.2">
      <c r="A34" s="13" t="s">
        <v>146</v>
      </c>
      <c r="B34" s="7" t="s">
        <v>311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ht="16" x14ac:dyDescent="0.2">
      <c r="B35" s="7" t="s">
        <v>312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ht="16" x14ac:dyDescent="0.2">
      <c r="B36" s="7" t="s">
        <v>313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2">
      <c r="B37" s="19" t="s">
        <v>327</v>
      </c>
      <c r="C37" s="39">
        <f>C34*'(ne pas modifier) BDD_REF'!$B$207 + (C35+C36)*'(ne pas modifier) BDD_REF'!$B$208</f>
        <v>0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</v>
      </c>
    </row>
    <row r="38" spans="1:108" ht="16" x14ac:dyDescent="0.2">
      <c r="B38" s="19" t="s">
        <v>328</v>
      </c>
      <c r="C38" s="39">
        <f>((C34*'(ne pas modifier) BDD_REF'!$B$220)+('RECeff + REIamont (2)'!C35+'RECeff + REIamont (2)'!C36)*'(ne pas modifier) BDD_REF'!$B$221)*'(ne pas modifier) BDD_REF'!$B$209</f>
        <v>0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</v>
      </c>
    </row>
    <row r="39" spans="1:108" ht="16" x14ac:dyDescent="0.2">
      <c r="B39" s="19" t="s">
        <v>329</v>
      </c>
      <c r="C39" s="39">
        <f>(C34+C35+C36)*'(ne pas modifier) BDD_REF'!$B$222*'(ne pas modifier) BDD_REF'!$B$210</f>
        <v>0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</v>
      </c>
    </row>
    <row r="40" spans="1:108" ht="16" x14ac:dyDescent="0.2">
      <c r="B40" s="7" t="s">
        <v>314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ht="16" x14ac:dyDescent="0.2">
      <c r="B41" s="7" t="s">
        <v>315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0</v>
      </c>
    </row>
    <row r="42" spans="1:108" ht="16" x14ac:dyDescent="0.2">
      <c r="B42" s="7" t="s">
        <v>316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ht="16" x14ac:dyDescent="0.2">
      <c r="B43" s="7" t="s">
        <v>317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ht="16" x14ac:dyDescent="0.2">
      <c r="B44" s="7" t="s">
        <v>318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ht="16" x14ac:dyDescent="0.2">
      <c r="B45" s="7" t="s">
        <v>319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ht="16" x14ac:dyDescent="0.2">
      <c r="B46" s="3" t="s">
        <v>172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</v>
      </c>
    </row>
    <row r="47" spans="1:108" ht="16" x14ac:dyDescent="0.2">
      <c r="B47" s="7" t="s">
        <v>320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ht="16" x14ac:dyDescent="0.2">
      <c r="B48" s="3" t="s">
        <v>183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ht="16" x14ac:dyDescent="0.2">
      <c r="A49" s="18"/>
      <c r="B49" s="19" t="s">
        <v>184</v>
      </c>
      <c r="C49" s="81">
        <f>C46+C48</f>
        <v>0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ht="16" x14ac:dyDescent="0.2">
      <c r="B50" s="7" t="s">
        <v>321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 ht="16" x14ac:dyDescent="0.2">
      <c r="B51" s="7" t="s">
        <v>322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ht="16" x14ac:dyDescent="0.2">
      <c r="B52" s="3" t="s">
        <v>291</v>
      </c>
      <c r="C52" s="39">
        <f>(C34*'(ne pas modifier) BDD_REF'!$B$212+'RECeff + REIamont (2)'!C50*'(ne pas modifier) BDD_REF'!$B$213+'RECeff + REIamont (2)'!C51*'(ne pas modifier) BDD_REF'!$B$214)/1000</f>
        <v>0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</v>
      </c>
    </row>
    <row r="53" spans="1:108" ht="16" hidden="1" x14ac:dyDescent="0.2">
      <c r="A53" s="17" t="s">
        <v>178</v>
      </c>
      <c r="B53" s="3" t="s">
        <v>174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ht="16" x14ac:dyDescent="0.2">
      <c r="B54" s="7" t="s">
        <v>323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ht="16" x14ac:dyDescent="0.2">
      <c r="B55" s="7" t="s">
        <v>324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ht="16" x14ac:dyDescent="0.2">
      <c r="B56" s="7" t="s">
        <v>325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ht="16" x14ac:dyDescent="0.2">
      <c r="B57" s="7" t="s">
        <v>326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ht="16" x14ac:dyDescent="0.2">
      <c r="B58" s="3" t="s">
        <v>293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ht="16" x14ac:dyDescent="0.2">
      <c r="A59" s="18"/>
      <c r="B59" s="19" t="s">
        <v>185</v>
      </c>
      <c r="C59" s="81">
        <f>C52+C53+C58</f>
        <v>0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ht="16" x14ac:dyDescent="0.2">
      <c r="A60" s="18"/>
      <c r="B60" s="20" t="s">
        <v>143</v>
      </c>
      <c r="C60" s="20">
        <f>((C37+C38+C39)/1000*44/28*'(ne pas modifier) BDD_REF'!$B$232)+'RECeff + REIamont (2)'!C49+'RECeff + REIamont (2)'!C59</f>
        <v>0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ht="16" x14ac:dyDescent="0.2">
      <c r="A61" s="13" t="s">
        <v>147</v>
      </c>
      <c r="B61" s="7" t="s">
        <v>311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ht="16" x14ac:dyDescent="0.2">
      <c r="B62" s="7" t="s">
        <v>312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ht="16" x14ac:dyDescent="0.2">
      <c r="B63" s="7" t="s">
        <v>313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ht="16" x14ac:dyDescent="0.2">
      <c r="B64" s="19" t="s">
        <v>327</v>
      </c>
      <c r="C64" s="39">
        <f>C61*'(ne pas modifier) BDD_REF'!$B$207 + (C62+C63)*'(ne pas modifier) BDD_REF'!$B$208</f>
        <v>0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</v>
      </c>
    </row>
    <row r="65" spans="1:108" ht="16" x14ac:dyDescent="0.2">
      <c r="B65" s="19" t="s">
        <v>328</v>
      </c>
      <c r="C65" s="39">
        <f>((C61*'(ne pas modifier) BDD_REF'!$B$220)+('RECeff + REIamont (2)'!C62+'RECeff + REIamont (2)'!C63)*'(ne pas modifier) BDD_REF'!$B$221)*'(ne pas modifier) BDD_REF'!$B$209</f>
        <v>0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</v>
      </c>
    </row>
    <row r="66" spans="1:108" ht="16" x14ac:dyDescent="0.2">
      <c r="B66" s="19" t="s">
        <v>329</v>
      </c>
      <c r="C66" s="39">
        <f>(C61+C62+C63)*'(ne pas modifier) BDD_REF'!$B$222*'(ne pas modifier) BDD_REF'!$B$210</f>
        <v>0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</v>
      </c>
    </row>
    <row r="67" spans="1:108" ht="16" x14ac:dyDescent="0.2">
      <c r="B67" s="7" t="s">
        <v>314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ht="16" x14ac:dyDescent="0.2">
      <c r="B68" s="7" t="s">
        <v>315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0</v>
      </c>
    </row>
    <row r="69" spans="1:108" ht="16" x14ac:dyDescent="0.2">
      <c r="B69" s="7" t="s">
        <v>316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ht="16" x14ac:dyDescent="0.2">
      <c r="B70" s="7" t="s">
        <v>317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ht="16" x14ac:dyDescent="0.2">
      <c r="B71" s="7" t="s">
        <v>318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ht="16" x14ac:dyDescent="0.2">
      <c r="B72" s="7" t="s">
        <v>319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ht="16" x14ac:dyDescent="0.2">
      <c r="B73" s="3" t="s">
        <v>172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</v>
      </c>
    </row>
    <row r="74" spans="1:108" ht="16" x14ac:dyDescent="0.2">
      <c r="B74" s="7" t="s">
        <v>320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ht="16" x14ac:dyDescent="0.2">
      <c r="B75" s="3" t="s">
        <v>183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ht="16" x14ac:dyDescent="0.2">
      <c r="A76" s="18"/>
      <c r="B76" s="19" t="s">
        <v>184</v>
      </c>
      <c r="C76" s="81">
        <f>C73+C75</f>
        <v>0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ht="16" x14ac:dyDescent="0.2">
      <c r="B77" s="7" t="s">
        <v>321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0</v>
      </c>
    </row>
    <row r="78" spans="1:108" ht="16" x14ac:dyDescent="0.2">
      <c r="B78" s="7" t="s">
        <v>322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ht="16" x14ac:dyDescent="0.2">
      <c r="B79" s="3" t="s">
        <v>291</v>
      </c>
      <c r="C79" s="39">
        <f>(C61*'(ne pas modifier) BDD_REF'!$B$212+'RECeff + REIamont (2)'!C77*'(ne pas modifier) BDD_REF'!$B$213+'RECeff + REIamont (2)'!C78*'(ne pas modifier) BDD_REF'!$B$214)/1000</f>
        <v>0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</v>
      </c>
    </row>
    <row r="80" spans="1:108" ht="16" hidden="1" x14ac:dyDescent="0.2">
      <c r="A80" s="17" t="s">
        <v>178</v>
      </c>
      <c r="B80" s="3" t="s">
        <v>174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ht="16" x14ac:dyDescent="0.2">
      <c r="B81" s="7" t="s">
        <v>323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ht="16" x14ac:dyDescent="0.2">
      <c r="B82" s="7" t="s">
        <v>324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ht="16" x14ac:dyDescent="0.2">
      <c r="B83" s="7" t="s">
        <v>325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ht="16" x14ac:dyDescent="0.2">
      <c r="B84" s="7" t="s">
        <v>326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ht="16" x14ac:dyDescent="0.2">
      <c r="B85" s="3" t="s">
        <v>293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</v>
      </c>
    </row>
    <row r="86" spans="1:108" s="16" customFormat="1" ht="16" x14ac:dyDescent="0.2">
      <c r="A86" s="18"/>
      <c r="B86" s="19" t="s">
        <v>185</v>
      </c>
      <c r="C86" s="81">
        <f>C79+C80+C85</f>
        <v>0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ht="16" x14ac:dyDescent="0.2">
      <c r="A87" s="18"/>
      <c r="B87" s="20" t="s">
        <v>143</v>
      </c>
      <c r="C87" s="20">
        <f>((C64+C65+C66)/1000*44/28*'(ne pas modifier) BDD_REF'!$B$232)+'RECeff + REIamont (2)'!C76+'RECeff + REIamont (2)'!C86</f>
        <v>0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ht="16" x14ac:dyDescent="0.2">
      <c r="A88" s="13" t="s">
        <v>148</v>
      </c>
      <c r="B88" s="7" t="s">
        <v>311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ht="16" x14ac:dyDescent="0.2">
      <c r="B89" s="7" t="s">
        <v>312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ht="16" x14ac:dyDescent="0.2">
      <c r="B90" s="7" t="s">
        <v>313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ht="16" x14ac:dyDescent="0.2">
      <c r="B91" s="19" t="s">
        <v>327</v>
      </c>
      <c r="C91" s="39">
        <f>C88*'(ne pas modifier) BDD_REF'!$B$207 + (C89+C90)*'(ne pas modifier) BDD_REF'!$B$208</f>
        <v>0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</v>
      </c>
    </row>
    <row r="92" spans="1:108" ht="16" x14ac:dyDescent="0.2">
      <c r="B92" s="19" t="s">
        <v>328</v>
      </c>
      <c r="C92" s="39">
        <f>((C88*'(ne pas modifier) BDD_REF'!$B$220)+('RECeff + REIamont (2)'!C89+'RECeff + REIamont (2)'!C90)*'(ne pas modifier) BDD_REF'!$B$221)*'(ne pas modifier) BDD_REF'!$B$209</f>
        <v>0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</v>
      </c>
    </row>
    <row r="93" spans="1:108" ht="16" x14ac:dyDescent="0.2">
      <c r="B93" s="19" t="s">
        <v>329</v>
      </c>
      <c r="C93" s="39">
        <f>(C88+C89+C90)*'(ne pas modifier) BDD_REF'!$B$222*'(ne pas modifier) BDD_REF'!$B$210</f>
        <v>0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</v>
      </c>
    </row>
    <row r="94" spans="1:108" ht="16" x14ac:dyDescent="0.2">
      <c r="B94" s="7" t="s">
        <v>314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ht="16" x14ac:dyDescent="0.2">
      <c r="B95" s="7" t="s">
        <v>315</v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0</v>
      </c>
    </row>
    <row r="96" spans="1:108" ht="16" x14ac:dyDescent="0.2">
      <c r="B96" s="7" t="s">
        <v>316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ht="16" x14ac:dyDescent="0.2">
      <c r="B97" s="7" t="s">
        <v>317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ht="16" x14ac:dyDescent="0.2">
      <c r="B98" s="7" t="s">
        <v>318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ht="16" x14ac:dyDescent="0.2">
      <c r="B99" s="7" t="s">
        <v>319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ht="16" x14ac:dyDescent="0.2">
      <c r="B100" s="3" t="s">
        <v>172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</v>
      </c>
    </row>
    <row r="101" spans="1:108" ht="16" x14ac:dyDescent="0.2">
      <c r="B101" s="7" t="s">
        <v>320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ht="16" x14ac:dyDescent="0.2">
      <c r="B102" s="3" t="s">
        <v>183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ht="16" x14ac:dyDescent="0.2">
      <c r="A103" s="18"/>
      <c r="B103" s="19" t="s">
        <v>184</v>
      </c>
      <c r="C103" s="81">
        <f>C100+C102</f>
        <v>0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ht="16" x14ac:dyDescent="0.2">
      <c r="B104" s="7" t="s">
        <v>321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 ht="16" x14ac:dyDescent="0.2">
      <c r="B105" s="7" t="s">
        <v>322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ht="16" x14ac:dyDescent="0.2">
      <c r="B106" s="3" t="s">
        <v>291</v>
      </c>
      <c r="C106" s="39">
        <f>(C88*'(ne pas modifier) BDD_REF'!$B$212+'RECeff + REIamont (2)'!C104*'(ne pas modifier) BDD_REF'!$B$213+'RECeff + REIamont (2)'!C105*'(ne pas modifier) BDD_REF'!$B$214)/1000</f>
        <v>0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</v>
      </c>
    </row>
    <row r="107" spans="1:108" ht="16" hidden="1" x14ac:dyDescent="0.2">
      <c r="A107" s="17" t="s">
        <v>178</v>
      </c>
      <c r="B107" s="3" t="s">
        <v>174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ht="16" x14ac:dyDescent="0.2">
      <c r="B108" s="7" t="s">
        <v>323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ht="16" x14ac:dyDescent="0.2">
      <c r="B109" s="7" t="s">
        <v>324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ht="16" x14ac:dyDescent="0.2">
      <c r="B110" s="7" t="s">
        <v>325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ht="16" x14ac:dyDescent="0.2">
      <c r="B111" s="7" t="s">
        <v>326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ht="16" x14ac:dyDescent="0.2">
      <c r="B112" s="3" t="s">
        <v>293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</v>
      </c>
    </row>
    <row r="113" spans="1:108" s="16" customFormat="1" ht="16" x14ac:dyDescent="0.2">
      <c r="A113" s="18"/>
      <c r="B113" s="19" t="s">
        <v>185</v>
      </c>
      <c r="C113" s="81">
        <f>C106+C107+C112</f>
        <v>0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ht="16" x14ac:dyDescent="0.2">
      <c r="A114" s="18"/>
      <c r="B114" s="20" t="s">
        <v>143</v>
      </c>
      <c r="C114" s="20">
        <f>((C91+C92+C93)/1000*44/28*'(ne pas modifier) BDD_REF'!$B$232)+'RECeff + REIamont (2)'!C103+'RECeff + REIamont (2)'!C113</f>
        <v>0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0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ht="16" x14ac:dyDescent="0.2">
      <c r="A115" s="13" t="s">
        <v>149</v>
      </c>
      <c r="B115" s="7" t="s">
        <v>311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ht="16" x14ac:dyDescent="0.2">
      <c r="B116" s="7" t="s">
        <v>312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ht="16" x14ac:dyDescent="0.2">
      <c r="B117" s="7" t="s">
        <v>313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ht="16" x14ac:dyDescent="0.2">
      <c r="B118" s="19" t="s">
        <v>327</v>
      </c>
      <c r="C118" s="39">
        <f>C115*'(ne pas modifier) BDD_REF'!$B$207 + (C116+C117)*'(ne pas modifier) BDD_REF'!$B$208</f>
        <v>0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</v>
      </c>
    </row>
    <row r="119" spans="1:108" ht="16" x14ac:dyDescent="0.2">
      <c r="B119" s="19" t="s">
        <v>328</v>
      </c>
      <c r="C119" s="39">
        <f>((C115*'(ne pas modifier) BDD_REF'!$B$220)+('RECeff + REIamont (2)'!C116+'RECeff + REIamont (2)'!C117)*'(ne pas modifier) BDD_REF'!$B$221)*'(ne pas modifier) BDD_REF'!$B$209</f>
        <v>0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</v>
      </c>
    </row>
    <row r="120" spans="1:108" ht="16" x14ac:dyDescent="0.2">
      <c r="B120" s="19" t="s">
        <v>329</v>
      </c>
      <c r="C120" s="39">
        <f>(C115+C116+C117)*'(ne pas modifier) BDD_REF'!$B$222*'(ne pas modifier) BDD_REF'!$B$210</f>
        <v>0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</v>
      </c>
    </row>
    <row r="121" spans="1:108" ht="16" x14ac:dyDescent="0.2">
      <c r="B121" s="7" t="s">
        <v>314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ht="16" x14ac:dyDescent="0.2">
      <c r="B122" s="7" t="s">
        <v>315</v>
      </c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0</v>
      </c>
    </row>
    <row r="123" spans="1:108" ht="16" x14ac:dyDescent="0.2">
      <c r="B123" s="7" t="s">
        <v>316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ht="16" x14ac:dyDescent="0.2">
      <c r="B124" s="7" t="s">
        <v>317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ht="16" x14ac:dyDescent="0.2">
      <c r="B125" s="7" t="s">
        <v>318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ht="16" x14ac:dyDescent="0.2">
      <c r="B126" s="7" t="s">
        <v>319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ht="16" x14ac:dyDescent="0.2">
      <c r="B127" s="3" t="s">
        <v>172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</v>
      </c>
    </row>
    <row r="128" spans="1:108" ht="16" x14ac:dyDescent="0.2">
      <c r="B128" s="7" t="s">
        <v>320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ht="16" x14ac:dyDescent="0.2">
      <c r="B129" s="3" t="s">
        <v>183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ht="16" x14ac:dyDescent="0.2">
      <c r="A130" s="18"/>
      <c r="B130" s="19" t="s">
        <v>184</v>
      </c>
      <c r="C130" s="81">
        <f>C127+C129</f>
        <v>0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ht="16" x14ac:dyDescent="0.2">
      <c r="B131" s="7" t="s">
        <v>321</v>
      </c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 ht="16" x14ac:dyDescent="0.2">
      <c r="B132" s="7" t="s">
        <v>322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ht="16" x14ac:dyDescent="0.2">
      <c r="B133" s="3" t="s">
        <v>291</v>
      </c>
      <c r="C133" s="39">
        <f>(C115*'(ne pas modifier) BDD_REF'!$B$212+'RECeff + REIamont (2)'!C131*'(ne pas modifier) BDD_REF'!$B$213+'RECeff + REIamont (2)'!C132*'(ne pas modifier) BDD_REF'!$B$214)/1000</f>
        <v>0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</v>
      </c>
    </row>
    <row r="134" spans="1:108" ht="16" hidden="1" x14ac:dyDescent="0.2">
      <c r="A134" s="17" t="s">
        <v>178</v>
      </c>
      <c r="B134" s="3" t="s">
        <v>174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ht="16" x14ac:dyDescent="0.2">
      <c r="B135" s="7" t="s">
        <v>323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ht="16" x14ac:dyDescent="0.2">
      <c r="B136" s="7" t="s">
        <v>324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ht="16" x14ac:dyDescent="0.2">
      <c r="B137" s="7" t="s">
        <v>325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ht="16" x14ac:dyDescent="0.2">
      <c r="B138" s="7" t="s">
        <v>326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ht="16" x14ac:dyDescent="0.2">
      <c r="B139" s="3" t="s">
        <v>293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</v>
      </c>
    </row>
    <row r="140" spans="1:108" s="16" customFormat="1" ht="16" x14ac:dyDescent="0.2">
      <c r="A140" s="18"/>
      <c r="B140" s="19" t="s">
        <v>185</v>
      </c>
      <c r="C140" s="81">
        <f>C133+C134+C139</f>
        <v>0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ht="16" x14ac:dyDescent="0.2">
      <c r="A141" s="18"/>
      <c r="B141" s="20" t="s">
        <v>143</v>
      </c>
      <c r="C141" s="20">
        <f>((C118+C119+C120)/1000*44/28*'(ne pas modifier) BDD_REF'!$B$232)+'RECeff + REIamont (2)'!C130+'RECeff + REIamont (2)'!C140</f>
        <v>0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0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ht="16" x14ac:dyDescent="0.2">
      <c r="B142" s="71" t="s">
        <v>188</v>
      </c>
      <c r="C142" s="71">
        <f>C33+C60+C87+C114+C141</f>
        <v>0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0</v>
      </c>
    </row>
    <row r="143" spans="1:108" ht="16" x14ac:dyDescent="0.2">
      <c r="B143" s="71" t="s">
        <v>221</v>
      </c>
      <c r="C143" s="71">
        <f>(C142-C5*5)</f>
        <v>-5.0059246801519999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ht="16" x14ac:dyDescent="0.2">
      <c r="B144" s="21" t="s">
        <v>187</v>
      </c>
      <c r="C144" s="21">
        <f>C143*Eligibilité_projet!B8</f>
        <v>-14.016589104425599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-14.016589104425599</v>
      </c>
    </row>
    <row r="145" spans="1:13" x14ac:dyDescent="0.2">
      <c r="B145" s="2"/>
      <c r="M145" s="2"/>
    </row>
    <row r="146" spans="1:13" x14ac:dyDescent="0.2">
      <c r="B146" s="2"/>
      <c r="M146" s="2"/>
    </row>
    <row r="147" spans="1:13" x14ac:dyDescent="0.2">
      <c r="B147" s="2"/>
      <c r="M147" s="2"/>
    </row>
    <row r="148" spans="1:13" x14ac:dyDescent="0.2">
      <c r="B148" s="2"/>
      <c r="M148" s="2"/>
    </row>
    <row r="149" spans="1:13" customFormat="1" x14ac:dyDescent="0.2">
      <c r="A149" s="17"/>
    </row>
    <row r="150" spans="1:13" customFormat="1" x14ac:dyDescent="0.2">
      <c r="A150" s="17"/>
    </row>
    <row r="151" spans="1:13" customFormat="1" x14ac:dyDescent="0.2">
      <c r="A151" s="17"/>
    </row>
    <row r="152" spans="1:13" customFormat="1" x14ac:dyDescent="0.2">
      <c r="A152" s="17"/>
    </row>
    <row r="153" spans="1:13" customFormat="1" x14ac:dyDescent="0.2">
      <c r="A153" s="17"/>
    </row>
    <row r="154" spans="1:13" customFormat="1" x14ac:dyDescent="0.2">
      <c r="A154" s="17"/>
    </row>
    <row r="155" spans="1:13" customFormat="1" x14ac:dyDescent="0.2">
      <c r="A155" s="17"/>
    </row>
    <row r="156" spans="1:13" customFormat="1" x14ac:dyDescent="0.2">
      <c r="A156" s="17"/>
    </row>
    <row r="157" spans="1:13" customFormat="1" x14ac:dyDescent="0.2">
      <c r="A157" s="17"/>
    </row>
    <row r="158" spans="1:13" customFormat="1" x14ac:dyDescent="0.2">
      <c r="A158" s="17"/>
    </row>
    <row r="159" spans="1:13" customFormat="1" x14ac:dyDescent="0.2">
      <c r="A159" s="17"/>
    </row>
    <row r="160" spans="1:13" customFormat="1" x14ac:dyDescent="0.2">
      <c r="A160" s="17"/>
    </row>
    <row r="161" spans="1:1" customFormat="1" x14ac:dyDescent="0.2">
      <c r="A161" s="17"/>
    </row>
    <row r="162" spans="1:1" customFormat="1" x14ac:dyDescent="0.2">
      <c r="A162" s="17"/>
    </row>
    <row r="163" spans="1:1" customFormat="1" x14ac:dyDescent="0.2">
      <c r="A163" s="17"/>
    </row>
    <row r="164" spans="1:1" customFormat="1" x14ac:dyDescent="0.2">
      <c r="A164" s="17"/>
    </row>
    <row r="165" spans="1:1" customFormat="1" x14ac:dyDescent="0.2">
      <c r="A165" s="17"/>
    </row>
    <row r="166" spans="1:1" customFormat="1" x14ac:dyDescent="0.2">
      <c r="A166" s="17"/>
    </row>
    <row r="167" spans="1:1" customFormat="1" x14ac:dyDescent="0.2">
      <c r="A167" s="17"/>
    </row>
    <row r="168" spans="1:1" customFormat="1" x14ac:dyDescent="0.2">
      <c r="A168" s="17"/>
    </row>
    <row r="169" spans="1:1" customFormat="1" x14ac:dyDescent="0.2">
      <c r="A169" s="17"/>
    </row>
    <row r="170" spans="1:1" customFormat="1" x14ac:dyDescent="0.2">
      <c r="A170" s="17"/>
    </row>
    <row r="171" spans="1:1" customFormat="1" x14ac:dyDescent="0.2">
      <c r="A171" s="17"/>
    </row>
    <row r="172" spans="1:1" customFormat="1" x14ac:dyDescent="0.2">
      <c r="A172" s="17"/>
    </row>
    <row r="173" spans="1:1" customFormat="1" x14ac:dyDescent="0.2">
      <c r="A173" s="17"/>
    </row>
    <row r="174" spans="1:1" customFormat="1" x14ac:dyDescent="0.2">
      <c r="A174" s="17"/>
    </row>
    <row r="175" spans="1:1" customFormat="1" x14ac:dyDescent="0.2">
      <c r="A175" s="17"/>
    </row>
    <row r="176" spans="1:1" customFormat="1" x14ac:dyDescent="0.2">
      <c r="A176" s="17"/>
    </row>
    <row r="177" spans="1:1" customFormat="1" x14ac:dyDescent="0.2">
      <c r="A177" s="17"/>
    </row>
    <row r="178" spans="1:1" customFormat="1" x14ac:dyDescent="0.2">
      <c r="A178" s="17"/>
    </row>
    <row r="179" spans="1:1" customFormat="1" x14ac:dyDescent="0.2">
      <c r="A179" s="17"/>
    </row>
    <row r="180" spans="1:1" customFormat="1" x14ac:dyDescent="0.2">
      <c r="A180" s="17"/>
    </row>
    <row r="181" spans="1:1" customFormat="1" x14ac:dyDescent="0.2">
      <c r="A181" s="17"/>
    </row>
    <row r="182" spans="1:1" customFormat="1" x14ac:dyDescent="0.2">
      <c r="A182" s="17"/>
    </row>
    <row r="183" spans="1:1" customFormat="1" x14ac:dyDescent="0.2">
      <c r="A183" s="17"/>
    </row>
    <row r="184" spans="1:1" customFormat="1" x14ac:dyDescent="0.2">
      <c r="A184" s="17"/>
    </row>
    <row r="185" spans="1:1" customFormat="1" x14ac:dyDescent="0.2">
      <c r="A185" s="17"/>
    </row>
    <row r="186" spans="1:1" customFormat="1" x14ac:dyDescent="0.2">
      <c r="A186" s="17"/>
    </row>
    <row r="187" spans="1:1" customFormat="1" x14ac:dyDescent="0.2">
      <c r="A187" s="17"/>
    </row>
    <row r="188" spans="1:1" customFormat="1" x14ac:dyDescent="0.2">
      <c r="A188" s="17"/>
    </row>
    <row r="189" spans="1:1" customFormat="1" x14ac:dyDescent="0.2">
      <c r="A189" s="17"/>
    </row>
    <row r="190" spans="1:1" customFormat="1" x14ac:dyDescent="0.2">
      <c r="A190" s="17"/>
    </row>
    <row r="191" spans="1:1" customFormat="1" x14ac:dyDescent="0.2">
      <c r="A191" s="17"/>
    </row>
    <row r="192" spans="1:1" customFormat="1" x14ac:dyDescent="0.2">
      <c r="A192" s="17"/>
    </row>
    <row r="193" spans="1:1" customFormat="1" x14ac:dyDescent="0.2">
      <c r="A193" s="17"/>
    </row>
    <row r="194" spans="1:1" customFormat="1" x14ac:dyDescent="0.2">
      <c r="A194" s="17"/>
    </row>
    <row r="195" spans="1:1" customFormat="1" x14ac:dyDescent="0.2">
      <c r="A195" s="17"/>
    </row>
    <row r="196" spans="1:1" customFormat="1" x14ac:dyDescent="0.2">
      <c r="A196" s="17"/>
    </row>
    <row r="197" spans="1:1" customFormat="1" x14ac:dyDescent="0.2">
      <c r="A197" s="17"/>
    </row>
    <row r="198" spans="1:1" customFormat="1" x14ac:dyDescent="0.2">
      <c r="A198" s="17"/>
    </row>
    <row r="199" spans="1:1" customFormat="1" x14ac:dyDescent="0.2">
      <c r="A199" s="17"/>
    </row>
    <row r="200" spans="1:1" customFormat="1" x14ac:dyDescent="0.2">
      <c r="A200" s="17"/>
    </row>
    <row r="201" spans="1:1" customFormat="1" x14ac:dyDescent="0.2">
      <c r="A201" s="17"/>
    </row>
    <row r="202" spans="1:1" customFormat="1" x14ac:dyDescent="0.2">
      <c r="A202" s="17"/>
    </row>
    <row r="203" spans="1:1" customFormat="1" x14ac:dyDescent="0.2">
      <c r="A203" s="17"/>
    </row>
    <row r="204" spans="1:1" customFormat="1" x14ac:dyDescent="0.2">
      <c r="A204" s="17"/>
    </row>
    <row r="205" spans="1:1" customFormat="1" x14ac:dyDescent="0.2">
      <c r="A205" s="17"/>
    </row>
    <row r="206" spans="1:1" customFormat="1" x14ac:dyDescent="0.2">
      <c r="A206" s="17"/>
    </row>
    <row r="207" spans="1:1" customFormat="1" x14ac:dyDescent="0.2">
      <c r="A207" s="17"/>
    </row>
    <row r="208" spans="1:1" customFormat="1" x14ac:dyDescent="0.2">
      <c r="A208" s="17"/>
    </row>
    <row r="209" spans="1:1" customFormat="1" x14ac:dyDescent="0.2">
      <c r="A209" s="17"/>
    </row>
    <row r="210" spans="1:1" customFormat="1" x14ac:dyDescent="0.2">
      <c r="A210" s="17"/>
    </row>
    <row r="211" spans="1:1" customFormat="1" x14ac:dyDescent="0.2">
      <c r="A211" s="17"/>
    </row>
    <row r="212" spans="1:1" customFormat="1" x14ac:dyDescent="0.2">
      <c r="A212" s="17"/>
    </row>
    <row r="213" spans="1:1" customFormat="1" x14ac:dyDescent="0.2">
      <c r="A213" s="17"/>
    </row>
    <row r="214" spans="1:1" customFormat="1" x14ac:dyDescent="0.2">
      <c r="A214" s="17"/>
    </row>
    <row r="215" spans="1:1" customFormat="1" x14ac:dyDescent="0.2">
      <c r="A215" s="17"/>
    </row>
    <row r="216" spans="1:1" customFormat="1" x14ac:dyDescent="0.2">
      <c r="A216" s="17"/>
    </row>
    <row r="217" spans="1:1" customFormat="1" x14ac:dyDescent="0.2">
      <c r="A217" s="17"/>
    </row>
    <row r="218" spans="1:1" customFormat="1" x14ac:dyDescent="0.2">
      <c r="A218" s="17"/>
    </row>
    <row r="219" spans="1:1" customFormat="1" x14ac:dyDescent="0.2">
      <c r="A219" s="17"/>
    </row>
    <row r="220" spans="1:1" customFormat="1" x14ac:dyDescent="0.2">
      <c r="A220" s="17"/>
    </row>
    <row r="221" spans="1:1" customFormat="1" x14ac:dyDescent="0.2">
      <c r="A221" s="17"/>
    </row>
    <row r="222" spans="1:1" customFormat="1" x14ac:dyDescent="0.2">
      <c r="A222" s="17"/>
    </row>
    <row r="223" spans="1:1" customFormat="1" x14ac:dyDescent="0.2">
      <c r="A223" s="17"/>
    </row>
    <row r="224" spans="1:1" customFormat="1" x14ac:dyDescent="0.2">
      <c r="A224" s="17"/>
    </row>
    <row r="225" spans="1:1" customFormat="1" x14ac:dyDescent="0.2">
      <c r="A225" s="17"/>
    </row>
    <row r="226" spans="1:1" customFormat="1" x14ac:dyDescent="0.2">
      <c r="A226" s="17"/>
    </row>
    <row r="227" spans="1:1" customFormat="1" x14ac:dyDescent="0.2">
      <c r="A227" s="17"/>
    </row>
    <row r="228" spans="1:1" customFormat="1" x14ac:dyDescent="0.2">
      <c r="A228" s="17"/>
    </row>
    <row r="229" spans="1:1" customFormat="1" x14ac:dyDescent="0.2">
      <c r="A229" s="17"/>
    </row>
    <row r="230" spans="1:1" customFormat="1" x14ac:dyDescent="0.2">
      <c r="A230" s="17"/>
    </row>
    <row r="231" spans="1:1" customFormat="1" x14ac:dyDescent="0.2">
      <c r="A231" s="17"/>
    </row>
    <row r="232" spans="1:1" customFormat="1" x14ac:dyDescent="0.2">
      <c r="A232" s="17"/>
    </row>
    <row r="233" spans="1:1" customFormat="1" x14ac:dyDescent="0.2">
      <c r="A233" s="17"/>
    </row>
    <row r="234" spans="1:1" customFormat="1" x14ac:dyDescent="0.2">
      <c r="A234" s="17"/>
    </row>
    <row r="235" spans="1:1" customFormat="1" x14ac:dyDescent="0.2">
      <c r="A235" s="17"/>
    </row>
    <row r="236" spans="1:1" customFormat="1" x14ac:dyDescent="0.2">
      <c r="A236" s="17"/>
    </row>
    <row r="237" spans="1:1" customFormat="1" x14ac:dyDescent="0.2">
      <c r="A237" s="17"/>
    </row>
    <row r="238" spans="1:1" customFormat="1" x14ac:dyDescent="0.2">
      <c r="A238" s="17"/>
    </row>
    <row r="239" spans="1:1" customFormat="1" x14ac:dyDescent="0.2">
      <c r="A239" s="17"/>
    </row>
    <row r="240" spans="1:1" customFormat="1" x14ac:dyDescent="0.2">
      <c r="A240" s="17"/>
    </row>
    <row r="241" spans="1:1" customFormat="1" x14ac:dyDescent="0.2">
      <c r="A241" s="17"/>
    </row>
    <row r="242" spans="1:1" customFormat="1" x14ac:dyDescent="0.2">
      <c r="A242" s="17"/>
    </row>
    <row r="243" spans="1:1" customFormat="1" x14ac:dyDescent="0.2">
      <c r="A243" s="17"/>
    </row>
    <row r="244" spans="1:1" customFormat="1" x14ac:dyDescent="0.2">
      <c r="A244" s="17"/>
    </row>
    <row r="245" spans="1:1" customFormat="1" x14ac:dyDescent="0.2">
      <c r="A245" s="17"/>
    </row>
    <row r="246" spans="1:1" customFormat="1" x14ac:dyDescent="0.2">
      <c r="A246" s="17"/>
    </row>
    <row r="247" spans="1:1" customFormat="1" x14ac:dyDescent="0.2">
      <c r="A247" s="17"/>
    </row>
    <row r="248" spans="1:1" customFormat="1" x14ac:dyDescent="0.2">
      <c r="A248" s="17"/>
    </row>
    <row r="249" spans="1:1" customFormat="1" x14ac:dyDescent="0.2">
      <c r="A249" s="17"/>
    </row>
    <row r="250" spans="1:1" customFormat="1" x14ac:dyDescent="0.2">
      <c r="A250" s="17"/>
    </row>
    <row r="251" spans="1:1" customFormat="1" x14ac:dyDescent="0.2">
      <c r="A251" s="17"/>
    </row>
    <row r="252" spans="1:1" customFormat="1" x14ac:dyDescent="0.2">
      <c r="A252" s="17"/>
    </row>
    <row r="253" spans="1:1" customFormat="1" x14ac:dyDescent="0.2">
      <c r="A253" s="17"/>
    </row>
    <row r="254" spans="1:1" customFormat="1" x14ac:dyDescent="0.2">
      <c r="A254" s="17"/>
    </row>
    <row r="255" spans="1:1" customFormat="1" x14ac:dyDescent="0.2">
      <c r="A255" s="17"/>
    </row>
    <row r="256" spans="1:1" customFormat="1" x14ac:dyDescent="0.2">
      <c r="A256" s="17"/>
    </row>
    <row r="257" spans="1:1" customFormat="1" x14ac:dyDescent="0.2">
      <c r="A257" s="17"/>
    </row>
    <row r="258" spans="1:1" customFormat="1" x14ac:dyDescent="0.2">
      <c r="A258" s="17"/>
    </row>
    <row r="259" spans="1:1" customFormat="1" x14ac:dyDescent="0.2">
      <c r="A259" s="17"/>
    </row>
    <row r="260" spans="1:1" customFormat="1" x14ac:dyDescent="0.2">
      <c r="A260" s="17"/>
    </row>
    <row r="261" spans="1:1" customFormat="1" x14ac:dyDescent="0.2">
      <c r="A261" s="17"/>
    </row>
    <row r="262" spans="1:1" customFormat="1" x14ac:dyDescent="0.2">
      <c r="A262" s="17"/>
    </row>
    <row r="263" spans="1:1" customFormat="1" x14ac:dyDescent="0.2">
      <c r="A263" s="17"/>
    </row>
    <row r="264" spans="1:1" customFormat="1" x14ac:dyDescent="0.2">
      <c r="A264" s="17"/>
    </row>
    <row r="265" spans="1:1" customFormat="1" x14ac:dyDescent="0.2">
      <c r="A265" s="17"/>
    </row>
    <row r="266" spans="1:1" customFormat="1" x14ac:dyDescent="0.2">
      <c r="A266" s="17"/>
    </row>
    <row r="267" spans="1:1" customFormat="1" x14ac:dyDescent="0.2">
      <c r="A267" s="17"/>
    </row>
    <row r="268" spans="1:1" customFormat="1" x14ac:dyDescent="0.2">
      <c r="A268" s="17"/>
    </row>
    <row r="269" spans="1:1" customFormat="1" x14ac:dyDescent="0.2">
      <c r="A269" s="17"/>
    </row>
    <row r="270" spans="1:1" customFormat="1" x14ac:dyDescent="0.2">
      <c r="A270" s="17"/>
    </row>
    <row r="271" spans="1:1" customFormat="1" x14ac:dyDescent="0.2">
      <c r="A271" s="17"/>
    </row>
    <row r="272" spans="1:1" customFormat="1" x14ac:dyDescent="0.2">
      <c r="A272" s="17"/>
    </row>
    <row r="273" spans="1:1" customFormat="1" x14ac:dyDescent="0.2">
      <c r="A273" s="17"/>
    </row>
    <row r="274" spans="1:1" customFormat="1" x14ac:dyDescent="0.2">
      <c r="A274" s="17"/>
    </row>
    <row r="275" spans="1:1" customFormat="1" x14ac:dyDescent="0.2">
      <c r="A275" s="17"/>
    </row>
    <row r="276" spans="1:1" customFormat="1" x14ac:dyDescent="0.2">
      <c r="A276" s="17"/>
    </row>
    <row r="277" spans="1:1" customFormat="1" x14ac:dyDescent="0.2">
      <c r="A277" s="17"/>
    </row>
    <row r="278" spans="1:1" customFormat="1" x14ac:dyDescent="0.2">
      <c r="A278" s="17"/>
    </row>
    <row r="279" spans="1:1" customFormat="1" x14ac:dyDescent="0.2">
      <c r="A279" s="17"/>
    </row>
    <row r="280" spans="1:1" customFormat="1" x14ac:dyDescent="0.2">
      <c r="A280" s="17"/>
    </row>
    <row r="281" spans="1:1" customFormat="1" x14ac:dyDescent="0.2">
      <c r="A281" s="17"/>
    </row>
    <row r="282" spans="1:1" customFormat="1" x14ac:dyDescent="0.2">
      <c r="A282" s="17"/>
    </row>
    <row r="283" spans="1:1" customFormat="1" x14ac:dyDescent="0.2">
      <c r="A283" s="17"/>
    </row>
    <row r="284" spans="1:1" customFormat="1" x14ac:dyDescent="0.2">
      <c r="A284" s="17"/>
    </row>
    <row r="285" spans="1:1" customFormat="1" x14ac:dyDescent="0.2">
      <c r="A285" s="17"/>
    </row>
    <row r="286" spans="1:1" customFormat="1" x14ac:dyDescent="0.2">
      <c r="A286" s="17"/>
    </row>
    <row r="287" spans="1:1" customFormat="1" x14ac:dyDescent="0.2">
      <c r="A287" s="17"/>
    </row>
    <row r="288" spans="1:1" customFormat="1" x14ac:dyDescent="0.2">
      <c r="A288" s="17"/>
    </row>
    <row r="289" spans="1:1" customFormat="1" x14ac:dyDescent="0.2">
      <c r="A289" s="17"/>
    </row>
    <row r="290" spans="1:1" customFormat="1" x14ac:dyDescent="0.2">
      <c r="A290" s="17"/>
    </row>
    <row r="291" spans="1:1" customFormat="1" x14ac:dyDescent="0.2">
      <c r="A291" s="17"/>
    </row>
    <row r="292" spans="1:1" customFormat="1" x14ac:dyDescent="0.2">
      <c r="A292" s="17"/>
    </row>
    <row r="293" spans="1:1" customFormat="1" x14ac:dyDescent="0.2">
      <c r="A293" s="17"/>
    </row>
    <row r="294" spans="1:1" customFormat="1" x14ac:dyDescent="0.2">
      <c r="A294" s="17"/>
    </row>
    <row r="295" spans="1:1" customFormat="1" x14ac:dyDescent="0.2">
      <c r="A295" s="17"/>
    </row>
    <row r="296" spans="1:1" customFormat="1" x14ac:dyDescent="0.2">
      <c r="A296" s="17"/>
    </row>
    <row r="297" spans="1:1" customFormat="1" x14ac:dyDescent="0.2">
      <c r="A297" s="17"/>
    </row>
    <row r="298" spans="1:1" customFormat="1" x14ac:dyDescent="0.2">
      <c r="A298" s="17"/>
    </row>
    <row r="299" spans="1:1" customFormat="1" x14ac:dyDescent="0.2">
      <c r="A299" s="17"/>
    </row>
    <row r="300" spans="1:1" customFormat="1" x14ac:dyDescent="0.2">
      <c r="A300" s="17"/>
    </row>
    <row r="301" spans="1:1" customFormat="1" x14ac:dyDescent="0.2">
      <c r="A301" s="17"/>
    </row>
    <row r="302" spans="1:1" customFormat="1" x14ac:dyDescent="0.2">
      <c r="A302" s="17"/>
    </row>
    <row r="303" spans="1:1" customFormat="1" x14ac:dyDescent="0.2">
      <c r="A303" s="17"/>
    </row>
    <row r="304" spans="1:1" customFormat="1" x14ac:dyDescent="0.2">
      <c r="A304" s="17"/>
    </row>
    <row r="305" spans="1:1" customFormat="1" x14ac:dyDescent="0.2">
      <c r="A305" s="17"/>
    </row>
    <row r="306" spans="1:1" customFormat="1" x14ac:dyDescent="0.2">
      <c r="A306" s="17"/>
    </row>
    <row r="307" spans="1:1" customFormat="1" x14ac:dyDescent="0.2">
      <c r="A307" s="17"/>
    </row>
    <row r="308" spans="1:1" customFormat="1" x14ac:dyDescent="0.2">
      <c r="A308" s="17"/>
    </row>
    <row r="309" spans="1:1" customFormat="1" x14ac:dyDescent="0.2">
      <c r="A309" s="17"/>
    </row>
    <row r="310" spans="1:1" customFormat="1" x14ac:dyDescent="0.2">
      <c r="A310" s="17"/>
    </row>
    <row r="311" spans="1:1" customFormat="1" x14ac:dyDescent="0.2">
      <c r="A311" s="17"/>
    </row>
    <row r="312" spans="1:1" customFormat="1" x14ac:dyDescent="0.2">
      <c r="A312" s="17"/>
    </row>
    <row r="313" spans="1:1" customFormat="1" x14ac:dyDescent="0.2">
      <c r="A313" s="17"/>
    </row>
    <row r="314" spans="1:1" customFormat="1" x14ac:dyDescent="0.2">
      <c r="A314" s="17"/>
    </row>
    <row r="315" spans="1:1" customFormat="1" x14ac:dyDescent="0.2">
      <c r="A315" s="17"/>
    </row>
    <row r="316" spans="1:1" customFormat="1" x14ac:dyDescent="0.2">
      <c r="A316" s="17"/>
    </row>
    <row r="317" spans="1:1" customFormat="1" x14ac:dyDescent="0.2">
      <c r="A317" s="17"/>
    </row>
    <row r="318" spans="1:1" customFormat="1" x14ac:dyDescent="0.2">
      <c r="A318" s="17"/>
    </row>
    <row r="319" spans="1:1" customFormat="1" x14ac:dyDescent="0.2">
      <c r="A319" s="17"/>
    </row>
    <row r="320" spans="1:1" customFormat="1" x14ac:dyDescent="0.2">
      <c r="A320" s="17"/>
    </row>
    <row r="321" spans="1:1" customFormat="1" x14ac:dyDescent="0.2">
      <c r="A321" s="17"/>
    </row>
    <row r="322" spans="1:1" customFormat="1" x14ac:dyDescent="0.2">
      <c r="A322" s="17"/>
    </row>
    <row r="323" spans="1:1" customFormat="1" x14ac:dyDescent="0.2">
      <c r="A323" s="17"/>
    </row>
    <row r="324" spans="1:1" customFormat="1" x14ac:dyDescent="0.2">
      <c r="A324" s="17"/>
    </row>
    <row r="325" spans="1:1" customFormat="1" x14ac:dyDescent="0.2">
      <c r="A325" s="17"/>
    </row>
    <row r="326" spans="1:1" customFormat="1" x14ac:dyDescent="0.2">
      <c r="A326" s="17"/>
    </row>
    <row r="327" spans="1:1" customFormat="1" x14ac:dyDescent="0.2">
      <c r="A327" s="17"/>
    </row>
    <row r="328" spans="1:1" customFormat="1" x14ac:dyDescent="0.2">
      <c r="A328" s="17"/>
    </row>
    <row r="329" spans="1:1" customFormat="1" x14ac:dyDescent="0.2">
      <c r="A329" s="17"/>
    </row>
    <row r="330" spans="1:1" customFormat="1" x14ac:dyDescent="0.2">
      <c r="A330" s="17"/>
    </row>
    <row r="331" spans="1:1" customFormat="1" x14ac:dyDescent="0.2">
      <c r="A331" s="17"/>
    </row>
    <row r="332" spans="1:1" customFormat="1" x14ac:dyDescent="0.2">
      <c r="A332" s="17"/>
    </row>
    <row r="333" spans="1:1" customFormat="1" x14ac:dyDescent="0.2">
      <c r="A333" s="17"/>
    </row>
    <row r="334" spans="1:1" customFormat="1" x14ac:dyDescent="0.2">
      <c r="A334" s="17"/>
    </row>
    <row r="335" spans="1:1" customFormat="1" x14ac:dyDescent="0.2">
      <c r="A335" s="17"/>
    </row>
    <row r="336" spans="1:1" customFormat="1" x14ac:dyDescent="0.2">
      <c r="A336" s="17"/>
    </row>
    <row r="337" spans="1:1" customFormat="1" x14ac:dyDescent="0.2">
      <c r="A337" s="17"/>
    </row>
    <row r="338" spans="1:1" customFormat="1" x14ac:dyDescent="0.2">
      <c r="A338" s="17"/>
    </row>
    <row r="339" spans="1:1" customFormat="1" x14ac:dyDescent="0.2">
      <c r="A339" s="17"/>
    </row>
    <row r="340" spans="1:1" customFormat="1" x14ac:dyDescent="0.2">
      <c r="A340" s="17"/>
    </row>
    <row r="341" spans="1:1" customFormat="1" x14ac:dyDescent="0.2">
      <c r="A341" s="17"/>
    </row>
    <row r="342" spans="1:1" customFormat="1" x14ac:dyDescent="0.2">
      <c r="A342" s="17"/>
    </row>
    <row r="343" spans="1:1" customFormat="1" x14ac:dyDescent="0.2">
      <c r="A343" s="17"/>
    </row>
    <row r="344" spans="1:1" customFormat="1" x14ac:dyDescent="0.2">
      <c r="A344" s="17"/>
    </row>
    <row r="345" spans="1:1" customFormat="1" x14ac:dyDescent="0.2">
      <c r="A345" s="17"/>
    </row>
    <row r="346" spans="1:1" customFormat="1" x14ac:dyDescent="0.2">
      <c r="A346" s="17"/>
    </row>
    <row r="347" spans="1:1" customFormat="1" x14ac:dyDescent="0.2">
      <c r="A347" s="17"/>
    </row>
    <row r="348" spans="1:1" customFormat="1" x14ac:dyDescent="0.2">
      <c r="A348" s="17"/>
    </row>
    <row r="349" spans="1:1" customFormat="1" x14ac:dyDescent="0.2">
      <c r="A349" s="17"/>
    </row>
    <row r="350" spans="1:1" customFormat="1" x14ac:dyDescent="0.2">
      <c r="A350" s="17"/>
    </row>
    <row r="351" spans="1:1" customFormat="1" x14ac:dyDescent="0.2">
      <c r="A351" s="17"/>
    </row>
    <row r="352" spans="1:1" customFormat="1" x14ac:dyDescent="0.2">
      <c r="A352" s="17"/>
    </row>
    <row r="353" spans="1:1" customFormat="1" x14ac:dyDescent="0.2">
      <c r="A353" s="17"/>
    </row>
    <row r="354" spans="1:1" customFormat="1" x14ac:dyDescent="0.2">
      <c r="A354" s="17"/>
    </row>
    <row r="355" spans="1:1" customFormat="1" x14ac:dyDescent="0.2">
      <c r="A355" s="17"/>
    </row>
    <row r="356" spans="1:1" customFormat="1" x14ac:dyDescent="0.2">
      <c r="A356" s="17"/>
    </row>
    <row r="357" spans="1:1" customFormat="1" x14ac:dyDescent="0.2">
      <c r="A357" s="17"/>
    </row>
    <row r="358" spans="1:1" customFormat="1" x14ac:dyDescent="0.2">
      <c r="A358" s="17"/>
    </row>
    <row r="359" spans="1:1" customFormat="1" x14ac:dyDescent="0.2">
      <c r="A359" s="17"/>
    </row>
    <row r="360" spans="1:1" customFormat="1" x14ac:dyDescent="0.2">
      <c r="A360" s="17"/>
    </row>
    <row r="361" spans="1:1" customFormat="1" x14ac:dyDescent="0.2">
      <c r="A361" s="17"/>
    </row>
    <row r="362" spans="1:1" customFormat="1" x14ac:dyDescent="0.2">
      <c r="A362" s="17"/>
    </row>
    <row r="363" spans="1:1" customFormat="1" x14ac:dyDescent="0.2">
      <c r="A363" s="17"/>
    </row>
    <row r="364" spans="1:1" customFormat="1" x14ac:dyDescent="0.2">
      <c r="A364" s="17"/>
    </row>
    <row r="365" spans="1:1" customFormat="1" x14ac:dyDescent="0.2">
      <c r="A365" s="17"/>
    </row>
    <row r="366" spans="1:1" customFormat="1" x14ac:dyDescent="0.2">
      <c r="A366" s="17"/>
    </row>
    <row r="367" spans="1:1" customFormat="1" x14ac:dyDescent="0.2">
      <c r="A367" s="17"/>
    </row>
    <row r="368" spans="1:1" customFormat="1" x14ac:dyDescent="0.2">
      <c r="A368" s="17"/>
    </row>
    <row r="369" spans="1:1" customFormat="1" x14ac:dyDescent="0.2">
      <c r="A369" s="17"/>
    </row>
    <row r="370" spans="1:1" customFormat="1" x14ac:dyDescent="0.2">
      <c r="A370" s="17"/>
    </row>
    <row r="371" spans="1:1" customFormat="1" x14ac:dyDescent="0.2">
      <c r="A371" s="17"/>
    </row>
    <row r="372" spans="1:1" customFormat="1" x14ac:dyDescent="0.2">
      <c r="A372" s="17"/>
    </row>
    <row r="373" spans="1:1" customFormat="1" x14ac:dyDescent="0.2">
      <c r="A373" s="17"/>
    </row>
    <row r="374" spans="1:1" customFormat="1" x14ac:dyDescent="0.2">
      <c r="A374" s="17"/>
    </row>
    <row r="375" spans="1:1" customFormat="1" x14ac:dyDescent="0.2">
      <c r="A375" s="17"/>
    </row>
    <row r="376" spans="1:1" customFormat="1" x14ac:dyDescent="0.2">
      <c r="A376" s="17"/>
    </row>
    <row r="377" spans="1:1" customFormat="1" x14ac:dyDescent="0.2">
      <c r="A377" s="17"/>
    </row>
    <row r="378" spans="1:1" customFormat="1" x14ac:dyDescent="0.2">
      <c r="A378" s="17"/>
    </row>
    <row r="379" spans="1:1" customFormat="1" x14ac:dyDescent="0.2">
      <c r="A379" s="17"/>
    </row>
    <row r="380" spans="1:1" customFormat="1" x14ac:dyDescent="0.2">
      <c r="A380" s="17"/>
    </row>
    <row r="381" spans="1:1" customFormat="1" x14ac:dyDescent="0.2">
      <c r="A381" s="17"/>
    </row>
    <row r="382" spans="1:1" customFormat="1" x14ac:dyDescent="0.2">
      <c r="A382" s="17"/>
    </row>
    <row r="383" spans="1:1" customFormat="1" x14ac:dyDescent="0.2">
      <c r="A383" s="17"/>
    </row>
    <row r="384" spans="1:1" customFormat="1" x14ac:dyDescent="0.2">
      <c r="A384" s="17"/>
    </row>
    <row r="385" spans="1:1" customFormat="1" x14ac:dyDescent="0.2">
      <c r="A385" s="17"/>
    </row>
    <row r="386" spans="1:1" customFormat="1" x14ac:dyDescent="0.2">
      <c r="A386" s="17"/>
    </row>
    <row r="387" spans="1:1" customFormat="1" x14ac:dyDescent="0.2">
      <c r="A387" s="17"/>
    </row>
    <row r="388" spans="1:1" customFormat="1" x14ac:dyDescent="0.2">
      <c r="A388" s="17"/>
    </row>
    <row r="389" spans="1:1" customFormat="1" x14ac:dyDescent="0.2">
      <c r="A389" s="17"/>
    </row>
    <row r="390" spans="1:1" customFormat="1" x14ac:dyDescent="0.2">
      <c r="A390" s="17"/>
    </row>
    <row r="391" spans="1:1" customFormat="1" x14ac:dyDescent="0.2">
      <c r="A391" s="17"/>
    </row>
    <row r="392" spans="1:1" customFormat="1" x14ac:dyDescent="0.2">
      <c r="A392" s="17"/>
    </row>
    <row r="393" spans="1:1" customFormat="1" x14ac:dyDescent="0.2">
      <c r="A393" s="17"/>
    </row>
    <row r="394" spans="1:1" customFormat="1" x14ac:dyDescent="0.2">
      <c r="A394" s="17"/>
    </row>
    <row r="395" spans="1:1" customFormat="1" x14ac:dyDescent="0.2">
      <c r="A395" s="17"/>
    </row>
    <row r="396" spans="1:1" customFormat="1" x14ac:dyDescent="0.2">
      <c r="A396" s="17"/>
    </row>
    <row r="397" spans="1:1" customFormat="1" x14ac:dyDescent="0.2">
      <c r="A397" s="17"/>
    </row>
    <row r="398" spans="1:1" customFormat="1" x14ac:dyDescent="0.2">
      <c r="A398" s="17"/>
    </row>
    <row r="399" spans="1:1" customFormat="1" x14ac:dyDescent="0.2">
      <c r="A399" s="17"/>
    </row>
    <row r="400" spans="1:1" customFormat="1" x14ac:dyDescent="0.2">
      <c r="A400" s="17"/>
    </row>
    <row r="401" spans="1:1" customFormat="1" x14ac:dyDescent="0.2">
      <c r="A401" s="17"/>
    </row>
    <row r="402" spans="1:1" customFormat="1" x14ac:dyDescent="0.2">
      <c r="A402" s="17"/>
    </row>
    <row r="403" spans="1:1" customFormat="1" x14ac:dyDescent="0.2">
      <c r="A403" s="17"/>
    </row>
    <row r="404" spans="1:1" customFormat="1" x14ac:dyDescent="0.2">
      <c r="A404" s="17"/>
    </row>
    <row r="405" spans="1:1" customFormat="1" x14ac:dyDescent="0.2">
      <c r="A405" s="17"/>
    </row>
    <row r="406" spans="1:1" customFormat="1" x14ac:dyDescent="0.2">
      <c r="A406" s="17"/>
    </row>
    <row r="407" spans="1:1" customFormat="1" x14ac:dyDescent="0.2">
      <c r="A407" s="17"/>
    </row>
    <row r="408" spans="1:1" customFormat="1" x14ac:dyDescent="0.2">
      <c r="A408" s="17"/>
    </row>
    <row r="409" spans="1:1" customFormat="1" x14ac:dyDescent="0.2">
      <c r="A409" s="17"/>
    </row>
    <row r="410" spans="1:1" customFormat="1" x14ac:dyDescent="0.2">
      <c r="A410" s="17"/>
    </row>
    <row r="411" spans="1:1" customFormat="1" x14ac:dyDescent="0.2">
      <c r="A411" s="17"/>
    </row>
    <row r="412" spans="1:1" customFormat="1" x14ac:dyDescent="0.2">
      <c r="A412" s="17"/>
    </row>
    <row r="413" spans="1:1" customFormat="1" x14ac:dyDescent="0.2">
      <c r="A413" s="17"/>
    </row>
    <row r="414" spans="1:1" customFormat="1" x14ac:dyDescent="0.2">
      <c r="A414" s="17"/>
    </row>
    <row r="415" spans="1:1" customFormat="1" x14ac:dyDescent="0.2">
      <c r="A415" s="17"/>
    </row>
    <row r="416" spans="1:1" customFormat="1" x14ac:dyDescent="0.2">
      <c r="A416" s="17"/>
    </row>
    <row r="417" spans="1:1" customFormat="1" x14ac:dyDescent="0.2">
      <c r="A417" s="17"/>
    </row>
    <row r="418" spans="1:1" customFormat="1" x14ac:dyDescent="0.2">
      <c r="A418" s="17"/>
    </row>
    <row r="419" spans="1:1" customFormat="1" x14ac:dyDescent="0.2">
      <c r="A419" s="17"/>
    </row>
    <row r="420" spans="1:1" customFormat="1" x14ac:dyDescent="0.2">
      <c r="A420" s="17"/>
    </row>
    <row r="421" spans="1:1" customFormat="1" x14ac:dyDescent="0.2">
      <c r="A421" s="17"/>
    </row>
    <row r="422" spans="1:1" customFormat="1" x14ac:dyDescent="0.2">
      <c r="A422" s="17"/>
    </row>
    <row r="423" spans="1:1" customFormat="1" x14ac:dyDescent="0.2">
      <c r="A423" s="17"/>
    </row>
    <row r="424" spans="1:1" customFormat="1" x14ac:dyDescent="0.2">
      <c r="A424" s="17"/>
    </row>
    <row r="425" spans="1:1" customFormat="1" x14ac:dyDescent="0.2">
      <c r="A425" s="17"/>
    </row>
    <row r="426" spans="1:1" customFormat="1" x14ac:dyDescent="0.2">
      <c r="A426" s="17"/>
    </row>
    <row r="427" spans="1:1" customFormat="1" x14ac:dyDescent="0.2">
      <c r="A427" s="17"/>
    </row>
    <row r="428" spans="1:1" customFormat="1" x14ac:dyDescent="0.2">
      <c r="A428" s="17"/>
    </row>
    <row r="429" spans="1:1" customFormat="1" x14ac:dyDescent="0.2">
      <c r="A429" s="17"/>
    </row>
    <row r="430" spans="1:1" customFormat="1" x14ac:dyDescent="0.2">
      <c r="A430" s="17"/>
    </row>
    <row r="431" spans="1:1" customFormat="1" x14ac:dyDescent="0.2">
      <c r="A431" s="17"/>
    </row>
    <row r="432" spans="1:1" customFormat="1" x14ac:dyDescent="0.2">
      <c r="A432" s="17"/>
    </row>
    <row r="433" spans="1:1" customFormat="1" x14ac:dyDescent="0.2">
      <c r="A433" s="17"/>
    </row>
    <row r="434" spans="1:1" customFormat="1" x14ac:dyDescent="0.2">
      <c r="A434" s="17"/>
    </row>
    <row r="435" spans="1:1" customFormat="1" x14ac:dyDescent="0.2">
      <c r="A435" s="17"/>
    </row>
    <row r="436" spans="1:1" customFormat="1" x14ac:dyDescent="0.2">
      <c r="A436" s="17"/>
    </row>
    <row r="437" spans="1:1" customFormat="1" x14ac:dyDescent="0.2">
      <c r="A437" s="17"/>
    </row>
    <row r="438" spans="1:1" customFormat="1" x14ac:dyDescent="0.2">
      <c r="A438" s="17"/>
    </row>
    <row r="439" spans="1:1" customFormat="1" x14ac:dyDescent="0.2">
      <c r="A439" s="17"/>
    </row>
    <row r="440" spans="1:1" customFormat="1" x14ac:dyDescent="0.2">
      <c r="A440" s="17"/>
    </row>
    <row r="441" spans="1:1" customFormat="1" x14ac:dyDescent="0.2">
      <c r="A441" s="17"/>
    </row>
    <row r="442" spans="1:1" customFormat="1" x14ac:dyDescent="0.2">
      <c r="A442" s="17"/>
    </row>
    <row r="443" spans="1:1" customFormat="1" x14ac:dyDescent="0.2">
      <c r="A443" s="17"/>
    </row>
    <row r="444" spans="1:1" customFormat="1" x14ac:dyDescent="0.2">
      <c r="A444" s="17"/>
    </row>
    <row r="445" spans="1:1" customFormat="1" x14ac:dyDescent="0.2">
      <c r="A445" s="17"/>
    </row>
    <row r="446" spans="1:1" customFormat="1" x14ac:dyDescent="0.2">
      <c r="A446" s="17"/>
    </row>
    <row r="447" spans="1:1" customFormat="1" x14ac:dyDescent="0.2">
      <c r="A447" s="17"/>
    </row>
    <row r="448" spans="1:1" customFormat="1" x14ac:dyDescent="0.2">
      <c r="A448" s="17"/>
    </row>
    <row r="449" spans="1:1" customFormat="1" x14ac:dyDescent="0.2">
      <c r="A449" s="17"/>
    </row>
    <row r="450" spans="1:1" customFormat="1" x14ac:dyDescent="0.2">
      <c r="A450" s="17"/>
    </row>
    <row r="451" spans="1:1" customFormat="1" x14ac:dyDescent="0.2">
      <c r="A451" s="17"/>
    </row>
    <row r="452" spans="1:1" customFormat="1" x14ac:dyDescent="0.2">
      <c r="A452" s="17"/>
    </row>
    <row r="453" spans="1:1" customFormat="1" x14ac:dyDescent="0.2">
      <c r="A453" s="17"/>
    </row>
    <row r="454" spans="1:1" customFormat="1" x14ac:dyDescent="0.2">
      <c r="A454" s="17"/>
    </row>
    <row r="455" spans="1:1" customFormat="1" x14ac:dyDescent="0.2">
      <c r="A455" s="17"/>
    </row>
    <row r="456" spans="1:1" customFormat="1" x14ac:dyDescent="0.2">
      <c r="A456" s="17"/>
    </row>
    <row r="457" spans="1:1" customFormat="1" x14ac:dyDescent="0.2">
      <c r="A457" s="17"/>
    </row>
    <row r="458" spans="1:1" customFormat="1" x14ac:dyDescent="0.2">
      <c r="A458" s="17"/>
    </row>
    <row r="459" spans="1:1" customFormat="1" x14ac:dyDescent="0.2">
      <c r="A459" s="17"/>
    </row>
    <row r="460" spans="1:1" customFormat="1" x14ac:dyDescent="0.2">
      <c r="A460" s="17"/>
    </row>
    <row r="461" spans="1:1" customFormat="1" x14ac:dyDescent="0.2">
      <c r="A461" s="17"/>
    </row>
    <row r="462" spans="1:1" customFormat="1" x14ac:dyDescent="0.2">
      <c r="A462" s="17"/>
    </row>
    <row r="463" spans="1:1" customFormat="1" x14ac:dyDescent="0.2">
      <c r="A463" s="17"/>
    </row>
    <row r="464" spans="1:1" customFormat="1" x14ac:dyDescent="0.2">
      <c r="A464" s="17"/>
    </row>
    <row r="465" spans="1:1" customFormat="1" x14ac:dyDescent="0.2">
      <c r="A465" s="17"/>
    </row>
    <row r="466" spans="1:1" customFormat="1" x14ac:dyDescent="0.2">
      <c r="A466" s="17"/>
    </row>
    <row r="467" spans="1:1" customFormat="1" x14ac:dyDescent="0.2">
      <c r="A467" s="17"/>
    </row>
    <row r="468" spans="1:1" customFormat="1" x14ac:dyDescent="0.2">
      <c r="A468" s="17"/>
    </row>
    <row r="469" spans="1:1" customFormat="1" x14ac:dyDescent="0.2">
      <c r="A469" s="17"/>
    </row>
    <row r="470" spans="1:1" customFormat="1" x14ac:dyDescent="0.2">
      <c r="A470" s="17"/>
    </row>
    <row r="471" spans="1:1" customFormat="1" x14ac:dyDescent="0.2">
      <c r="A471" s="17"/>
    </row>
    <row r="472" spans="1:1" customFormat="1" x14ac:dyDescent="0.2">
      <c r="A472" s="17"/>
    </row>
    <row r="473" spans="1:1" customFormat="1" x14ac:dyDescent="0.2">
      <c r="A473" s="17"/>
    </row>
    <row r="474" spans="1:1" customFormat="1" x14ac:dyDescent="0.2">
      <c r="A474" s="17"/>
    </row>
    <row r="475" spans="1:1" customFormat="1" x14ac:dyDescent="0.2">
      <c r="A475" s="17"/>
    </row>
    <row r="476" spans="1:1" customFormat="1" x14ac:dyDescent="0.2">
      <c r="A476" s="17"/>
    </row>
    <row r="477" spans="1:1" customFormat="1" x14ac:dyDescent="0.2">
      <c r="A477" s="17"/>
    </row>
    <row r="478" spans="1:1" customFormat="1" x14ac:dyDescent="0.2">
      <c r="A478" s="17"/>
    </row>
    <row r="479" spans="1:1" customFormat="1" x14ac:dyDescent="0.2">
      <c r="A479" s="17"/>
    </row>
    <row r="480" spans="1:1" customFormat="1" x14ac:dyDescent="0.2">
      <c r="A480" s="17"/>
    </row>
    <row r="481" spans="1:1" customFormat="1" x14ac:dyDescent="0.2">
      <c r="A481" s="17"/>
    </row>
    <row r="482" spans="1:1" customFormat="1" x14ac:dyDescent="0.2">
      <c r="A482" s="17"/>
    </row>
    <row r="483" spans="1:1" customFormat="1" x14ac:dyDescent="0.2">
      <c r="A483" s="17"/>
    </row>
    <row r="484" spans="1:1" customFormat="1" x14ac:dyDescent="0.2">
      <c r="A484" s="17"/>
    </row>
    <row r="485" spans="1:1" customFormat="1" x14ac:dyDescent="0.2">
      <c r="A485" s="17"/>
    </row>
    <row r="486" spans="1:1" customFormat="1" x14ac:dyDescent="0.2">
      <c r="A486" s="17"/>
    </row>
    <row r="487" spans="1:1" customFormat="1" x14ac:dyDescent="0.2">
      <c r="A487" s="17"/>
    </row>
    <row r="488" spans="1:1" customFormat="1" x14ac:dyDescent="0.2">
      <c r="A488" s="17"/>
    </row>
    <row r="489" spans="1:1" customFormat="1" x14ac:dyDescent="0.2">
      <c r="A489" s="17"/>
    </row>
    <row r="490" spans="1:1" customFormat="1" x14ac:dyDescent="0.2">
      <c r="A490" s="17"/>
    </row>
    <row r="491" spans="1:1" customFormat="1" x14ac:dyDescent="0.2">
      <c r="A491" s="17"/>
    </row>
    <row r="492" spans="1:1" customFormat="1" x14ac:dyDescent="0.2">
      <c r="A492" s="17"/>
    </row>
    <row r="493" spans="1:1" customFormat="1" x14ac:dyDescent="0.2">
      <c r="A493" s="17"/>
    </row>
    <row r="494" spans="1:1" customFormat="1" x14ac:dyDescent="0.2">
      <c r="A494" s="17"/>
    </row>
    <row r="495" spans="1:1" customFormat="1" x14ac:dyDescent="0.2">
      <c r="A495" s="17"/>
    </row>
    <row r="496" spans="1:1" customFormat="1" x14ac:dyDescent="0.2">
      <c r="A496" s="17"/>
    </row>
    <row r="497" spans="1:1" customFormat="1" x14ac:dyDescent="0.2">
      <c r="A497" s="17"/>
    </row>
    <row r="498" spans="1:1" customFormat="1" x14ac:dyDescent="0.2">
      <c r="A498" s="17"/>
    </row>
    <row r="499" spans="1:1" customFormat="1" x14ac:dyDescent="0.2">
      <c r="A499" s="17"/>
    </row>
    <row r="500" spans="1:1" customFormat="1" x14ac:dyDescent="0.2">
      <c r="A500" s="17"/>
    </row>
    <row r="501" spans="1:1" customFormat="1" x14ac:dyDescent="0.2">
      <c r="A501" s="17"/>
    </row>
    <row r="502" spans="1:1" customFormat="1" x14ac:dyDescent="0.2">
      <c r="A502" s="17"/>
    </row>
    <row r="503" spans="1:1" customFormat="1" x14ac:dyDescent="0.2">
      <c r="A503" s="17"/>
    </row>
    <row r="504" spans="1:1" customFormat="1" x14ac:dyDescent="0.2">
      <c r="A504" s="17"/>
    </row>
    <row r="505" spans="1:1" customFormat="1" x14ac:dyDescent="0.2">
      <c r="A505" s="17"/>
    </row>
    <row r="506" spans="1:1" customFormat="1" x14ac:dyDescent="0.2">
      <c r="A506" s="17"/>
    </row>
    <row r="507" spans="1:1" customFormat="1" x14ac:dyDescent="0.2">
      <c r="A507" s="17"/>
    </row>
    <row r="508" spans="1:1" customFormat="1" x14ac:dyDescent="0.2">
      <c r="A508" s="17"/>
    </row>
    <row r="509" spans="1:1" customFormat="1" x14ac:dyDescent="0.2">
      <c r="A509" s="17"/>
    </row>
    <row r="510" spans="1:1" customFormat="1" x14ac:dyDescent="0.2">
      <c r="A510" s="17"/>
    </row>
    <row r="511" spans="1:1" customFormat="1" x14ac:dyDescent="0.2">
      <c r="A511" s="17"/>
    </row>
    <row r="512" spans="1:1" customFormat="1" x14ac:dyDescent="0.2">
      <c r="A512" s="17"/>
    </row>
    <row r="513" spans="1:1" customFormat="1" x14ac:dyDescent="0.2">
      <c r="A513" s="17"/>
    </row>
    <row r="514" spans="1:1" customFormat="1" x14ac:dyDescent="0.2">
      <c r="A514" s="17"/>
    </row>
    <row r="515" spans="1:1" customFormat="1" x14ac:dyDescent="0.2">
      <c r="A515" s="17"/>
    </row>
    <row r="516" spans="1:1" customFormat="1" x14ac:dyDescent="0.2">
      <c r="A516" s="17"/>
    </row>
    <row r="517" spans="1:1" customFormat="1" x14ac:dyDescent="0.2">
      <c r="A517" s="17"/>
    </row>
    <row r="518" spans="1:1" customFormat="1" x14ac:dyDescent="0.2">
      <c r="A518" s="17"/>
    </row>
    <row r="519" spans="1:1" customFormat="1" x14ac:dyDescent="0.2">
      <c r="A519" s="17"/>
    </row>
    <row r="520" spans="1:1" customFormat="1" x14ac:dyDescent="0.2">
      <c r="A520" s="17"/>
    </row>
    <row r="521" spans="1:1" customFormat="1" x14ac:dyDescent="0.2">
      <c r="A521" s="17"/>
    </row>
    <row r="522" spans="1:1" customFormat="1" x14ac:dyDescent="0.2">
      <c r="A522" s="17"/>
    </row>
    <row r="523" spans="1:1" customFormat="1" x14ac:dyDescent="0.2">
      <c r="A523" s="17"/>
    </row>
    <row r="524" spans="1:1" customFormat="1" x14ac:dyDescent="0.2">
      <c r="A524" s="17"/>
    </row>
    <row r="525" spans="1:1" customFormat="1" x14ac:dyDescent="0.2">
      <c r="A525" s="17"/>
    </row>
    <row r="526" spans="1:1" customFormat="1" x14ac:dyDescent="0.2">
      <c r="A526" s="17"/>
    </row>
    <row r="527" spans="1:1" customFormat="1" x14ac:dyDescent="0.2">
      <c r="A527" s="17"/>
    </row>
    <row r="528" spans="1:1" customFormat="1" x14ac:dyDescent="0.2">
      <c r="A528" s="17"/>
    </row>
    <row r="529" spans="1:1" customFormat="1" x14ac:dyDescent="0.2">
      <c r="A529" s="17"/>
    </row>
    <row r="530" spans="1:1" customFormat="1" x14ac:dyDescent="0.2">
      <c r="A530" s="17"/>
    </row>
    <row r="531" spans="1:1" customFormat="1" x14ac:dyDescent="0.2">
      <c r="A531" s="17"/>
    </row>
    <row r="532" spans="1:1" customFormat="1" x14ac:dyDescent="0.2">
      <c r="A532" s="17"/>
    </row>
    <row r="533" spans="1:1" customFormat="1" x14ac:dyDescent="0.2">
      <c r="A533" s="17"/>
    </row>
    <row r="534" spans="1:1" customFormat="1" x14ac:dyDescent="0.2">
      <c r="A534" s="17"/>
    </row>
    <row r="535" spans="1:1" customFormat="1" x14ac:dyDescent="0.2">
      <c r="A535" s="17"/>
    </row>
    <row r="536" spans="1:1" customFormat="1" x14ac:dyDescent="0.2">
      <c r="A536" s="17"/>
    </row>
    <row r="537" spans="1:1" customFormat="1" x14ac:dyDescent="0.2">
      <c r="A537" s="17"/>
    </row>
    <row r="538" spans="1:1" customFormat="1" x14ac:dyDescent="0.2">
      <c r="A538" s="17"/>
    </row>
    <row r="539" spans="1:1" customFormat="1" x14ac:dyDescent="0.2">
      <c r="A539" s="17"/>
    </row>
    <row r="540" spans="1:1" customFormat="1" x14ac:dyDescent="0.2">
      <c r="A540" s="17"/>
    </row>
    <row r="541" spans="1:1" customFormat="1" x14ac:dyDescent="0.2">
      <c r="A541" s="17"/>
    </row>
    <row r="542" spans="1:1" customFormat="1" x14ac:dyDescent="0.2">
      <c r="A542" s="17"/>
    </row>
    <row r="543" spans="1:1" customFormat="1" x14ac:dyDescent="0.2">
      <c r="A543" s="17"/>
    </row>
    <row r="544" spans="1:1" customFormat="1" x14ac:dyDescent="0.2">
      <c r="A544" s="17"/>
    </row>
    <row r="545" spans="1:1" customFormat="1" x14ac:dyDescent="0.2">
      <c r="A545" s="17"/>
    </row>
    <row r="546" spans="1:1" customFormat="1" x14ac:dyDescent="0.2">
      <c r="A546" s="17"/>
    </row>
    <row r="547" spans="1:1" customFormat="1" x14ac:dyDescent="0.2">
      <c r="A547" s="17"/>
    </row>
    <row r="548" spans="1:1" customFormat="1" x14ac:dyDescent="0.2">
      <c r="A548" s="17"/>
    </row>
    <row r="549" spans="1:1" customFormat="1" x14ac:dyDescent="0.2">
      <c r="A549" s="17"/>
    </row>
    <row r="550" spans="1:1" customFormat="1" x14ac:dyDescent="0.2">
      <c r="A550" s="17"/>
    </row>
    <row r="551" spans="1:1" customFormat="1" x14ac:dyDescent="0.2">
      <c r="A551" s="17"/>
    </row>
    <row r="552" spans="1:1" customFormat="1" x14ac:dyDescent="0.2">
      <c r="A552" s="17"/>
    </row>
    <row r="553" spans="1:1" customFormat="1" x14ac:dyDescent="0.2">
      <c r="A553" s="17"/>
    </row>
    <row r="554" spans="1:1" customFormat="1" x14ac:dyDescent="0.2">
      <c r="A554" s="17"/>
    </row>
    <row r="555" spans="1:1" customFormat="1" x14ac:dyDescent="0.2">
      <c r="A555" s="17"/>
    </row>
    <row r="556" spans="1:1" customFormat="1" x14ac:dyDescent="0.2">
      <c r="A556" s="17"/>
    </row>
    <row r="557" spans="1:1" customFormat="1" x14ac:dyDescent="0.2">
      <c r="A557" s="17"/>
    </row>
    <row r="558" spans="1:1" customFormat="1" x14ac:dyDescent="0.2">
      <c r="A558" s="17"/>
    </row>
    <row r="559" spans="1:1" customFormat="1" x14ac:dyDescent="0.2">
      <c r="A559" s="17"/>
    </row>
    <row r="560" spans="1:1" customFormat="1" x14ac:dyDescent="0.2">
      <c r="A560" s="17"/>
    </row>
    <row r="561" spans="1:1" customFormat="1" x14ac:dyDescent="0.2">
      <c r="A561" s="17"/>
    </row>
    <row r="562" spans="1:1" customFormat="1" x14ac:dyDescent="0.2">
      <c r="A562" s="17"/>
    </row>
    <row r="563" spans="1:1" customFormat="1" x14ac:dyDescent="0.2">
      <c r="A563" s="17"/>
    </row>
    <row r="564" spans="1:1" customFormat="1" x14ac:dyDescent="0.2">
      <c r="A564" s="17"/>
    </row>
    <row r="565" spans="1:1" customFormat="1" x14ac:dyDescent="0.2">
      <c r="A565" s="17"/>
    </row>
    <row r="566" spans="1:1" customFormat="1" x14ac:dyDescent="0.2">
      <c r="A566" s="17"/>
    </row>
    <row r="567" spans="1:1" customFormat="1" x14ac:dyDescent="0.2">
      <c r="A567" s="17"/>
    </row>
    <row r="568" spans="1:1" customFormat="1" x14ac:dyDescent="0.2">
      <c r="A568" s="17"/>
    </row>
    <row r="569" spans="1:1" customFormat="1" x14ac:dyDescent="0.2">
      <c r="A569" s="17"/>
    </row>
    <row r="570" spans="1:1" customFormat="1" x14ac:dyDescent="0.2">
      <c r="A570" s="17"/>
    </row>
    <row r="571" spans="1:1" customFormat="1" x14ac:dyDescent="0.2">
      <c r="A571" s="17"/>
    </row>
    <row r="572" spans="1:1" customFormat="1" x14ac:dyDescent="0.2">
      <c r="A572" s="17"/>
    </row>
    <row r="573" spans="1:1" customFormat="1" x14ac:dyDescent="0.2">
      <c r="A573" s="17"/>
    </row>
    <row r="574" spans="1:1" customFormat="1" x14ac:dyDescent="0.2">
      <c r="A574" s="17"/>
    </row>
    <row r="575" spans="1:1" customFormat="1" x14ac:dyDescent="0.2">
      <c r="A575" s="17"/>
    </row>
    <row r="576" spans="1:1" customFormat="1" x14ac:dyDescent="0.2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zoomScaleNormal="70" workbookViewId="0">
      <selection activeCell="B5" sqref="B5"/>
    </sheetView>
  </sheetViews>
  <sheetFormatPr baseColWidth="10" defaultColWidth="11.5" defaultRowHeight="15" x14ac:dyDescent="0.2"/>
  <cols>
    <col min="1" max="1" width="32.5" customWidth="1"/>
    <col min="2" max="2" width="71.6640625" style="34" customWidth="1"/>
    <col min="3" max="12" width="13.6640625" style="2" customWidth="1"/>
    <col min="13" max="13" width="13.6640625" customWidth="1"/>
    <col min="14" max="16384" width="11.5" style="2"/>
  </cols>
  <sheetData>
    <row r="2" spans="1:16" ht="30" customHeight="1" x14ac:dyDescent="0.2">
      <c r="B2" s="112" t="s">
        <v>332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6" customFormat="1" ht="32" x14ac:dyDescent="0.2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  <c r="P4" s="2"/>
    </row>
    <row r="5" spans="1:16" ht="16" x14ac:dyDescent="0.2">
      <c r="A5" s="13" t="s">
        <v>190</v>
      </c>
      <c r="B5" s="7" t="s">
        <v>196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ht="16" x14ac:dyDescent="0.2">
      <c r="B6" s="7" t="s">
        <v>195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32" x14ac:dyDescent="0.2">
      <c r="B7" s="7" t="s">
        <v>189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32" x14ac:dyDescent="0.2">
      <c r="B8" s="19" t="s">
        <v>197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32" x14ac:dyDescent="0.2">
      <c r="A9" s="35" t="s">
        <v>145</v>
      </c>
      <c r="B9" s="7" t="s">
        <v>193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32" x14ac:dyDescent="0.2">
      <c r="A10" s="35" t="s">
        <v>146</v>
      </c>
      <c r="B10" s="7" t="s">
        <v>193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32" x14ac:dyDescent="0.2">
      <c r="A11" s="35" t="s">
        <v>147</v>
      </c>
      <c r="B11" s="7" t="s">
        <v>193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32" x14ac:dyDescent="0.2">
      <c r="A12" s="35" t="s">
        <v>148</v>
      </c>
      <c r="B12" s="7" t="s">
        <v>193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32" x14ac:dyDescent="0.2">
      <c r="A13" s="35" t="s">
        <v>149</v>
      </c>
      <c r="B13" s="7" t="s">
        <v>193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32" x14ac:dyDescent="0.2">
      <c r="B14" s="19" t="s">
        <v>194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32" x14ac:dyDescent="0.2">
      <c r="A15" s="13" t="s">
        <v>223</v>
      </c>
      <c r="B15" s="7" t="s">
        <v>196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ht="16" x14ac:dyDescent="0.2">
      <c r="B16" s="7" t="s">
        <v>195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32" x14ac:dyDescent="0.2">
      <c r="B17" s="7" t="s">
        <v>189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32" x14ac:dyDescent="0.2">
      <c r="B18" s="19" t="s">
        <v>197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32" x14ac:dyDescent="0.2">
      <c r="B19" s="19" t="s">
        <v>192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ht="16" x14ac:dyDescent="0.2">
      <c r="B20" s="21" t="s">
        <v>198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t="16" hidden="1" x14ac:dyDescent="0.2">
      <c r="B21" s="36" t="s">
        <v>229</v>
      </c>
      <c r="C21" s="33">
        <f>'(ne pas modifier) BDD_REF'!$B$278*REIaval!D21</f>
        <v>7416.6726000000008</v>
      </c>
      <c r="D21" s="2">
        <v>26.7</v>
      </c>
    </row>
    <row r="22" spans="2:13" ht="16" hidden="1" x14ac:dyDescent="0.2">
      <c r="B22" s="36" t="s">
        <v>228</v>
      </c>
      <c r="C22" s="33">
        <f>'(ne pas modifier) BDD_REF'!$B$278*REIaval!D22</f>
        <v>13138.8994</v>
      </c>
      <c r="D22" s="2">
        <v>47.3</v>
      </c>
    </row>
    <row r="23" spans="2:13" ht="16" hidden="1" x14ac:dyDescent="0.2">
      <c r="B23" s="36" t="s">
        <v>230</v>
      </c>
      <c r="C23" s="33">
        <f>'(ne pas modifier) BDD_REF'!$B$278*REIaval!D23</f>
        <v>11166.675600000002</v>
      </c>
      <c r="D23" s="2">
        <v>40.200000000000003</v>
      </c>
    </row>
    <row r="24" spans="2:13" ht="16" hidden="1" x14ac:dyDescent="0.2">
      <c r="B24" s="36" t="s">
        <v>231</v>
      </c>
      <c r="C24" s="33">
        <f>'(ne pas modifier) BDD_REF'!$B$278*REIaval!D24</f>
        <v>3861.1142000000004</v>
      </c>
      <c r="D24" s="2">
        <v>13.9</v>
      </c>
    </row>
    <row r="25" spans="2:13" ht="16" hidden="1" x14ac:dyDescent="0.2">
      <c r="B25" s="36" t="s">
        <v>232</v>
      </c>
      <c r="C25" s="33">
        <f>'(ne pas modifier) BDD_REF'!$B$278*REIaval!D25</f>
        <v>3888.8920000000003</v>
      </c>
      <c r="D25" s="2">
        <v>14</v>
      </c>
    </row>
    <row r="26" spans="2:13" ht="16" hidden="1" x14ac:dyDescent="0.2">
      <c r="B26" s="36" t="s">
        <v>233</v>
      </c>
      <c r="C26" s="33">
        <f>'(ne pas modifier) BDD_REF'!$B$278*REIaval!D26</f>
        <v>12305.565399999999</v>
      </c>
      <c r="D26" s="2">
        <v>44.3</v>
      </c>
    </row>
    <row r="27" spans="2:13" ht="16" hidden="1" x14ac:dyDescent="0.2">
      <c r="B27" s="36" t="s">
        <v>234</v>
      </c>
      <c r="C27" s="33">
        <f>'(ne pas modifier) BDD_REF'!$B$278*REIaval!D27</f>
        <v>7916.6730000000007</v>
      </c>
      <c r="D27" s="2">
        <v>28.5</v>
      </c>
    </row>
    <row r="28" spans="2:13" ht="16" hidden="1" x14ac:dyDescent="0.2">
      <c r="B28" s="36" t="s">
        <v>235</v>
      </c>
      <c r="C28" s="33">
        <f>'(ne pas modifier) BDD_REF'!$B$278*REIaval!D28</f>
        <v>7777.7840000000006</v>
      </c>
      <c r="D28" s="2">
        <v>28</v>
      </c>
    </row>
    <row r="29" spans="2:13" ht="16" hidden="1" x14ac:dyDescent="0.2">
      <c r="B29" s="36" t="s">
        <v>236</v>
      </c>
      <c r="C29" s="33">
        <f>'(ne pas modifier) BDD_REF'!$B$278*REIaval!D29</f>
        <v>7833.3396000000002</v>
      </c>
      <c r="D29" s="2">
        <v>28.2</v>
      </c>
    </row>
    <row r="30" spans="2:13" ht="16" hidden="1" x14ac:dyDescent="0.2">
      <c r="B30" s="36" t="s">
        <v>237</v>
      </c>
      <c r="C30" s="33">
        <f>'(ne pas modifier) BDD_REF'!$B$278*REIaval!D30</f>
        <v>11944.454000000002</v>
      </c>
      <c r="D30" s="2">
        <v>43</v>
      </c>
    </row>
    <row r="31" spans="2:13" ht="16" hidden="1" x14ac:dyDescent="0.2">
      <c r="B31" s="36" t="s">
        <v>163</v>
      </c>
      <c r="C31" s="33">
        <f>'(ne pas modifier) BDD_REF'!$B$278*REIaval!D31</f>
        <v>11666.676000000001</v>
      </c>
      <c r="D31" s="2">
        <v>42</v>
      </c>
    </row>
    <row r="32" spans="2:13" ht="16" hidden="1" x14ac:dyDescent="0.2">
      <c r="B32" s="36" t="s">
        <v>238</v>
      </c>
      <c r="C32" s="33">
        <f>'(ne pas modifier) BDD_REF'!$B$278*REIaval!D32</f>
        <v>11111.12</v>
      </c>
      <c r="D32" s="2">
        <v>40</v>
      </c>
    </row>
    <row r="33" spans="2:4" ht="16" hidden="1" x14ac:dyDescent="0.2">
      <c r="B33" s="36" t="s">
        <v>239</v>
      </c>
      <c r="C33" s="33">
        <f>'(ne pas modifier) BDD_REF'!$B$278*REIaval!D33</f>
        <v>10750.008600000001</v>
      </c>
      <c r="D33" s="2">
        <v>38.700000000000003</v>
      </c>
    </row>
    <row r="34" spans="2:4" ht="16" hidden="1" x14ac:dyDescent="0.2">
      <c r="B34" s="36" t="s">
        <v>240</v>
      </c>
      <c r="C34" s="33">
        <f>'(ne pas modifier) BDD_REF'!$B$278*REIaval!D34</f>
        <v>694.44500000000005</v>
      </c>
      <c r="D34" s="2">
        <v>2.5</v>
      </c>
    </row>
    <row r="35" spans="2:4" ht="16" hidden="1" x14ac:dyDescent="0.2">
      <c r="B35" s="36" t="s">
        <v>167</v>
      </c>
      <c r="C35" s="33">
        <f>'(ne pas modifier) BDD_REF'!$B$278*REIaval!D35</f>
        <v>13333.344000000001</v>
      </c>
      <c r="D35" s="2">
        <v>48</v>
      </c>
    </row>
    <row r="36" spans="2:4" ht="16" hidden="1" x14ac:dyDescent="0.2">
      <c r="B36" s="36" t="s">
        <v>165</v>
      </c>
      <c r="C36" s="33">
        <f>'(ne pas modifier) BDD_REF'!$B$278*REIaval!D36</f>
        <v>11944.454000000002</v>
      </c>
      <c r="D36" s="2">
        <v>43</v>
      </c>
    </row>
    <row r="37" spans="2:4" ht="16" hidden="1" x14ac:dyDescent="0.2">
      <c r="B37" s="36" t="s">
        <v>241</v>
      </c>
      <c r="C37" s="33">
        <f>'(ne pas modifier) BDD_REF'!$B$278*REIaval!D37</f>
        <v>13777.788800000002</v>
      </c>
      <c r="D37" s="2">
        <v>49.6</v>
      </c>
    </row>
    <row r="38" spans="2:4" ht="16" hidden="1" x14ac:dyDescent="0.2">
      <c r="B38" s="36" t="s">
        <v>242</v>
      </c>
      <c r="C38" s="33">
        <f>'(ne pas modifier) BDD_REF'!$B$278*REIaval!D38</f>
        <v>12777.788</v>
      </c>
      <c r="D38" s="2">
        <v>46</v>
      </c>
    </row>
    <row r="39" spans="2:4" ht="16" hidden="1" x14ac:dyDescent="0.2">
      <c r="B39" s="36" t="s">
        <v>243</v>
      </c>
      <c r="C39" s="33">
        <f>'(ne pas modifier) BDD_REF'!$B$278*REIaval!D39</f>
        <v>4888.8928000000005</v>
      </c>
      <c r="D39" s="2">
        <v>17.600000000000001</v>
      </c>
    </row>
    <row r="40" spans="2:4" ht="16" hidden="1" x14ac:dyDescent="0.2">
      <c r="B40" s="36" t="s">
        <v>244</v>
      </c>
      <c r="C40" s="33">
        <f>'(ne pas modifier) BDD_REF'!$B$278*REIaval!D40</f>
        <v>8888.8960000000006</v>
      </c>
      <c r="D40" s="2">
        <v>32</v>
      </c>
    </row>
    <row r="41" spans="2:4" ht="16" hidden="1" x14ac:dyDescent="0.2">
      <c r="B41" s="36" t="s">
        <v>245</v>
      </c>
      <c r="C41" s="33">
        <f>'(ne pas modifier) BDD_REF'!$B$278*REIaval!D41</f>
        <v>10583.341800000002</v>
      </c>
      <c r="D41" s="2">
        <v>38.1</v>
      </c>
    </row>
    <row r="42" spans="2:4" ht="16" hidden="1" x14ac:dyDescent="0.2">
      <c r="B42" s="36" t="s">
        <v>246</v>
      </c>
      <c r="C42" s="33">
        <f>'(ne pas modifier) BDD_REF'!$B$278*REIaval!D42</f>
        <v>12250.009800000002</v>
      </c>
      <c r="D42" s="2">
        <v>44.1</v>
      </c>
    </row>
    <row r="43" spans="2:4" ht="16" hidden="1" x14ac:dyDescent="0.2">
      <c r="B43" s="36" t="s">
        <v>247</v>
      </c>
      <c r="C43" s="33">
        <f>'(ne pas modifier) BDD_REF'!$B$278*REIaval!D43</f>
        <v>3305.5582000000004</v>
      </c>
      <c r="D43" s="2">
        <v>11.9</v>
      </c>
    </row>
    <row r="44" spans="2:4" ht="16" hidden="1" x14ac:dyDescent="0.2">
      <c r="B44" s="36" t="s">
        <v>248</v>
      </c>
      <c r="C44" s="33">
        <f>'(ne pas modifier) BDD_REF'!$B$278*REIaval!D44</f>
        <v>12361.121000000001</v>
      </c>
      <c r="D44" s="2">
        <v>44.5</v>
      </c>
    </row>
    <row r="45" spans="2:4" ht="16" hidden="1" x14ac:dyDescent="0.2">
      <c r="B45" s="36" t="s">
        <v>249</v>
      </c>
      <c r="C45" s="33">
        <f>'(ne pas modifier) BDD_REF'!$B$278*REIaval!D45</f>
        <v>11750.009400000001</v>
      </c>
      <c r="D45" s="2">
        <v>42.3</v>
      </c>
    </row>
    <row r="46" spans="2:4" ht="16" hidden="1" x14ac:dyDescent="0.2">
      <c r="B46" s="36" t="s">
        <v>250</v>
      </c>
      <c r="C46" s="33">
        <f>'(ne pas modifier) BDD_REF'!$B$278*REIaval!D46</f>
        <v>3638.8918000000003</v>
      </c>
      <c r="D46" s="2">
        <v>13.1</v>
      </c>
    </row>
    <row r="47" spans="2:4" ht="16" hidden="1" x14ac:dyDescent="0.2">
      <c r="B47" s="36" t="s">
        <v>251</v>
      </c>
      <c r="C47" s="33">
        <f>'(ne pas modifier) BDD_REF'!$B$278*REIaval!D47</f>
        <v>13138.8994</v>
      </c>
      <c r="D47" s="2">
        <v>47.3</v>
      </c>
    </row>
    <row r="48" spans="2:4" ht="16" hidden="1" x14ac:dyDescent="0.2">
      <c r="B48" s="36" t="s">
        <v>252</v>
      </c>
      <c r="C48" s="33">
        <f>'(ne pas modifier) BDD_REF'!$B$278*REIaval!D48</f>
        <v>2200.0017600000001</v>
      </c>
      <c r="D48" s="2">
        <v>7.92</v>
      </c>
    </row>
    <row r="49" spans="1:13" ht="16" hidden="1" x14ac:dyDescent="0.2">
      <c r="B49" s="36" t="s">
        <v>253</v>
      </c>
      <c r="C49" s="33">
        <f>'(ne pas modifier) BDD_REF'!$B$278*REIaval!D49</f>
        <v>2722.2244000000005</v>
      </c>
      <c r="D49" s="2">
        <v>9.8000000000000007</v>
      </c>
    </row>
    <row r="50" spans="1:13" x14ac:dyDescent="0.2">
      <c r="C50"/>
      <c r="D50"/>
      <c r="E50"/>
      <c r="F50"/>
      <c r="G50"/>
      <c r="H50"/>
      <c r="I50"/>
      <c r="J50"/>
      <c r="K50"/>
    </row>
    <row r="51" spans="1:13" ht="32" x14ac:dyDescent="0.2">
      <c r="B51" s="37" t="s">
        <v>258</v>
      </c>
      <c r="C51" s="37" t="s">
        <v>257</v>
      </c>
      <c r="M51" s="2"/>
    </row>
    <row r="52" spans="1:13" ht="32" x14ac:dyDescent="0.2">
      <c r="A52" s="36" t="s">
        <v>256</v>
      </c>
      <c r="B52" s="36" t="s">
        <v>163</v>
      </c>
      <c r="C52" s="38">
        <f>0.324/1000</f>
        <v>3.2400000000000001E-4</v>
      </c>
      <c r="M52" s="2"/>
    </row>
    <row r="53" spans="1:13" ht="16" x14ac:dyDescent="0.2">
      <c r="B53" s="36" t="s">
        <v>238</v>
      </c>
      <c r="C53" s="38">
        <f>0.325/1000</f>
        <v>3.2499999999999999E-4</v>
      </c>
      <c r="M53" s="2"/>
    </row>
    <row r="54" spans="1:13" ht="16" x14ac:dyDescent="0.2">
      <c r="B54" s="36" t="s">
        <v>254</v>
      </c>
      <c r="C54" s="38">
        <f>0.335/1000</f>
        <v>3.3500000000000001E-4</v>
      </c>
      <c r="M54" s="2"/>
    </row>
    <row r="55" spans="1:13" ht="16" x14ac:dyDescent="0.2">
      <c r="B55" s="36" t="s">
        <v>255</v>
      </c>
      <c r="C55" s="38">
        <f>0.282/1000</f>
        <v>2.8199999999999997E-4</v>
      </c>
      <c r="M55" s="2"/>
    </row>
    <row r="56" spans="1:13" ht="32" x14ac:dyDescent="0.2">
      <c r="A56" s="36" t="s">
        <v>259</v>
      </c>
      <c r="B56" s="36" t="s">
        <v>260</v>
      </c>
      <c r="C56" s="38">
        <f>0.311/1000</f>
        <v>3.1100000000000002E-4</v>
      </c>
      <c r="M56" s="2"/>
    </row>
    <row r="57" spans="1:13" ht="16" x14ac:dyDescent="0.2">
      <c r="B57" s="36" t="s">
        <v>261</v>
      </c>
      <c r="C57" s="36">
        <f>0.313/1000</f>
        <v>3.1300000000000002E-4</v>
      </c>
      <c r="M57" s="2"/>
    </row>
    <row r="58" spans="1:13" ht="16" x14ac:dyDescent="0.2">
      <c r="B58" s="36" t="s">
        <v>262</v>
      </c>
      <c r="C58" s="36">
        <f>0.319/1000</f>
        <v>3.19E-4</v>
      </c>
      <c r="M58" s="2"/>
    </row>
    <row r="59" spans="1:13" ht="16" x14ac:dyDescent="0.2">
      <c r="B59" s="36" t="s">
        <v>263</v>
      </c>
      <c r="C59" s="36">
        <f>0.306/1000</f>
        <v>3.0600000000000001E-4</v>
      </c>
      <c r="M59" s="2"/>
    </row>
    <row r="60" spans="1:13" ht="16" x14ac:dyDescent="0.2">
      <c r="B60" s="36" t="s">
        <v>264</v>
      </c>
      <c r="C60" s="36">
        <f>0.174/1000</f>
        <v>1.74E-4</v>
      </c>
      <c r="M60" s="2"/>
    </row>
    <row r="61" spans="1:13" ht="16" x14ac:dyDescent="0.2">
      <c r="B61" s="36" t="s">
        <v>265</v>
      </c>
      <c r="C61" s="36">
        <f>0.273/1000</f>
        <v>2.7300000000000002E-4</v>
      </c>
      <c r="M61" s="2"/>
    </row>
    <row r="62" spans="1:13" ht="16" x14ac:dyDescent="0.2">
      <c r="B62" s="36" t="s">
        <v>242</v>
      </c>
      <c r="C62" s="36">
        <f>0.272/1000</f>
        <v>2.72E-4</v>
      </c>
      <c r="M62" s="2"/>
    </row>
    <row r="63" spans="1:13" ht="16" x14ac:dyDescent="0.2">
      <c r="B63" s="36" t="s">
        <v>266</v>
      </c>
      <c r="C63" s="36">
        <f>0.311/1000</f>
        <v>3.1100000000000002E-4</v>
      </c>
      <c r="M63" s="2"/>
    </row>
    <row r="64" spans="1:13" ht="16" x14ac:dyDescent="0.2">
      <c r="B64" s="36" t="s">
        <v>267</v>
      </c>
      <c r="C64" s="36">
        <f>0.132/1000</f>
        <v>1.3200000000000001E-4</v>
      </c>
      <c r="M64" s="2"/>
    </row>
    <row r="65" spans="1:13" ht="16" x14ac:dyDescent="0.2">
      <c r="B65" s="36" t="s">
        <v>268</v>
      </c>
      <c r="C65" s="36">
        <f>0.238/1000</f>
        <v>2.3799999999999998E-4</v>
      </c>
      <c r="M65" s="2"/>
    </row>
    <row r="66" spans="1:13" ht="16" x14ac:dyDescent="0.2">
      <c r="B66" s="36" t="s">
        <v>269</v>
      </c>
      <c r="C66" s="36">
        <f>0.23/1000</f>
        <v>2.3000000000000001E-4</v>
      </c>
      <c r="M66" s="2"/>
    </row>
    <row r="67" spans="1:13" ht="48" x14ac:dyDescent="0.2">
      <c r="A67" s="36" t="s">
        <v>270</v>
      </c>
      <c r="B67" s="36" t="s">
        <v>271</v>
      </c>
      <c r="C67" s="36">
        <f>0.327/1000</f>
        <v>3.2700000000000003E-4</v>
      </c>
      <c r="M67" s="2"/>
    </row>
    <row r="68" spans="1:13" ht="16" x14ac:dyDescent="0.2">
      <c r="B68" s="36" t="s">
        <v>272</v>
      </c>
      <c r="C68" s="36">
        <f>0.331/1000</f>
        <v>3.3100000000000002E-4</v>
      </c>
      <c r="M68" s="2"/>
    </row>
    <row r="69" spans="1:13" ht="16" x14ac:dyDescent="0.2">
      <c r="B69" s="36" t="s">
        <v>273</v>
      </c>
      <c r="C69" s="36">
        <f>0.331/1000</f>
        <v>3.3100000000000002E-4</v>
      </c>
      <c r="M69" s="2"/>
    </row>
    <row r="70" spans="1:13" ht="32" x14ac:dyDescent="0.2">
      <c r="A70" s="36" t="s">
        <v>275</v>
      </c>
      <c r="B70" s="36" t="s">
        <v>274</v>
      </c>
      <c r="C70" s="36">
        <f>0.307/1000</f>
        <v>3.0699999999999998E-4</v>
      </c>
      <c r="M70" s="2"/>
    </row>
    <row r="71" spans="1:13" ht="16" x14ac:dyDescent="0.2">
      <c r="B71" s="36" t="s">
        <v>276</v>
      </c>
      <c r="C71" s="36">
        <f>0.308/1000</f>
        <v>3.0800000000000001E-4</v>
      </c>
      <c r="M71" s="2"/>
    </row>
    <row r="72" spans="1:13" ht="16" x14ac:dyDescent="0.2">
      <c r="B72" s="36" t="s">
        <v>277</v>
      </c>
      <c r="C72" s="36">
        <f>0.313/1000</f>
        <v>3.1300000000000002E-4</v>
      </c>
      <c r="M72" s="2"/>
    </row>
    <row r="73" spans="1:13" ht="32" x14ac:dyDescent="0.2">
      <c r="A73" s="36" t="s">
        <v>279</v>
      </c>
      <c r="B73" s="36" t="s">
        <v>278</v>
      </c>
      <c r="C73" s="36">
        <f>0.322/1000</f>
        <v>3.2200000000000002E-4</v>
      </c>
      <c r="M73" s="2"/>
    </row>
    <row r="74" spans="1:13" ht="16" x14ac:dyDescent="0.2">
      <c r="A74" s="36" t="s">
        <v>280</v>
      </c>
      <c r="B74" s="36" t="s">
        <v>281</v>
      </c>
      <c r="C74" s="36">
        <f>0.227/1000</f>
        <v>2.2700000000000002E-4</v>
      </c>
      <c r="M74" s="2"/>
    </row>
    <row r="75" spans="1:13" ht="16" x14ac:dyDescent="0.2">
      <c r="B75" s="36" t="s">
        <v>282</v>
      </c>
      <c r="C75" s="36">
        <f>0.244/1000</f>
        <v>2.4399999999999999E-4</v>
      </c>
      <c r="M75" s="2"/>
    </row>
    <row r="76" spans="1:13" ht="32" x14ac:dyDescent="0.2">
      <c r="A76" s="36" t="s">
        <v>283</v>
      </c>
      <c r="B76" s="36" t="s">
        <v>284</v>
      </c>
      <c r="C76" s="36">
        <f>0.27/1000</f>
        <v>2.7E-4</v>
      </c>
      <c r="M76" s="2"/>
    </row>
    <row r="77" spans="1:13" x14ac:dyDescent="0.2">
      <c r="C77" s="27"/>
      <c r="M77" s="2"/>
    </row>
    <row r="78" spans="1:13" ht="50.25" customHeight="1" x14ac:dyDescent="0.2">
      <c r="B78" s="8" t="s">
        <v>226</v>
      </c>
      <c r="M78" s="2"/>
    </row>
    <row r="79" spans="1:13" x14ac:dyDescent="0.2">
      <c r="B79" s="27"/>
      <c r="M79" s="2"/>
    </row>
    <row r="80" spans="1:13" x14ac:dyDescent="0.2">
      <c r="B80" s="27"/>
      <c r="M80" s="2"/>
    </row>
    <row r="81" spans="2:13" x14ac:dyDescent="0.2">
      <c r="B81" s="27"/>
      <c r="M81" s="2"/>
    </row>
    <row r="82" spans="2:13" x14ac:dyDescent="0.2">
      <c r="B82" s="27"/>
      <c r="M82" s="2"/>
    </row>
    <row r="83" spans="2:13" x14ac:dyDescent="0.2">
      <c r="B83" s="27"/>
      <c r="M83" s="2"/>
    </row>
    <row r="84" spans="2:13" x14ac:dyDescent="0.2">
      <c r="B84" s="27"/>
      <c r="M84" s="2"/>
    </row>
    <row r="85" spans="2:13" x14ac:dyDescent="0.2">
      <c r="B85" s="27"/>
      <c r="M85" s="2"/>
    </row>
    <row r="86" spans="2:13" x14ac:dyDescent="0.2">
      <c r="B86" s="27"/>
      <c r="M86" s="2"/>
    </row>
    <row r="87" spans="2:13" x14ac:dyDescent="0.2">
      <c r="B87" s="27"/>
      <c r="M87" s="2"/>
    </row>
    <row r="88" spans="2:13" x14ac:dyDescent="0.2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5" sqref="C5"/>
    </sheetView>
  </sheetViews>
  <sheetFormatPr baseColWidth="10" defaultColWidth="11.5" defaultRowHeight="15" x14ac:dyDescent="0.2"/>
  <cols>
    <col min="2" max="2" width="31" style="34" customWidth="1"/>
  </cols>
  <sheetData>
    <row r="2" spans="1:17" x14ac:dyDescent="0.2">
      <c r="A2" s="109" t="s">
        <v>330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7" x14ac:dyDescent="0.2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32" x14ac:dyDescent="0.2">
      <c r="A4" t="s">
        <v>214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  <c r="P4" s="2"/>
      <c r="Q4" s="2"/>
    </row>
    <row r="5" spans="1:17" ht="16" x14ac:dyDescent="0.2">
      <c r="A5" s="13">
        <v>1</v>
      </c>
      <c r="B5" s="7" t="s">
        <v>200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2.4</v>
      </c>
      <c r="N5" s="2"/>
      <c r="O5" s="2"/>
      <c r="P5" s="2"/>
      <c r="Q5" s="2"/>
    </row>
    <row r="6" spans="1:17" ht="16" x14ac:dyDescent="0.2">
      <c r="A6" s="13">
        <v>2</v>
      </c>
      <c r="B6" s="7" t="s">
        <v>200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3.72</v>
      </c>
      <c r="N6" s="2"/>
      <c r="O6" s="2"/>
      <c r="P6" s="2"/>
      <c r="Q6" s="2"/>
    </row>
    <row r="7" spans="1:17" ht="16" x14ac:dyDescent="0.2">
      <c r="A7" s="13">
        <v>3</v>
      </c>
      <c r="B7" s="7" t="s">
        <v>200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5.04</v>
      </c>
      <c r="N7" s="2"/>
      <c r="O7" s="2"/>
      <c r="P7" s="2"/>
      <c r="Q7" s="2"/>
    </row>
    <row r="8" spans="1:17" ht="16" x14ac:dyDescent="0.2">
      <c r="A8" s="13">
        <v>4</v>
      </c>
      <c r="B8" s="7" t="s">
        <v>200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6.36</v>
      </c>
      <c r="N8" s="2"/>
      <c r="O8" s="2"/>
      <c r="P8" s="2"/>
      <c r="Q8" s="2"/>
    </row>
    <row r="9" spans="1:17" ht="16" x14ac:dyDescent="0.2">
      <c r="A9" s="13">
        <v>5</v>
      </c>
      <c r="B9" s="7" t="s">
        <v>200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6.6</v>
      </c>
      <c r="N9" s="2"/>
      <c r="O9" s="2"/>
      <c r="P9" s="2"/>
      <c r="Q9" s="2"/>
    </row>
    <row r="10" spans="1:17" ht="16" x14ac:dyDescent="0.2">
      <c r="A10" s="13">
        <v>6</v>
      </c>
      <c r="B10" s="7" t="s">
        <v>200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7.7</v>
      </c>
      <c r="N10" s="2"/>
      <c r="O10" s="2"/>
      <c r="P10" s="2"/>
      <c r="Q10" s="2"/>
    </row>
    <row r="11" spans="1:17" ht="16" x14ac:dyDescent="0.2">
      <c r="A11" s="13">
        <v>7</v>
      </c>
      <c r="B11" s="7" t="s">
        <v>200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8.8000000000000007</v>
      </c>
      <c r="N11" s="2"/>
      <c r="O11" s="2"/>
      <c r="P11" s="2"/>
      <c r="Q11" s="2"/>
    </row>
    <row r="12" spans="1:17" ht="16" x14ac:dyDescent="0.2">
      <c r="A12" s="13">
        <v>8</v>
      </c>
      <c r="B12" s="7" t="s">
        <v>200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9.9</v>
      </c>
      <c r="N12" s="2"/>
      <c r="O12" s="2"/>
      <c r="P12" s="2"/>
      <c r="Q12" s="2"/>
    </row>
    <row r="13" spans="1:17" ht="16" x14ac:dyDescent="0.2">
      <c r="A13" s="13">
        <v>9</v>
      </c>
      <c r="B13" s="7" t="s">
        <v>200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11</v>
      </c>
      <c r="N13" s="2"/>
      <c r="O13" s="2"/>
      <c r="P13" s="2"/>
      <c r="Q13" s="2"/>
    </row>
    <row r="14" spans="1:17" ht="16" x14ac:dyDescent="0.2">
      <c r="A14" s="13">
        <v>10</v>
      </c>
      <c r="B14" s="7" t="s">
        <v>200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12.1</v>
      </c>
      <c r="N14" s="2"/>
      <c r="O14" s="2"/>
      <c r="P14" s="2"/>
      <c r="Q14" s="2"/>
    </row>
    <row r="15" spans="1:17" ht="16" x14ac:dyDescent="0.2">
      <c r="A15" s="13">
        <v>11</v>
      </c>
      <c r="B15" s="7" t="s">
        <v>200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12.46</v>
      </c>
      <c r="N15" s="2"/>
      <c r="O15" s="2"/>
      <c r="P15" s="2"/>
      <c r="Q15" s="2"/>
    </row>
    <row r="16" spans="1:17" ht="16" x14ac:dyDescent="0.2">
      <c r="A16" s="13">
        <v>12</v>
      </c>
      <c r="B16" s="7" t="s">
        <v>200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12.82</v>
      </c>
      <c r="N16" s="2"/>
      <c r="O16" s="2"/>
      <c r="P16" s="2"/>
      <c r="Q16" s="2"/>
    </row>
    <row r="17" spans="1:17" ht="16" x14ac:dyDescent="0.2">
      <c r="A17" s="13">
        <v>13</v>
      </c>
      <c r="B17" s="7" t="s">
        <v>200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13.18</v>
      </c>
      <c r="N17" s="2"/>
      <c r="O17" s="2"/>
      <c r="P17" s="2"/>
      <c r="Q17" s="2"/>
    </row>
    <row r="18" spans="1:17" ht="16" x14ac:dyDescent="0.2">
      <c r="A18" s="13">
        <v>14</v>
      </c>
      <c r="B18" s="7" t="s">
        <v>200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13.54</v>
      </c>
      <c r="N18" s="2"/>
      <c r="O18" s="2"/>
      <c r="P18" s="2"/>
      <c r="Q18" s="2"/>
    </row>
    <row r="19" spans="1:17" ht="16" x14ac:dyDescent="0.2">
      <c r="A19" s="13">
        <v>15</v>
      </c>
      <c r="B19" s="7" t="s">
        <v>200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13.9</v>
      </c>
      <c r="N19" s="2"/>
      <c r="O19" s="2"/>
      <c r="P19" s="2"/>
      <c r="Q19" s="2"/>
    </row>
    <row r="20" spans="1:17" ht="16" x14ac:dyDescent="0.2">
      <c r="A20" s="13">
        <v>16</v>
      </c>
      <c r="B20" s="7" t="s">
        <v>200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13.98</v>
      </c>
      <c r="N20" s="2"/>
      <c r="O20" s="2"/>
      <c r="P20" s="2"/>
      <c r="Q20" s="2"/>
    </row>
    <row r="21" spans="1:17" ht="16" x14ac:dyDescent="0.2">
      <c r="A21" s="13">
        <v>17</v>
      </c>
      <c r="B21" s="7" t="s">
        <v>200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14.06</v>
      </c>
      <c r="N21" s="2"/>
      <c r="O21" s="2"/>
      <c r="P21" s="2"/>
      <c r="Q21" s="2"/>
    </row>
    <row r="22" spans="1:17" ht="16" x14ac:dyDescent="0.2">
      <c r="A22" s="13">
        <v>18</v>
      </c>
      <c r="B22" s="7" t="s">
        <v>200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14.14</v>
      </c>
      <c r="N22" s="2"/>
      <c r="O22" s="2"/>
      <c r="P22" s="2"/>
      <c r="Q22" s="2"/>
    </row>
    <row r="23" spans="1:17" ht="16" x14ac:dyDescent="0.2">
      <c r="A23" s="13">
        <v>19</v>
      </c>
      <c r="B23" s="7" t="s">
        <v>200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14.22</v>
      </c>
      <c r="N23" s="2"/>
      <c r="O23" s="2"/>
      <c r="P23" s="2"/>
      <c r="Q23" s="2"/>
    </row>
    <row r="24" spans="1:17" ht="16" x14ac:dyDescent="0.2">
      <c r="A24" s="13">
        <v>20</v>
      </c>
      <c r="B24" s="7" t="s">
        <v>200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14.3</v>
      </c>
      <c r="N24" s="2"/>
      <c r="O24" s="2"/>
      <c r="P24" s="2"/>
      <c r="Q24" s="2"/>
    </row>
    <row r="25" spans="1:17" ht="16" x14ac:dyDescent="0.2">
      <c r="A25" s="7"/>
      <c r="B25" s="7" t="s">
        <v>209</v>
      </c>
      <c r="C25" s="22">
        <f>SUMIF($A5:$A24,"&lt;"&amp;Eligibilité_projet!B14+1,C5:C24)</f>
        <v>210.22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210.22</v>
      </c>
      <c r="N25" s="2"/>
      <c r="O25" s="2"/>
      <c r="P25" s="2"/>
      <c r="Q25" s="2"/>
    </row>
    <row r="26" spans="1:17" ht="16" x14ac:dyDescent="0.2">
      <c r="A26" s="7" t="s">
        <v>191</v>
      </c>
      <c r="B26" s="7" t="s">
        <v>210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16" x14ac:dyDescent="0.2">
      <c r="B27" s="7" t="s">
        <v>199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ht="16" x14ac:dyDescent="0.2">
      <c r="B28" s="21" t="s">
        <v>295</v>
      </c>
      <c r="C28" s="24">
        <f>((C25/C27)-C26)*Eligibilité_projet!B8*44/12</f>
        <v>102.77422222222221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102.77422222222221</v>
      </c>
      <c r="N28" s="2"/>
      <c r="O28" s="2"/>
      <c r="P28" s="2"/>
      <c r="Q28" s="2"/>
    </row>
    <row r="29" spans="1:17" x14ac:dyDescent="0.2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5" defaultRowHeight="15" x14ac:dyDescent="0.2"/>
  <cols>
    <col min="1" max="1" width="8.5" customWidth="1"/>
    <col min="2" max="2" width="33.6640625" customWidth="1"/>
    <col min="3" max="3" width="12.33203125" bestFit="1" customWidth="1"/>
  </cols>
  <sheetData>
    <row r="2" spans="1:16" x14ac:dyDescent="0.2">
      <c r="B2" s="109" t="s">
        <v>330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4" spans="1:16" ht="32" x14ac:dyDescent="0.2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  <c r="P4" s="2"/>
    </row>
    <row r="5" spans="1:16" ht="16" x14ac:dyDescent="0.2">
      <c r="B5" s="7" t="s">
        <v>305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34.299999999999997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34.299999999999997</v>
      </c>
      <c r="N5" s="2"/>
      <c r="O5" s="2"/>
      <c r="P5" s="2"/>
    </row>
    <row r="6" spans="1:16" ht="16" x14ac:dyDescent="0.2">
      <c r="B6" s="7" t="s">
        <v>306</v>
      </c>
      <c r="C6" s="22">
        <f>IF(Eligibilité_projet!B13="Hors climat Mediterranéen",'(ne pas modifier) BDD_REF'!$C$272,IF(Eligibilité_projet!B13="",0,'(ne pas modifier) BDD_REF'!$B$272))</f>
        <v>41.5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41.5</v>
      </c>
      <c r="N6" s="2"/>
      <c r="O6" s="2"/>
      <c r="P6" s="2"/>
    </row>
    <row r="7" spans="1:16" ht="16" x14ac:dyDescent="0.2">
      <c r="B7" s="7" t="s">
        <v>304</v>
      </c>
      <c r="C7" s="22">
        <f>Eligibilité_projet!B15</f>
        <v>0.75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0.75</v>
      </c>
      <c r="N7" s="2"/>
      <c r="O7" s="2"/>
      <c r="P7" s="2"/>
    </row>
    <row r="8" spans="1:16" ht="16" x14ac:dyDescent="0.2">
      <c r="B8" s="7" t="s">
        <v>296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ht="16" x14ac:dyDescent="0.2">
      <c r="B9" s="21" t="s">
        <v>297</v>
      </c>
      <c r="C9" s="21">
        <f>((C6-C5)+('(ne pas modifier) BDD_REF'!$B$276*C7*C8))*Eligibilité_projet!B8*44/12</f>
        <v>149.38000000000002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149.38000000000002</v>
      </c>
      <c r="N9" s="2"/>
      <c r="O9" s="2"/>
      <c r="P9" s="2"/>
    </row>
    <row r="10" spans="1:16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125" zoomScaleNormal="80" workbookViewId="0">
      <selection activeCell="C19" sqref="C19"/>
    </sheetView>
  </sheetViews>
  <sheetFormatPr baseColWidth="10" defaultColWidth="11.5" defaultRowHeight="15" x14ac:dyDescent="0.2"/>
  <cols>
    <col min="1" max="1" width="21.83203125" customWidth="1"/>
    <col min="2" max="2" width="44.5" customWidth="1"/>
    <col min="5" max="5" width="22.5" customWidth="1"/>
  </cols>
  <sheetData>
    <row r="1" spans="1:6" x14ac:dyDescent="0.2">
      <c r="D1" s="2"/>
      <c r="E1" s="2"/>
      <c r="F1" s="2"/>
    </row>
    <row r="2" spans="1:6" ht="47.25" customHeight="1" x14ac:dyDescent="0.2">
      <c r="B2" s="112" t="s">
        <v>331</v>
      </c>
      <c r="C2" s="114"/>
      <c r="D2" s="2"/>
      <c r="E2" s="2"/>
      <c r="F2" s="2"/>
    </row>
    <row r="3" spans="1:6" x14ac:dyDescent="0.2">
      <c r="D3" s="2"/>
      <c r="E3" s="2"/>
      <c r="F3" s="2"/>
    </row>
    <row r="4" spans="1:6" x14ac:dyDescent="0.2">
      <c r="B4" s="115" t="s">
        <v>141</v>
      </c>
      <c r="C4" s="116"/>
      <c r="D4" s="2"/>
      <c r="E4" s="2"/>
      <c r="F4" s="2"/>
    </row>
    <row r="5" spans="1:6" x14ac:dyDescent="0.2">
      <c r="D5" s="2"/>
      <c r="E5" s="2"/>
      <c r="F5" s="2"/>
    </row>
    <row r="6" spans="1:6" ht="48" x14ac:dyDescent="0.2">
      <c r="A6" s="73" t="s">
        <v>303</v>
      </c>
      <c r="B6" s="3" t="s">
        <v>298</v>
      </c>
      <c r="C6" s="15">
        <f>IF(Eligibilité_projet!C2="NON","/",'RECeff + REIamont (1)'!L7)</f>
        <v>33.117245562710409</v>
      </c>
      <c r="D6" s="2"/>
      <c r="E6" s="2"/>
      <c r="F6" s="2"/>
    </row>
    <row r="7" spans="1:6" ht="16" x14ac:dyDescent="0.2">
      <c r="A7" s="41" t="s">
        <v>142</v>
      </c>
      <c r="B7" s="3" t="s">
        <v>298</v>
      </c>
      <c r="C7" s="15" t="str">
        <f>IF(Eligibilité_projet!C2="OUI","/",'RECeff + REIamont (2)'!M144)</f>
        <v>/</v>
      </c>
      <c r="D7" s="2"/>
      <c r="E7" s="2"/>
      <c r="F7" s="2"/>
    </row>
    <row r="8" spans="1:6" ht="16" x14ac:dyDescent="0.2">
      <c r="A8" s="16"/>
      <c r="B8" s="3" t="s">
        <v>198</v>
      </c>
      <c r="C8" s="15">
        <f>REIaval!M20</f>
        <v>0</v>
      </c>
      <c r="D8" s="2"/>
      <c r="E8" s="2"/>
      <c r="F8" s="2"/>
    </row>
    <row r="9" spans="1:6" ht="16" x14ac:dyDescent="0.2">
      <c r="A9" s="2"/>
      <c r="B9" s="3" t="s">
        <v>299</v>
      </c>
      <c r="C9" s="15">
        <f>RECant_biom!M28</f>
        <v>102.77422222222221</v>
      </c>
      <c r="D9" s="2"/>
      <c r="E9" s="2"/>
      <c r="F9" s="2"/>
    </row>
    <row r="10" spans="1:6" ht="16" x14ac:dyDescent="0.2">
      <c r="A10" s="2"/>
      <c r="B10" s="3" t="s">
        <v>297</v>
      </c>
      <c r="C10" s="15">
        <f>RECant_sol!M9</f>
        <v>149.38000000000002</v>
      </c>
      <c r="D10" s="2"/>
      <c r="E10" s="2"/>
      <c r="F10" s="2"/>
    </row>
    <row r="11" spans="1:6" ht="16" x14ac:dyDescent="0.2">
      <c r="A11" s="2"/>
      <c r="B11" s="19" t="s">
        <v>300</v>
      </c>
      <c r="C11" s="42">
        <f>SUM(IF(Eligibilité_projet!C2="OUI",-C6,-C7),-C8,C10,C9)</f>
        <v>219.03697665951182</v>
      </c>
      <c r="D11" s="2"/>
      <c r="E11" s="2"/>
      <c r="F11" s="2"/>
    </row>
    <row r="12" spans="1:6" x14ac:dyDescent="0.2">
      <c r="A12" s="2"/>
      <c r="D12" s="2"/>
      <c r="E12" s="2"/>
      <c r="F12" s="2"/>
    </row>
    <row r="13" spans="1:6" x14ac:dyDescent="0.2">
      <c r="A13" s="2"/>
      <c r="B13" s="115" t="s">
        <v>348</v>
      </c>
      <c r="C13" s="116"/>
      <c r="D13" s="2"/>
      <c r="E13" s="2"/>
      <c r="F13" s="2"/>
    </row>
    <row r="14" spans="1:6" x14ac:dyDescent="0.2">
      <c r="A14" s="2"/>
      <c r="D14" s="2"/>
      <c r="E14" s="2"/>
      <c r="F14" s="2"/>
    </row>
    <row r="15" spans="1:6" ht="16" x14ac:dyDescent="0.2">
      <c r="A15" s="2"/>
      <c r="B15" s="3" t="s">
        <v>298</v>
      </c>
      <c r="C15" s="91">
        <f>IF(Eligibilité_projet!C2="OUI",C6*(1-0.15),C7)</f>
        <v>28.149658728303848</v>
      </c>
      <c r="D15" s="2"/>
      <c r="E15" s="2"/>
      <c r="F15" s="2"/>
    </row>
    <row r="16" spans="1:6" ht="16" x14ac:dyDescent="0.2">
      <c r="A16" s="2"/>
      <c r="B16" s="3" t="s">
        <v>198</v>
      </c>
      <c r="C16" s="91">
        <f>C8</f>
        <v>0</v>
      </c>
      <c r="D16" s="2"/>
      <c r="E16" s="2"/>
      <c r="F16" s="2"/>
    </row>
    <row r="17" spans="1:6" ht="16" x14ac:dyDescent="0.2">
      <c r="A17" s="2"/>
      <c r="B17" s="90" t="s">
        <v>299</v>
      </c>
      <c r="C17" s="15">
        <f>C9*(1-0.1)</f>
        <v>92.496799999999993</v>
      </c>
      <c r="D17" s="2"/>
      <c r="E17" s="2"/>
      <c r="F17" s="2"/>
    </row>
    <row r="18" spans="1:6" ht="16" x14ac:dyDescent="0.2">
      <c r="A18" s="2"/>
      <c r="B18" s="90" t="s">
        <v>297</v>
      </c>
      <c r="C18" s="15">
        <f>RE!C10</f>
        <v>149.38000000000002</v>
      </c>
      <c r="D18" s="2"/>
      <c r="E18" s="2"/>
      <c r="F18" s="2"/>
    </row>
    <row r="19" spans="1:6" ht="16" x14ac:dyDescent="0.2">
      <c r="A19" s="2"/>
      <c r="B19" s="3" t="s">
        <v>347</v>
      </c>
      <c r="C19" s="91">
        <f>(C17+C18)*0.9</f>
        <v>217.68912</v>
      </c>
      <c r="D19" s="2"/>
      <c r="E19" s="2"/>
      <c r="F19" s="2"/>
    </row>
    <row r="20" spans="1:6" ht="16" x14ac:dyDescent="0.2">
      <c r="A20" s="2"/>
      <c r="B20" s="19" t="s">
        <v>300</v>
      </c>
      <c r="C20" s="92">
        <f>SUM(-C15,-C16,C19)</f>
        <v>189.53946127169615</v>
      </c>
      <c r="D20" s="2"/>
      <c r="E20" s="2"/>
      <c r="F20" s="2"/>
    </row>
    <row r="21" spans="1:6" x14ac:dyDescent="0.2">
      <c r="A21" s="2"/>
      <c r="B21" s="2"/>
    </row>
    <row r="23" spans="1:6" s="34" customFormat="1" hidden="1" x14ac:dyDescent="0.2"/>
    <row r="24" spans="1:6" s="34" customFormat="1" hidden="1" x14ac:dyDescent="0.2"/>
    <row r="25" spans="1:6" s="34" customFormat="1" x14ac:dyDescent="0.2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zoomScale="70" zoomScaleNormal="70" workbookViewId="0">
      <selection activeCell="C7" sqref="C7"/>
    </sheetView>
  </sheetViews>
  <sheetFormatPr baseColWidth="10" defaultColWidth="11.5" defaultRowHeight="15" x14ac:dyDescent="0.2"/>
  <cols>
    <col min="1" max="1" width="72.83203125" customWidth="1"/>
    <col min="2" max="2" width="41" customWidth="1"/>
    <col min="3" max="3" width="44.6640625" customWidth="1"/>
    <col min="4" max="4" width="28.5" customWidth="1"/>
    <col min="5" max="5" width="24.5" customWidth="1"/>
    <col min="6" max="6" width="28.83203125" customWidth="1"/>
    <col min="7" max="7" width="22.33203125" customWidth="1"/>
    <col min="8" max="8" width="19.1640625" customWidth="1"/>
    <col min="9" max="9" width="21.83203125" customWidth="1"/>
    <col min="10" max="10" width="19.5" customWidth="1"/>
    <col min="11" max="11" width="25.1640625" customWidth="1"/>
  </cols>
  <sheetData>
    <row r="1" spans="1:8" ht="16" x14ac:dyDescent="0.2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2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ht="16" x14ac:dyDescent="0.2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ht="16" x14ac:dyDescent="0.2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ht="16" x14ac:dyDescent="0.2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2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ht="16" x14ac:dyDescent="0.2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ht="16" x14ac:dyDescent="0.2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ht="16" x14ac:dyDescent="0.2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ht="16" x14ac:dyDescent="0.2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ht="16" x14ac:dyDescent="0.2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ht="16" x14ac:dyDescent="0.2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ht="16" x14ac:dyDescent="0.2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ht="16" x14ac:dyDescent="0.2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ht="16" x14ac:dyDescent="0.2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ht="16" x14ac:dyDescent="0.2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ht="16" x14ac:dyDescent="0.2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2">
      <c r="A20" s="53" t="s">
        <v>28</v>
      </c>
      <c r="B20" s="53" t="s">
        <v>29</v>
      </c>
      <c r="C20" s="53" t="s">
        <v>66</v>
      </c>
      <c r="D20" s="53" t="s">
        <v>30</v>
      </c>
    </row>
    <row r="21" spans="1:7" x14ac:dyDescent="0.2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2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2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2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2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2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2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2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2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2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2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2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2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2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2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2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2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2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2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2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2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2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6" x14ac:dyDescent="0.2">
      <c r="B44" s="117" t="s">
        <v>5</v>
      </c>
      <c r="C44" s="118"/>
      <c r="D44" s="119"/>
      <c r="E44" s="117" t="s">
        <v>68</v>
      </c>
      <c r="F44" s="118"/>
      <c r="G44" s="119"/>
    </row>
    <row r="45" spans="1:7" ht="36" x14ac:dyDescent="0.2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2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2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2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2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2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2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2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2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2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2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2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2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2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2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2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2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2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2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2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2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7" x14ac:dyDescent="0.2">
      <c r="A67" s="57" t="s">
        <v>52</v>
      </c>
      <c r="B67" s="57" t="s">
        <v>8</v>
      </c>
      <c r="C67" s="57" t="s">
        <v>69</v>
      </c>
      <c r="D67" s="57" t="s">
        <v>58</v>
      </c>
      <c r="E67" s="57" t="s">
        <v>53</v>
      </c>
    </row>
    <row r="68" spans="1:7" ht="16" x14ac:dyDescent="0.2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ht="16" x14ac:dyDescent="0.2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ht="16" x14ac:dyDescent="0.2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ht="16" x14ac:dyDescent="0.2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ht="16" x14ac:dyDescent="0.2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ht="16" x14ac:dyDescent="0.2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ht="16" x14ac:dyDescent="0.2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ht="16" x14ac:dyDescent="0.2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ht="16" x14ac:dyDescent="0.2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ht="16" x14ac:dyDescent="0.2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ht="16" x14ac:dyDescent="0.2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ht="16" x14ac:dyDescent="0.2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ht="16" x14ac:dyDescent="0.2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ht="16" x14ac:dyDescent="0.2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ht="16" x14ac:dyDescent="0.2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ht="16" x14ac:dyDescent="0.2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ht="16" x14ac:dyDescent="0.2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ht="16" x14ac:dyDescent="0.2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ht="16" x14ac:dyDescent="0.2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ht="16" x14ac:dyDescent="0.2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ht="16" x14ac:dyDescent="0.2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ht="16" x14ac:dyDescent="0.2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ht="16" x14ac:dyDescent="0.2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ht="16" x14ac:dyDescent="0.2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ht="16" x14ac:dyDescent="0.2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ht="16" x14ac:dyDescent="0.2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ht="16" x14ac:dyDescent="0.2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ht="16" x14ac:dyDescent="0.2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ht="16" x14ac:dyDescent="0.2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ht="16" x14ac:dyDescent="0.2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ht="16" x14ac:dyDescent="0.2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ht="16" x14ac:dyDescent="0.2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ht="16" x14ac:dyDescent="0.2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ht="16" x14ac:dyDescent="0.2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ht="16" x14ac:dyDescent="0.2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ht="16" x14ac:dyDescent="0.2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ht="16" x14ac:dyDescent="0.2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ht="16" x14ac:dyDescent="0.2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ht="16" x14ac:dyDescent="0.2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ht="16" x14ac:dyDescent="0.2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ht="16" x14ac:dyDescent="0.2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ht="16" x14ac:dyDescent="0.2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ht="16" x14ac:dyDescent="0.2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ht="16" x14ac:dyDescent="0.2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ht="16" x14ac:dyDescent="0.2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ht="16" x14ac:dyDescent="0.2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ht="16" x14ac:dyDescent="0.2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ht="16" x14ac:dyDescent="0.2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ht="16" x14ac:dyDescent="0.2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ht="16" x14ac:dyDescent="0.2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ht="16" x14ac:dyDescent="0.2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ht="16" x14ac:dyDescent="0.2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ht="16" x14ac:dyDescent="0.2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ht="16" x14ac:dyDescent="0.2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ht="16" x14ac:dyDescent="0.2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ht="16" x14ac:dyDescent="0.2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ht="16" x14ac:dyDescent="0.2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ht="16" x14ac:dyDescent="0.2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ht="16" x14ac:dyDescent="0.2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ht="16" x14ac:dyDescent="0.2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ht="16" x14ac:dyDescent="0.2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ht="16" x14ac:dyDescent="0.2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ht="16" x14ac:dyDescent="0.2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ht="16" x14ac:dyDescent="0.2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ht="16" x14ac:dyDescent="0.2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ht="16" x14ac:dyDescent="0.2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2">
      <c r="A134" s="60"/>
      <c r="C134" s="50"/>
    </row>
    <row r="135" spans="1:5" x14ac:dyDescent="0.2">
      <c r="A135" s="60"/>
      <c r="C135" s="50"/>
    </row>
    <row r="136" spans="1:5" ht="17" x14ac:dyDescent="0.2">
      <c r="A136" s="57" t="s">
        <v>70</v>
      </c>
      <c r="B136" s="57" t="s">
        <v>126</v>
      </c>
      <c r="C136" s="50"/>
    </row>
    <row r="137" spans="1:5" x14ac:dyDescent="0.2">
      <c r="A137" s="58" t="s">
        <v>71</v>
      </c>
      <c r="B137" s="61">
        <v>3023.6659187519999</v>
      </c>
      <c r="C137" s="50"/>
    </row>
    <row r="138" spans="1:5" x14ac:dyDescent="0.2">
      <c r="A138" s="58" t="s">
        <v>72</v>
      </c>
      <c r="B138" s="61">
        <v>3462.3325584952004</v>
      </c>
      <c r="C138" s="50"/>
    </row>
    <row r="139" spans="1:5" x14ac:dyDescent="0.2">
      <c r="A139" s="58" t="s">
        <v>73</v>
      </c>
      <c r="B139" s="61">
        <v>1051.9666372200002</v>
      </c>
      <c r="C139" s="50"/>
    </row>
    <row r="140" spans="1:5" x14ac:dyDescent="0.2">
      <c r="A140" s="58" t="s">
        <v>74</v>
      </c>
      <c r="B140" s="61">
        <v>680.11092420000011</v>
      </c>
      <c r="C140" s="50"/>
    </row>
    <row r="141" spans="1:5" x14ac:dyDescent="0.2">
      <c r="A141" s="58" t="s">
        <v>75</v>
      </c>
      <c r="B141" s="61">
        <v>3969.2165201334001</v>
      </c>
      <c r="C141" s="50"/>
    </row>
    <row r="142" spans="1:5" x14ac:dyDescent="0.2">
      <c r="A142" s="58" t="s">
        <v>76</v>
      </c>
      <c r="B142" s="61">
        <v>3120.9100082900004</v>
      </c>
      <c r="C142" s="50"/>
    </row>
    <row r="143" spans="1:5" x14ac:dyDescent="0.2">
      <c r="A143" s="58" t="s">
        <v>77</v>
      </c>
      <c r="B143" s="61">
        <v>3118.3572501499998</v>
      </c>
      <c r="C143" s="50"/>
    </row>
    <row r="144" spans="1:5" x14ac:dyDescent="0.2">
      <c r="A144" s="58" t="s">
        <v>78</v>
      </c>
      <c r="B144" s="61">
        <v>2602.140331525</v>
      </c>
      <c r="C144" s="50"/>
    </row>
    <row r="145" spans="1:2" x14ac:dyDescent="0.2">
      <c r="A145" s="58" t="s">
        <v>79</v>
      </c>
      <c r="B145" s="61">
        <v>4557.9951523</v>
      </c>
    </row>
    <row r="146" spans="1:2" x14ac:dyDescent="0.2">
      <c r="A146" s="58" t="s">
        <v>80</v>
      </c>
      <c r="B146" s="61">
        <v>3047.448611238</v>
      </c>
    </row>
    <row r="147" spans="1:2" x14ac:dyDescent="0.2">
      <c r="A147" s="58" t="s">
        <v>81</v>
      </c>
      <c r="B147" s="61">
        <v>740.69039574999999</v>
      </c>
    </row>
    <row r="148" spans="1:2" x14ac:dyDescent="0.2">
      <c r="A148" s="58" t="s">
        <v>82</v>
      </c>
      <c r="B148" s="61">
        <v>897.80714540400004</v>
      </c>
    </row>
    <row r="149" spans="1:2" x14ac:dyDescent="0.2">
      <c r="A149" s="58" t="s">
        <v>83</v>
      </c>
      <c r="B149" s="61">
        <v>883.16209499700005</v>
      </c>
    </row>
    <row r="150" spans="1:2" x14ac:dyDescent="0.2">
      <c r="A150" s="58" t="s">
        <v>84</v>
      </c>
      <c r="B150" s="61">
        <v>1019.94225066</v>
      </c>
    </row>
    <row r="151" spans="1:2" x14ac:dyDescent="0.2">
      <c r="A151" s="58" t="s">
        <v>85</v>
      </c>
      <c r="B151" s="61">
        <v>889.46139315170001</v>
      </c>
    </row>
    <row r="152" spans="1:2" x14ac:dyDescent="0.2">
      <c r="A152" s="58" t="s">
        <v>86</v>
      </c>
      <c r="B152" s="61">
        <v>752.72081800977992</v>
      </c>
    </row>
    <row r="153" spans="1:2" x14ac:dyDescent="0.2">
      <c r="A153" s="58" t="s">
        <v>87</v>
      </c>
      <c r="B153" s="61">
        <v>946.9611047855999</v>
      </c>
    </row>
    <row r="154" spans="1:2" x14ac:dyDescent="0.2">
      <c r="A154" s="58" t="s">
        <v>88</v>
      </c>
      <c r="B154" s="61">
        <v>1074.1029483240002</v>
      </c>
    </row>
    <row r="155" spans="1:2" x14ac:dyDescent="0.2">
      <c r="A155" s="58" t="s">
        <v>89</v>
      </c>
      <c r="B155" s="61">
        <v>1420.210775454</v>
      </c>
    </row>
    <row r="156" spans="1:2" x14ac:dyDescent="0.2">
      <c r="A156" s="58" t="s">
        <v>90</v>
      </c>
      <c r="B156" s="61">
        <v>774.61553566148007</v>
      </c>
    </row>
    <row r="157" spans="1:2" x14ac:dyDescent="0.2">
      <c r="A157" s="58" t="s">
        <v>91</v>
      </c>
      <c r="B157" s="61">
        <v>765.12397890409</v>
      </c>
    </row>
    <row r="158" spans="1:2" x14ac:dyDescent="0.2">
      <c r="A158" s="58" t="s">
        <v>92</v>
      </c>
      <c r="B158" s="61">
        <v>1001.1849360304</v>
      </c>
    </row>
    <row r="159" spans="1:2" x14ac:dyDescent="0.2">
      <c r="A159" s="58" t="s">
        <v>93</v>
      </c>
      <c r="B159" s="61">
        <v>1279.8013208596001</v>
      </c>
    </row>
    <row r="160" spans="1:2" x14ac:dyDescent="0.2">
      <c r="A160" s="58" t="s">
        <v>94</v>
      </c>
      <c r="B160" s="61">
        <v>723.80564597088994</v>
      </c>
    </row>
    <row r="161" spans="1:2" x14ac:dyDescent="0.2">
      <c r="A161" s="58" t="s">
        <v>95</v>
      </c>
      <c r="B161" s="61">
        <v>1232.6787939830401</v>
      </c>
    </row>
    <row r="162" spans="1:2" x14ac:dyDescent="0.2">
      <c r="A162" s="58" t="s">
        <v>96</v>
      </c>
      <c r="B162" s="61">
        <v>1788.5815223822999</v>
      </c>
    </row>
    <row r="163" spans="1:2" x14ac:dyDescent="0.2">
      <c r="A163" s="58" t="s">
        <v>97</v>
      </c>
      <c r="B163" s="61">
        <v>626.40579813411489</v>
      </c>
    </row>
    <row r="164" spans="1:2" x14ac:dyDescent="0.2">
      <c r="A164" s="58" t="s">
        <v>98</v>
      </c>
      <c r="B164" s="61">
        <v>1886.3492469093001</v>
      </c>
    </row>
    <row r="165" spans="1:2" x14ac:dyDescent="0.2">
      <c r="A165" s="58" t="s">
        <v>99</v>
      </c>
      <c r="B165" s="61">
        <v>1245.7052980295</v>
      </c>
    </row>
    <row r="166" spans="1:2" x14ac:dyDescent="0.2">
      <c r="A166" s="58" t="s">
        <v>100</v>
      </c>
      <c r="B166" s="61">
        <v>1283.4653141729998</v>
      </c>
    </row>
    <row r="167" spans="1:2" x14ac:dyDescent="0.2">
      <c r="A167" s="58" t="s">
        <v>101</v>
      </c>
      <c r="B167" s="61">
        <v>1487.4535399215001</v>
      </c>
    </row>
    <row r="168" spans="1:2" x14ac:dyDescent="0.2">
      <c r="A168" s="58" t="s">
        <v>102</v>
      </c>
      <c r="B168" s="61">
        <v>1457.6311863044998</v>
      </c>
    </row>
    <row r="169" spans="1:2" x14ac:dyDescent="0.2">
      <c r="A169" s="58" t="s">
        <v>103</v>
      </c>
      <c r="B169" s="61">
        <v>1441.472337333</v>
      </c>
    </row>
    <row r="170" spans="1:2" x14ac:dyDescent="0.2">
      <c r="A170" s="58" t="s">
        <v>104</v>
      </c>
      <c r="B170" s="61">
        <v>2444.8047991999997</v>
      </c>
    </row>
    <row r="171" spans="1:2" x14ac:dyDescent="0.2">
      <c r="A171" s="58" t="s">
        <v>105</v>
      </c>
      <c r="B171" s="61">
        <v>3601.9636359103997</v>
      </c>
    </row>
    <row r="172" spans="1:2" x14ac:dyDescent="0.2">
      <c r="A172" s="58" t="s">
        <v>345</v>
      </c>
      <c r="B172" s="61">
        <f>25000*0.17</f>
        <v>4250</v>
      </c>
    </row>
    <row r="173" spans="1:2" x14ac:dyDescent="0.2">
      <c r="A173" s="58" t="s">
        <v>106</v>
      </c>
      <c r="B173" s="61">
        <v>2724.2246671013995</v>
      </c>
    </row>
    <row r="174" spans="1:2" x14ac:dyDescent="0.2">
      <c r="A174" s="58" t="s">
        <v>107</v>
      </c>
      <c r="B174" s="61">
        <v>2678.1548398122004</v>
      </c>
    </row>
    <row r="175" spans="1:2" x14ac:dyDescent="0.2">
      <c r="A175" s="58" t="s">
        <v>108</v>
      </c>
      <c r="B175" s="61">
        <v>925.39090928000007</v>
      </c>
    </row>
    <row r="176" spans="1:2" x14ac:dyDescent="0.2">
      <c r="A176" s="58" t="s">
        <v>109</v>
      </c>
      <c r="B176" s="61">
        <v>832.84025582999993</v>
      </c>
    </row>
    <row r="177" spans="1:2" x14ac:dyDescent="0.2">
      <c r="A177" s="58" t="s">
        <v>110</v>
      </c>
      <c r="B177" s="61">
        <v>3847.6402921410004</v>
      </c>
    </row>
    <row r="178" spans="1:2" x14ac:dyDescent="0.2">
      <c r="A178" s="58" t="s">
        <v>111</v>
      </c>
      <c r="B178" s="61">
        <v>3849.2868810089999</v>
      </c>
    </row>
    <row r="179" spans="1:2" x14ac:dyDescent="0.2">
      <c r="A179" s="58" t="s">
        <v>112</v>
      </c>
      <c r="B179" s="61">
        <v>3453.8088875220001</v>
      </c>
    </row>
    <row r="180" spans="1:2" x14ac:dyDescent="0.2">
      <c r="A180" s="58" t="s">
        <v>113</v>
      </c>
      <c r="B180" s="61">
        <v>3391.1981881470001</v>
      </c>
    </row>
    <row r="181" spans="1:2" x14ac:dyDescent="0.2">
      <c r="A181" s="58" t="s">
        <v>114</v>
      </c>
      <c r="B181" s="61">
        <v>3759.2860042549196</v>
      </c>
    </row>
    <row r="182" spans="1:2" x14ac:dyDescent="0.2">
      <c r="A182" s="58" t="s">
        <v>115</v>
      </c>
      <c r="B182" s="61">
        <v>2658.9292517203125</v>
      </c>
    </row>
    <row r="183" spans="1:2" x14ac:dyDescent="0.2">
      <c r="A183" s="58" t="s">
        <v>116</v>
      </c>
      <c r="B183" s="61">
        <v>4303.8993272226562</v>
      </c>
    </row>
    <row r="184" spans="1:2" x14ac:dyDescent="0.2">
      <c r="A184" s="58" t="s">
        <v>117</v>
      </c>
      <c r="B184" s="61">
        <v>4054.8428879156254</v>
      </c>
    </row>
    <row r="185" spans="1:2" x14ac:dyDescent="0.2">
      <c r="A185" s="58" t="s">
        <v>118</v>
      </c>
      <c r="B185" s="61">
        <v>3165.3350675625002</v>
      </c>
    </row>
    <row r="186" spans="1:2" x14ac:dyDescent="0.2">
      <c r="A186" s="58" t="s">
        <v>119</v>
      </c>
      <c r="B186" s="61">
        <v>21727.520374600001</v>
      </c>
    </row>
    <row r="187" spans="1:2" x14ac:dyDescent="0.2">
      <c r="A187" s="58" t="s">
        <v>120</v>
      </c>
      <c r="B187" s="61">
        <v>763729.18826415588</v>
      </c>
    </row>
    <row r="188" spans="1:2" x14ac:dyDescent="0.2">
      <c r="A188" s="58" t="s">
        <v>121</v>
      </c>
      <c r="B188" s="61">
        <v>28201.949841089998</v>
      </c>
    </row>
    <row r="189" spans="1:2" x14ac:dyDescent="0.2">
      <c r="A189" s="58" t="s">
        <v>122</v>
      </c>
      <c r="B189" s="61">
        <v>745475.31653372501</v>
      </c>
    </row>
    <row r="190" spans="1:2" x14ac:dyDescent="0.2">
      <c r="A190" s="58" t="s">
        <v>123</v>
      </c>
      <c r="B190" s="61">
        <v>1313.2063369499999</v>
      </c>
    </row>
    <row r="191" spans="1:2" x14ac:dyDescent="0.2">
      <c r="A191" s="58" t="s">
        <v>124</v>
      </c>
      <c r="B191" s="61">
        <v>864.20333642999981</v>
      </c>
    </row>
    <row r="192" spans="1:2" x14ac:dyDescent="0.2">
      <c r="A192" s="58" t="s">
        <v>125</v>
      </c>
      <c r="B192" s="61">
        <v>2605.9006745199999</v>
      </c>
    </row>
    <row r="194" spans="1:2" x14ac:dyDescent="0.2">
      <c r="A194" s="23" t="s">
        <v>70</v>
      </c>
      <c r="B194" s="62" t="s">
        <v>126</v>
      </c>
    </row>
    <row r="195" spans="1:2" x14ac:dyDescent="0.2">
      <c r="A195" t="s">
        <v>127</v>
      </c>
      <c r="B195" s="63">
        <v>5895.9797374104</v>
      </c>
    </row>
    <row r="196" spans="1:2" x14ac:dyDescent="0.2">
      <c r="A196" t="s">
        <v>128</v>
      </c>
      <c r="B196" s="63">
        <v>2576.2094178333336</v>
      </c>
    </row>
    <row r="197" spans="1:2" x14ac:dyDescent="0.2">
      <c r="A197" t="s">
        <v>129</v>
      </c>
      <c r="B197" s="63">
        <v>4062.9965796000001</v>
      </c>
    </row>
    <row r="198" spans="1:2" x14ac:dyDescent="0.2">
      <c r="A198" t="s">
        <v>130</v>
      </c>
      <c r="B198" s="63">
        <v>4011.4789508640006</v>
      </c>
    </row>
    <row r="199" spans="1:2" x14ac:dyDescent="0.2">
      <c r="A199" t="s">
        <v>131</v>
      </c>
      <c r="B199" s="63">
        <v>2682.7232290992001</v>
      </c>
    </row>
    <row r="200" spans="1:2" x14ac:dyDescent="0.2">
      <c r="A200" t="s">
        <v>132</v>
      </c>
      <c r="B200" s="63">
        <v>2548.7495763313045</v>
      </c>
    </row>
    <row r="201" spans="1:2" x14ac:dyDescent="0.2">
      <c r="A201" t="s">
        <v>133</v>
      </c>
      <c r="B201" s="63">
        <v>3366.7024762240003</v>
      </c>
    </row>
    <row r="202" spans="1:2" x14ac:dyDescent="0.2">
      <c r="A202" t="s">
        <v>134</v>
      </c>
      <c r="B202" s="63">
        <v>3370.0393371360001</v>
      </c>
    </row>
    <row r="203" spans="1:2" x14ac:dyDescent="0.2">
      <c r="A203" t="s">
        <v>135</v>
      </c>
      <c r="B203" s="63">
        <v>3392.0923222031997</v>
      </c>
    </row>
    <row r="204" spans="1:2" x14ac:dyDescent="0.2">
      <c r="A204" t="s">
        <v>136</v>
      </c>
      <c r="B204" s="63">
        <v>3141.3860726075795</v>
      </c>
    </row>
    <row r="206" spans="1:2" x14ac:dyDescent="0.2">
      <c r="A206" s="23" t="s">
        <v>171</v>
      </c>
      <c r="B206" s="23" t="s">
        <v>24</v>
      </c>
    </row>
    <row r="207" spans="1:2" x14ac:dyDescent="0.2">
      <c r="A207" t="s">
        <v>152</v>
      </c>
      <c r="B207">
        <v>1.6E-2</v>
      </c>
    </row>
    <row r="208" spans="1:2" x14ac:dyDescent="0.2">
      <c r="A208" t="s">
        <v>151</v>
      </c>
      <c r="B208">
        <v>6.0000000000000001E-3</v>
      </c>
    </row>
    <row r="209" spans="1:5" x14ac:dyDescent="0.2">
      <c r="A209" t="s">
        <v>155</v>
      </c>
      <c r="B209" s="64">
        <v>0.01</v>
      </c>
    </row>
    <row r="210" spans="1:5" x14ac:dyDescent="0.2">
      <c r="A210" t="s">
        <v>157</v>
      </c>
      <c r="B210" s="64">
        <v>1.0999999999999999E-2</v>
      </c>
    </row>
    <row r="211" spans="1:5" x14ac:dyDescent="0.2">
      <c r="A211" t="s">
        <v>173</v>
      </c>
      <c r="B211" s="64">
        <v>5.7000000000000002E-2</v>
      </c>
    </row>
    <row r="212" spans="1:5" x14ac:dyDescent="0.2">
      <c r="A212" t="s">
        <v>175</v>
      </c>
      <c r="B212" s="64">
        <v>4.51</v>
      </c>
    </row>
    <row r="213" spans="1:5" x14ac:dyDescent="0.2">
      <c r="A213" t="s">
        <v>176</v>
      </c>
      <c r="B213" s="64">
        <v>1.45</v>
      </c>
    </row>
    <row r="214" spans="1:5" x14ac:dyDescent="0.2">
      <c r="A214" t="s">
        <v>177</v>
      </c>
      <c r="B214" s="64">
        <v>0.71</v>
      </c>
    </row>
    <row r="215" spans="1:5" x14ac:dyDescent="0.2">
      <c r="A215" s="65" t="s">
        <v>179</v>
      </c>
      <c r="B215" s="64">
        <v>6.0090000000000003</v>
      </c>
    </row>
    <row r="216" spans="1:5" x14ac:dyDescent="0.2">
      <c r="A216" s="65" t="s">
        <v>180</v>
      </c>
      <c r="B216" s="64">
        <v>8.9849999999999994</v>
      </c>
    </row>
    <row r="217" spans="1:5" x14ac:dyDescent="0.2">
      <c r="A217" s="65" t="s">
        <v>181</v>
      </c>
      <c r="B217" s="64">
        <v>25.134</v>
      </c>
    </row>
    <row r="218" spans="1:5" x14ac:dyDescent="0.2">
      <c r="A218" s="66" t="s">
        <v>182</v>
      </c>
      <c r="B218" s="64">
        <v>8.4779999999999998</v>
      </c>
    </row>
    <row r="219" spans="1:5" x14ac:dyDescent="0.2">
      <c r="A219" s="67"/>
    </row>
    <row r="220" spans="1:5" x14ac:dyDescent="0.2">
      <c r="A220" t="s">
        <v>153</v>
      </c>
      <c r="B220">
        <v>0.11</v>
      </c>
    </row>
    <row r="221" spans="1:5" x14ac:dyDescent="0.2">
      <c r="A221" t="s">
        <v>154</v>
      </c>
      <c r="B221">
        <v>0.21</v>
      </c>
    </row>
    <row r="222" spans="1:5" x14ac:dyDescent="0.2">
      <c r="A222" s="68" t="s">
        <v>156</v>
      </c>
      <c r="B222">
        <v>0.24</v>
      </c>
    </row>
    <row r="224" spans="1:5" x14ac:dyDescent="0.2">
      <c r="A224" s="23" t="s">
        <v>158</v>
      </c>
      <c r="B224" s="23" t="s">
        <v>159</v>
      </c>
      <c r="C224" s="23" t="s">
        <v>160</v>
      </c>
      <c r="D224" s="23" t="s">
        <v>161</v>
      </c>
      <c r="E224" s="23" t="s">
        <v>162</v>
      </c>
    </row>
    <row r="225" spans="1:5" x14ac:dyDescent="0.2">
      <c r="A225" t="s">
        <v>163</v>
      </c>
      <c r="B225" t="s">
        <v>164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2">
      <c r="A226" t="s">
        <v>165</v>
      </c>
      <c r="B226" t="s">
        <v>164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2">
      <c r="A227" t="s">
        <v>166</v>
      </c>
      <c r="B227" t="s">
        <v>164</v>
      </c>
      <c r="C227">
        <f t="shared" si="7"/>
        <v>3.286</v>
      </c>
      <c r="D227">
        <v>2.698</v>
      </c>
      <c r="E227">
        <v>0.58799999999999997</v>
      </c>
    </row>
    <row r="228" spans="1:5" x14ac:dyDescent="0.2">
      <c r="A228" t="s">
        <v>167</v>
      </c>
      <c r="B228" t="s">
        <v>168</v>
      </c>
      <c r="C228">
        <f t="shared" si="7"/>
        <v>3.4169999999999998</v>
      </c>
      <c r="D228">
        <v>2.827</v>
      </c>
      <c r="E228">
        <v>0.59</v>
      </c>
    </row>
    <row r="229" spans="1:5" x14ac:dyDescent="0.2">
      <c r="A229" t="s">
        <v>167</v>
      </c>
      <c r="B229" t="s">
        <v>169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2">
      <c r="A230" t="s">
        <v>170</v>
      </c>
      <c r="B230" t="s">
        <v>168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2">
      <c r="A232" t="s">
        <v>186</v>
      </c>
      <c r="B232">
        <v>265</v>
      </c>
    </row>
    <row r="235" spans="1:5" ht="15" customHeight="1" x14ac:dyDescent="0.2">
      <c r="A235" s="38"/>
      <c r="B235" s="38" t="s">
        <v>201</v>
      </c>
      <c r="C235" s="38"/>
      <c r="D235" s="38" t="s">
        <v>202</v>
      </c>
      <c r="E235" s="38"/>
    </row>
    <row r="236" spans="1:5" ht="17" x14ac:dyDescent="0.25">
      <c r="A236" s="38" t="s">
        <v>203</v>
      </c>
      <c r="B236" s="38" t="s">
        <v>213</v>
      </c>
      <c r="C236" s="38" t="s">
        <v>204</v>
      </c>
      <c r="D236" s="38" t="s">
        <v>213</v>
      </c>
      <c r="E236" s="38" t="s">
        <v>204</v>
      </c>
    </row>
    <row r="237" spans="1:5" x14ac:dyDescent="0.2">
      <c r="A237" s="38" t="s">
        <v>0</v>
      </c>
      <c r="B237" s="38">
        <v>0</v>
      </c>
      <c r="C237" s="38" t="s">
        <v>205</v>
      </c>
      <c r="D237" s="38">
        <v>0</v>
      </c>
      <c r="E237" s="38" t="s">
        <v>205</v>
      </c>
    </row>
    <row r="238" spans="1:5" x14ac:dyDescent="0.2">
      <c r="A238" s="38" t="s">
        <v>1</v>
      </c>
      <c r="B238" s="38">
        <v>0</v>
      </c>
      <c r="C238" s="38" t="s">
        <v>205</v>
      </c>
      <c r="D238" s="38">
        <v>0</v>
      </c>
      <c r="E238" s="38" t="s">
        <v>205</v>
      </c>
    </row>
    <row r="239" spans="1:5" x14ac:dyDescent="0.2">
      <c r="A239" s="38" t="s">
        <v>2</v>
      </c>
      <c r="B239" s="38">
        <v>5</v>
      </c>
      <c r="C239" s="38" t="s">
        <v>206</v>
      </c>
      <c r="D239" s="38">
        <v>9.9</v>
      </c>
      <c r="E239" s="38" t="s">
        <v>207</v>
      </c>
    </row>
    <row r="240" spans="1:5" x14ac:dyDescent="0.2">
      <c r="A240" s="38" t="s">
        <v>208</v>
      </c>
      <c r="B240" s="38">
        <v>16</v>
      </c>
      <c r="C240" s="38" t="s">
        <v>206</v>
      </c>
      <c r="D240" s="38">
        <v>14.3</v>
      </c>
      <c r="E240" s="38" t="s">
        <v>207</v>
      </c>
    </row>
    <row r="242" spans="1:3" ht="15" customHeight="1" x14ac:dyDescent="0.2">
      <c r="A242" s="38"/>
      <c r="B242" s="38" t="s">
        <v>201</v>
      </c>
      <c r="C242" s="38" t="s">
        <v>202</v>
      </c>
    </row>
    <row r="243" spans="1:3" ht="18.75" customHeight="1" x14ac:dyDescent="0.25">
      <c r="A243" s="38" t="s">
        <v>211</v>
      </c>
      <c r="B243" s="38" t="s">
        <v>212</v>
      </c>
      <c r="C243" s="38" t="s">
        <v>212</v>
      </c>
    </row>
    <row r="244" spans="1:3" x14ac:dyDescent="0.2">
      <c r="A244" s="38">
        <v>1</v>
      </c>
      <c r="B244" s="38">
        <v>2.7</v>
      </c>
      <c r="C244" s="38">
        <v>2.4</v>
      </c>
    </row>
    <row r="245" spans="1:3" x14ac:dyDescent="0.2">
      <c r="A245" s="38">
        <v>2</v>
      </c>
      <c r="B245" s="38">
        <v>4.2</v>
      </c>
      <c r="C245" s="38">
        <v>3.72</v>
      </c>
    </row>
    <row r="246" spans="1:3" x14ac:dyDescent="0.2">
      <c r="A246" s="38">
        <v>3</v>
      </c>
      <c r="B246" s="38">
        <v>5.6</v>
      </c>
      <c r="C246" s="38">
        <v>5.04</v>
      </c>
    </row>
    <row r="247" spans="1:3" x14ac:dyDescent="0.2">
      <c r="A247" s="38">
        <v>4</v>
      </c>
      <c r="B247" s="38">
        <v>7.1</v>
      </c>
      <c r="C247" s="38">
        <v>6.36</v>
      </c>
    </row>
    <row r="248" spans="1:3" x14ac:dyDescent="0.2">
      <c r="A248" s="38">
        <v>5</v>
      </c>
      <c r="B248" s="38">
        <v>7.4</v>
      </c>
      <c r="C248" s="38">
        <v>6.6</v>
      </c>
    </row>
    <row r="249" spans="1:3" x14ac:dyDescent="0.2">
      <c r="A249" s="38">
        <v>6</v>
      </c>
      <c r="B249" s="38">
        <v>8.6</v>
      </c>
      <c r="C249" s="38">
        <v>7.7</v>
      </c>
    </row>
    <row r="250" spans="1:3" x14ac:dyDescent="0.2">
      <c r="A250" s="38">
        <v>7</v>
      </c>
      <c r="B250" s="38">
        <v>9.8000000000000007</v>
      </c>
      <c r="C250" s="38">
        <v>8.8000000000000007</v>
      </c>
    </row>
    <row r="251" spans="1:3" x14ac:dyDescent="0.2">
      <c r="A251" s="38">
        <v>8</v>
      </c>
      <c r="B251" s="38">
        <v>11.1</v>
      </c>
      <c r="C251" s="38">
        <v>9.9</v>
      </c>
    </row>
    <row r="252" spans="1:3" x14ac:dyDescent="0.2">
      <c r="A252" s="38">
        <v>9</v>
      </c>
      <c r="B252" s="38">
        <v>12.3</v>
      </c>
      <c r="C252" s="38">
        <v>11</v>
      </c>
    </row>
    <row r="253" spans="1:3" x14ac:dyDescent="0.2">
      <c r="A253" s="38">
        <v>10</v>
      </c>
      <c r="B253" s="38">
        <v>13.5</v>
      </c>
      <c r="C253" s="38">
        <v>12.1</v>
      </c>
    </row>
    <row r="254" spans="1:3" x14ac:dyDescent="0.2">
      <c r="A254" s="38">
        <v>11</v>
      </c>
      <c r="B254" s="38">
        <v>13.9</v>
      </c>
      <c r="C254" s="38">
        <v>12.46</v>
      </c>
    </row>
    <row r="255" spans="1:3" x14ac:dyDescent="0.2">
      <c r="A255" s="38">
        <v>12</v>
      </c>
      <c r="B255" s="38">
        <v>14.3</v>
      </c>
      <c r="C255" s="38">
        <v>12.82</v>
      </c>
    </row>
    <row r="256" spans="1:3" x14ac:dyDescent="0.2">
      <c r="A256" s="38">
        <v>13</v>
      </c>
      <c r="B256" s="38">
        <v>14.7</v>
      </c>
      <c r="C256" s="38">
        <v>13.18</v>
      </c>
    </row>
    <row r="257" spans="1:3" x14ac:dyDescent="0.2">
      <c r="A257" s="38">
        <v>14</v>
      </c>
      <c r="B257" s="38">
        <v>15.1</v>
      </c>
      <c r="C257" s="38">
        <v>13.54</v>
      </c>
    </row>
    <row r="258" spans="1:3" x14ac:dyDescent="0.2">
      <c r="A258" s="38">
        <v>15</v>
      </c>
      <c r="B258" s="38">
        <v>15.6</v>
      </c>
      <c r="C258" s="38">
        <v>13.9</v>
      </c>
    </row>
    <row r="259" spans="1:3" x14ac:dyDescent="0.2">
      <c r="A259" s="38">
        <v>16</v>
      </c>
      <c r="B259" s="38">
        <v>15.6</v>
      </c>
      <c r="C259" s="38">
        <v>13.98</v>
      </c>
    </row>
    <row r="260" spans="1:3" x14ac:dyDescent="0.2">
      <c r="A260" s="38">
        <v>17</v>
      </c>
      <c r="B260" s="38">
        <v>15.7</v>
      </c>
      <c r="C260" s="38">
        <v>14.06</v>
      </c>
    </row>
    <row r="261" spans="1:3" x14ac:dyDescent="0.2">
      <c r="A261" s="38">
        <v>18</v>
      </c>
      <c r="B261" s="38">
        <v>15.8</v>
      </c>
      <c r="C261" s="38">
        <v>14.14</v>
      </c>
    </row>
    <row r="262" spans="1:3" x14ac:dyDescent="0.2">
      <c r="A262" s="38">
        <v>19</v>
      </c>
      <c r="B262" s="38">
        <v>15.9</v>
      </c>
      <c r="C262" s="38">
        <v>14.22</v>
      </c>
    </row>
    <row r="263" spans="1:3" x14ac:dyDescent="0.2">
      <c r="A263" s="38">
        <v>20</v>
      </c>
      <c r="B263" s="38">
        <v>16</v>
      </c>
      <c r="C263" s="38">
        <v>14.3</v>
      </c>
    </row>
    <row r="265" spans="1:3" ht="15" customHeight="1" x14ac:dyDescent="0.2">
      <c r="A265" s="38" t="s">
        <v>8</v>
      </c>
      <c r="B265" s="38" t="s">
        <v>218</v>
      </c>
      <c r="C265" s="38" t="s">
        <v>219</v>
      </c>
    </row>
    <row r="266" spans="1:3" x14ac:dyDescent="0.2">
      <c r="A266" s="38" t="s">
        <v>2</v>
      </c>
      <c r="B266" s="38">
        <v>34.299999999999997</v>
      </c>
      <c r="C266" s="38">
        <v>34</v>
      </c>
    </row>
    <row r="267" spans="1:3" x14ac:dyDescent="0.2">
      <c r="A267" s="38" t="s">
        <v>1</v>
      </c>
      <c r="B267" s="38">
        <v>49.5</v>
      </c>
      <c r="C267" s="38">
        <v>85</v>
      </c>
    </row>
    <row r="268" spans="1:3" x14ac:dyDescent="0.2">
      <c r="A268" s="38" t="s">
        <v>0</v>
      </c>
      <c r="B268" s="38">
        <v>43.1</v>
      </c>
      <c r="C268" s="38">
        <v>52</v>
      </c>
    </row>
    <row r="269" spans="1:3" x14ac:dyDescent="0.2">
      <c r="A269" s="38" t="s">
        <v>215</v>
      </c>
      <c r="B269" s="38" t="s">
        <v>216</v>
      </c>
      <c r="C269" s="38" t="s">
        <v>217</v>
      </c>
    </row>
    <row r="271" spans="1:3" ht="15" customHeight="1" x14ac:dyDescent="0.2">
      <c r="A271" s="38" t="s">
        <v>8</v>
      </c>
      <c r="B271" s="38" t="s">
        <v>220</v>
      </c>
      <c r="C271" s="38" t="s">
        <v>219</v>
      </c>
    </row>
    <row r="272" spans="1:3" x14ac:dyDescent="0.2">
      <c r="A272" s="38" t="s">
        <v>208</v>
      </c>
      <c r="B272" s="38">
        <v>41.5</v>
      </c>
      <c r="C272" s="38">
        <v>47</v>
      </c>
    </row>
    <row r="273" spans="1:3" x14ac:dyDescent="0.2">
      <c r="A273" s="38" t="s">
        <v>215</v>
      </c>
      <c r="B273" s="38" t="s">
        <v>216</v>
      </c>
      <c r="C273" s="38" t="s">
        <v>217</v>
      </c>
    </row>
    <row r="276" spans="1:3" x14ac:dyDescent="0.2">
      <c r="A276" s="38" t="s">
        <v>224</v>
      </c>
      <c r="B276" s="38">
        <v>0.49</v>
      </c>
    </row>
    <row r="278" spans="1:3" x14ac:dyDescent="0.2">
      <c r="A278" s="38" t="s">
        <v>227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Théo VOGEL</cp:lastModifiedBy>
  <dcterms:created xsi:type="dcterms:W3CDTF">2020-09-28T09:31:11Z</dcterms:created>
  <dcterms:modified xsi:type="dcterms:W3CDTF">2025-04-28T07:07:13Z</dcterms:modified>
</cp:coreProperties>
</file>