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D71854AE-2BF4-4303-8303-22D6D8D08519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C55" i="2" l="1" a="1"/>
  <c r="BC55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<sst xmlns="http://schemas.openxmlformats.org/spreadsheetml/2006/main" count="1175" uniqueCount="326">
  <si>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</si>
  <si>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</si>
  <si>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</si>
  <si>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</si>
  <si>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</si>
  <si>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</si>
  <si>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</si>
  <si>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</si>
  <si>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</si>
  <si>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</si>
  <si>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</si>
  <si>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</si>
  <si>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</si>
  <si>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</si>
  <si>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</si>
  <si>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</si>
  <si>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</si>
  <si>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</si>
  <si>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</si>
  <si>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</si>
  <si>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</si>
  <si>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</si>
  <si>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</si>
  <si>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</si>
  <si>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</si>
  <si>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</si>
  <si>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</si>
  <si>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</si>
  <si>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</si>
  <si>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</si>
  <si>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</si>
  <si>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</si>
  <si>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</si>
  <si>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</si>
  <si>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</si>
  <si>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</si>
  <si>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</si>
  <si>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</si>
  <si>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</si>
  <si>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</si>
  <si>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</si>
  <si>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</si>
  <si>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</si>
  <si>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</si>
  <si>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</si>
  <si>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</si>
  <si>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</si>
  <si>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</si>
  <si>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</si>
  <si>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</si>
  <si>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</si>
  <si>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</si>
  <si>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</si>
  <si>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</si>
  <si>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</si>
  <si>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</si>
  <si>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</si>
  <si>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</si>
  <si>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</si>
  <si>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</si>
  <si>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</si>
  <si>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</si>
  <si>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</si>
  <si>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</si>
  <si>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</si>
  <si>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</si>
  <si>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</si>
  <si>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</si>
  <si>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</si>
  <si>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</si>
  <si>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</si>
  <si>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</si>
  <si>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</si>
  <si>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</si>
  <si>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</si>
  <si>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</si>
  <si>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</si>
  <si>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</si>
  <si>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</si>
  <si>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</si>
  <si>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</si>
  <si>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</si>
  <si>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</si>
  <si>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</si>
  <si>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</si>
  <si>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</si>
  <si>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</si>
  <si>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</si>
  <si>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</si>
  <si>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</si>
  <si>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</si>
  <si>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</si>
  <si>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</si>
  <si>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</si>
  <si>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</si>
  <si>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</si>
  <si>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</si>
  <si>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</si>
  <si>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</si>
  <si>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</si>
  <si>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</si>
  <si>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</si>
  <si>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</si>
  <si>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</si>
  <si>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</si>
  <si>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</si>
  <si>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</si>
  <si>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</si>
  <si>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</si>
  <si>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</si>
  <si>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</si>
  <si>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</si>
  <si>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</si>
  <si>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</si>
  <si>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</si>
  <si>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</si>
  <si>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</si>
  <si>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</si>
  <si>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</si>
  <si>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</si>
  <si>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</si>
  <si>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</si>
  <si>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</si>
  <si>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</si>
  <si>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</si>
  <si>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</si>
  <si>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</si>
  <si>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</si>
  <si>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</si>
  <si>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</si>
  <si>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</si>
  <si>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</si>
  <si>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</si>
  <si>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</si>
  <si>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</si>
  <si>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</si>
  <si>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</si>
  <si>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</si>
  <si>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</si>
  <si>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</si>
  <si>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</si>
  <si>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</si>
  <si>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</si>
  <si>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</si>
  <si>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</si>
  <si>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</si>
  <si>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</si>
  <si>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</si>
  <si>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</si>
  <si>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</si>
  <si>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</si>
  <si>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</si>
  <si>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</si>
  <si>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</si>
  <si>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</si>
  <si>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</si>
  <si>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</si>
  <si>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</si>
  <si>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</si>
  <si>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</si>
  <si>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</si>
  <si>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</si>
  <si>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</si>
  <si>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</si>
  <si>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</si>
  <si>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</si>
  <si>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</si>
  <si>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</si>
  <si>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</si>
  <si>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</si>
  <si>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</si>
  <si>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</si>
  <si>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</si>
  <si>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</si>
  <si>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</si>
  <si>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</si>
  <si>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</si>
  <si>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</si>
  <si>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</si>
  <si>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</si>
  <si>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</si>
  <si>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</si>
  <si>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</si>
  <si>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</si>
  <si>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</si>
  <si>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</si>
  <si>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</si>
  <si>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</si>
  <si>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</si>
  <si>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</si>
  <si>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</si>
  <si>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</si>
  <si>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</si>
  <si>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</si>
  <si>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</si>
  <si>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</si>
  <si>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</si>
  <si>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</si>
  <si>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</si>
  <si>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</si>
  <si>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</si>
  <si>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</si>
  <si>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</si>
  <si>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</si>
  <si>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</si>
  <si>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</si>
  <si>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</si>
  <si>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</si>
  <si>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</si>
  <si>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</si>
  <si>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</si>
  <si>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</si>
  <si>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</si>
  <si>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</si>
  <si>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</si>
  <si>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</si>
  <si>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</si>
  <si>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</si>
  <si>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</si>
  <si>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</si>
  <si>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</si>
  <si>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</si>
  <si>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</si>
  <si>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</si>
  <si>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</si>
  <si>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</si>
  <si>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</si>
  <si>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</si>
  <si>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</si>
  <si>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</si>
  <si>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</si>
  <si>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</si>
  <si>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</si>
  <si>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</si>
  <si>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</si>
  <si>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</si>
  <si>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</si>
  <si>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</si>
  <si>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</si>
  <si>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</si>
  <si>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</si>
  <si>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</si>
  <si>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</si>
  <si>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</si>
  <si>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</si>
  <si>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</si>
  <si>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</si>
  <si>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</si>
  <si>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</si>
  <si>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</si>
  <si>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</si>
  <si>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</si>
  <si>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</si>
  <si>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</si>
  <si>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</si>
  <si>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</si>
  <si>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</si>
  <si>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</si>
  <si>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</si>
  <si>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</si>
  <si>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</si>
  <si>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</si>
  <si>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</si>
  <si>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</si>
  <si>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</si>
  <si>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</si>
  <si>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</si>
  <si>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</si>
  <si>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</si>
  <si>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</si>
  <si>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</si>
  <si>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</si>
  <si>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</si>
  <si>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</si>
  <si>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</si>
  <si>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</si>
  <si>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</si>
  <si>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</si>
  <si>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</si>
  <si>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</si>
  <si>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</si>
  <si>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</si>
  <si>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</si>
  <si>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</si>
  <si>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</si>
  <si>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</si>
  <si>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</si>
  <si>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</si>
  <si>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</si>
  <si>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</si>
  <si>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</si>
  <si>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</si>
  <si>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</si>
  <si>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</si>
  <si>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</si>
  <si>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</si>
  <si>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</si>
  <si>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</si>
  <si>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</si>
  <si>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</si>
  <si>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</si>
  <si>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</si>
  <si>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</si>
  <si>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</si>
  <si>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</si>
  <si>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</si>
  <si>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</si>
  <si>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</si>
  <si>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</si>
  <si>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</si>
  <si>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</si>
  <si>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</si>
  <si>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</si>
  <si>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</si>
  <si>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</si>
  <si>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</si>
  <si>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</si>
  <si>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</si>
  <si>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</si>
  <si>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</si>
  <si>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</si>
  <si>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</si>
  <si>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</si>
  <si>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</si>
  <si>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2/5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</si>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</sst>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4.5603227029592857</c:v>
                </c:pt>
                <c:pt idx="2">
                  <c:v>9.0132952331201093</c:v>
                </c:pt>
                <c:pt idx="3">
                  <c:v>17.838817144878906</c:v>
                </c:pt>
                <c:pt idx="4">
                  <c:v>35.352605371028027</c:v>
                </c:pt>
                <c:pt idx="5">
                  <c:v>70.149974013263474</c:v>
                </c:pt>
                <c:pt idx="6">
                  <c:v>86.158510470515978</c:v>
                </c:pt>
                <c:pt idx="7">
                  <c:v>114.0010466196989</c:v>
                </c:pt>
                <c:pt idx="8">
                  <c:v>141.67594470663133</c:v>
                </c:pt>
                <c:pt idx="9">
                  <c:v>169.22076873606747</c:v>
                </c:pt>
                <c:pt idx="10">
                  <c:v>196.65973476943884</c:v>
                </c:pt>
                <c:pt idx="11">
                  <c:v>169.22076873606747</c:v>
                </c:pt>
                <c:pt idx="12">
                  <c:v>196.65973476943884</c:v>
                </c:pt>
                <c:pt idx="13">
                  <c:v>224.00971024958213</c:v>
                </c:pt>
                <c:pt idx="14">
                  <c:v>251.28309296155342</c:v>
                </c:pt>
                <c:pt idx="15">
                  <c:v>278.48936400091264</c:v>
                </c:pt>
                <c:pt idx="16">
                  <c:v>257.89618723734617</c:v>
                </c:pt>
                <c:pt idx="17">
                  <c:v>281.98284689642571</c:v>
                </c:pt>
                <c:pt idx="18">
                  <c:v>306.02340630964255</c:v>
                </c:pt>
                <c:pt idx="19">
                  <c:v>330.0219940981396</c:v>
                </c:pt>
                <c:pt idx="20">
                  <c:v>353.98208942867723</c:v>
                </c:pt>
                <c:pt idx="21">
                  <c:v>339.68777684695186</c:v>
                </c:pt>
                <c:pt idx="22">
                  <c:v>360.15946409007756</c:v>
                </c:pt>
                <c:pt idx="23">
                  <c:v>380.6057087655667</c:v>
                </c:pt>
                <c:pt idx="24">
                  <c:v>401.0280691344401</c:v>
                </c:pt>
                <c:pt idx="25">
                  <c:v>421.42793186976093</c:v>
                </c:pt>
                <c:pt idx="26">
                  <c:v>411.03827995947972</c:v>
                </c:pt>
                <c:pt idx="27">
                  <c:v>427.58215058986383</c:v>
                </c:pt>
                <c:pt idx="28">
                  <c:v>444.11226191866245</c:v>
                </c:pt>
                <c:pt idx="29">
                  <c:v>460.62919798538474</c:v>
                </c:pt>
                <c:pt idx="30">
                  <c:v>477.13349754486762</c:v>
                </c:pt>
                <c:pt idx="31">
                  <c:v>469.45861841140714</c:v>
                </c:pt>
                <c:pt idx="32">
                  <c:v>482.88793138455003</c:v>
                </c:pt>
                <c:pt idx="33">
                  <c:v>496.30931275327697</c:v>
                </c:pt>
                <c:pt idx="34">
                  <c:v>509.72300718239177</c:v>
                </c:pt>
                <c:pt idx="35">
                  <c:v>523.12924541243819</c:v>
                </c:pt>
                <c:pt idx="36">
                  <c:v>517.76763064124987</c:v>
                </c:pt>
                <c:pt idx="37">
                  <c:v>529.6382221432558</c:v>
                </c:pt>
                <c:pt idx="38">
                  <c:v>541.50321514452014</c:v>
                </c:pt>
                <c:pt idx="39">
                  <c:v>553.36274958383854</c:v>
                </c:pt>
                <c:pt idx="40">
                  <c:v>565.21695891368074</c:v>
                </c:pt>
                <c:pt idx="41">
                  <c:v>563.30534449457025</c:v>
                </c:pt>
                <c:pt idx="42">
                  <c:v>574.77301329675208</c:v>
                </c:pt>
                <c:pt idx="43">
                  <c:v>586.23590668718805</c:v>
                </c:pt>
                <c:pt idx="44">
                  <c:v>597.6941311815882</c:v>
                </c:pt>
                <c:pt idx="45">
                  <c:v>609.14778887966042</c:v>
                </c:pt>
                <c:pt idx="46">
                  <c:v>595.7847469423931</c:v>
                </c:pt>
                <c:pt idx="47">
                  <c:v>595.7847469423931</c:v>
                </c:pt>
                <c:pt idx="48">
                  <c:v>595.7847469423931</c:v>
                </c:pt>
                <c:pt idx="49">
                  <c:v>595.7847469423931</c:v>
                </c:pt>
                <c:pt idx="50">
                  <c:v>595.7847469423931</c:v>
                </c:pt>
                <c:pt idx="51">
                  <c:v>595.7847469423931</c:v>
                </c:pt>
                <c:pt idx="52">
                  <c:v>595.7847469423931</c:v>
                </c:pt>
                <c:pt idx="53">
                  <c:v>595.7847469423931</c:v>
                </c:pt>
                <c:pt idx="54">
                  <c:v>595.7847469423931</c:v>
                </c:pt>
                <c:pt idx="55">
                  <c:v>595.7847469423931</c:v>
                </c:pt>
                <c:pt idx="56">
                  <c:v>595.7847469423931</c:v>
                </c:pt>
                <c:pt idx="57">
                  <c:v>595.7847469423931</c:v>
                </c:pt>
                <c:pt idx="58">
                  <c:v>595.7847469423931</c:v>
                </c:pt>
                <c:pt idx="59">
                  <c:v>595.7847469423931</c:v>
                </c:pt>
                <c:pt idx="60">
                  <c:v>595.7847469423931</c:v>
                </c:pt>
                <c:pt idx="61">
                  <c:v>595.7847469423931</c:v>
                </c:pt>
                <c:pt idx="62">
                  <c:v>595.7847469423931</c:v>
                </c:pt>
                <c:pt idx="63">
                  <c:v>595.7847469423931</c:v>
                </c:pt>
                <c:pt idx="64">
                  <c:v>595.7847469423931</c:v>
                </c:pt>
                <c:pt idx="65">
                  <c:v>595.7847469423931</c:v>
                </c:pt>
                <c:pt idx="66">
                  <c:v>595.7847469423931</c:v>
                </c:pt>
                <c:pt idx="67">
                  <c:v>595.7847469423931</c:v>
                </c:pt>
                <c:pt idx="68">
                  <c:v>595.7847469423931</c:v>
                </c:pt>
                <c:pt idx="69">
                  <c:v>595.7847469423931</c:v>
                </c:pt>
                <c:pt idx="70">
                  <c:v>595.7847469423931</c:v>
                </c:pt>
                <c:pt idx="71">
                  <c:v>595.7847469423931</c:v>
                </c:pt>
                <c:pt idx="72">
                  <c:v>595.7847469423931</c:v>
                </c:pt>
                <c:pt idx="73">
                  <c:v>595.7847469423931</c:v>
                </c:pt>
                <c:pt idx="74">
                  <c:v>595.7847469423931</c:v>
                </c:pt>
                <c:pt idx="75">
                  <c:v>595.7847469423931</c:v>
                </c:pt>
                <c:pt idx="76">
                  <c:v>595.7847469423931</c:v>
                </c:pt>
                <c:pt idx="77">
                  <c:v>595.7847469423931</c:v>
                </c:pt>
                <c:pt idx="78">
                  <c:v>595.7847469423931</c:v>
                </c:pt>
                <c:pt idx="79">
                  <c:v>595.7847469423931</c:v>
                </c:pt>
                <c:pt idx="80">
                  <c:v>595.7847469423931</c:v>
                </c:pt>
                <c:pt idx="81">
                  <c:v>595.7847469423931</c:v>
                </c:pt>
                <c:pt idx="82">
                  <c:v>595.7847469423931</c:v>
                </c:pt>
                <c:pt idx="83">
                  <c:v>595.7847469423931</c:v>
                </c:pt>
                <c:pt idx="84">
                  <c:v>595.7847469423931</c:v>
                </c:pt>
                <c:pt idx="85">
                  <c:v>595.7847469423931</c:v>
                </c:pt>
                <c:pt idx="86">
                  <c:v>595.7847469423931</c:v>
                </c:pt>
                <c:pt idx="87">
                  <c:v>595.7847469423931</c:v>
                </c:pt>
                <c:pt idx="88">
                  <c:v>595.7847469423931</c:v>
                </c:pt>
                <c:pt idx="89">
                  <c:v>595.7847469423931</c:v>
                </c:pt>
                <c:pt idx="90">
                  <c:v>595.7847469423931</c:v>
                </c:pt>
                <c:pt idx="91">
                  <c:v>595.7847469423931</c:v>
                </c:pt>
                <c:pt idx="92">
                  <c:v>595.7847469423931</c:v>
                </c:pt>
                <c:pt idx="93">
                  <c:v>595.7847469423931</c:v>
                </c:pt>
                <c:pt idx="94">
                  <c:v>595.7847469423931</c:v>
                </c:pt>
                <c:pt idx="95">
                  <c:v>595.7847469423931</c:v>
                </c:pt>
                <c:pt idx="96">
                  <c:v>595.7847469423931</c:v>
                </c:pt>
                <c:pt idx="97">
                  <c:v>595.7847469423931</c:v>
                </c:pt>
                <c:pt idx="98">
                  <c:v>595.7847469423931</c:v>
                </c:pt>
                <c:pt idx="99">
                  <c:v>595.7847469423931</c:v>
                </c:pt>
                <c:pt idx="100">
                  <c:v>595.7847469423931</c:v>
                </c:pt>
                <c:pt idx="101">
                  <c:v>595.7847469423931</c:v>
                </c:pt>
                <c:pt idx="102">
                  <c:v>595.7847469423931</c:v>
                </c:pt>
                <c:pt idx="103">
                  <c:v>595.7847469423931</c:v>
                </c:pt>
                <c:pt idx="104">
                  <c:v>595.7847469423931</c:v>
                </c:pt>
                <c:pt idx="105">
                  <c:v>595.7847469423931</c:v>
                </c:pt>
                <c:pt idx="106">
                  <c:v>595.7847469423931</c:v>
                </c:pt>
                <c:pt idx="107">
                  <c:v>595.7847469423931</c:v>
                </c:pt>
                <c:pt idx="108">
                  <c:v>595.7847469423931</c:v>
                </c:pt>
                <c:pt idx="109">
                  <c:v>595.7847469423931</c:v>
                </c:pt>
                <c:pt idx="110">
                  <c:v>595.7847469423931</c:v>
                </c:pt>
                <c:pt idx="111">
                  <c:v>595.7847469423931</c:v>
                </c:pt>
                <c:pt idx="112">
                  <c:v>595.7847469423931</c:v>
                </c:pt>
                <c:pt idx="113">
                  <c:v>595.7847469423931</c:v>
                </c:pt>
                <c:pt idx="114">
                  <c:v>595.7847469423931</c:v>
                </c:pt>
                <c:pt idx="115">
                  <c:v>595.7847469423931</c:v>
                </c:pt>
                <c:pt idx="116">
                  <c:v>595.7847469423931</c:v>
                </c:pt>
                <c:pt idx="117">
                  <c:v>595.7847469423931</c:v>
                </c:pt>
                <c:pt idx="118">
                  <c:v>595.7847469423931</c:v>
                </c:pt>
                <c:pt idx="119">
                  <c:v>595.7847469423931</c:v>
                </c:pt>
                <c:pt idx="120">
                  <c:v>595.7847469423931</c:v>
                </c:pt>
                <c:pt idx="121">
                  <c:v>595.7847469423931</c:v>
                </c:pt>
                <c:pt idx="122">
                  <c:v>595.7847469423931</c:v>
                </c:pt>
                <c:pt idx="123">
                  <c:v>595.7847469423931</c:v>
                </c:pt>
                <c:pt idx="124">
                  <c:v>595.7847469423931</c:v>
                </c:pt>
                <c:pt idx="125">
                  <c:v>595.7847469423931</c:v>
                </c:pt>
                <c:pt idx="126">
                  <c:v>595.7847469423931</c:v>
                </c:pt>
                <c:pt idx="127">
                  <c:v>595.7847469423931</c:v>
                </c:pt>
                <c:pt idx="128">
                  <c:v>595.7847469423931</c:v>
                </c:pt>
                <c:pt idx="129">
                  <c:v>595.7847469423931</c:v>
                </c:pt>
                <c:pt idx="130">
                  <c:v>595.7847469423931</c:v>
                </c:pt>
                <c:pt idx="131">
                  <c:v>595.7847469423931</c:v>
                </c:pt>
                <c:pt idx="132">
                  <c:v>595.7847469423931</c:v>
                </c:pt>
                <c:pt idx="133">
                  <c:v>595.7847469423931</c:v>
                </c:pt>
                <c:pt idx="134">
                  <c:v>595.7847469423931</c:v>
                </c:pt>
                <c:pt idx="135">
                  <c:v>595.7847469423931</c:v>
                </c:pt>
                <c:pt idx="136">
                  <c:v>595.7847469423931</c:v>
                </c:pt>
                <c:pt idx="137">
                  <c:v>595.7847469423931</c:v>
                </c:pt>
                <c:pt idx="138">
                  <c:v>595.7847469423931</c:v>
                </c:pt>
                <c:pt idx="139">
                  <c:v>595.7847469423931</c:v>
                </c:pt>
                <c:pt idx="140">
                  <c:v>595.7847469423931</c:v>
                </c:pt>
                <c:pt idx="141">
                  <c:v>595.7847469423931</c:v>
                </c:pt>
                <c:pt idx="142">
                  <c:v>595.7847469423931</c:v>
                </c:pt>
                <c:pt idx="143">
                  <c:v>595.7847469423931</c:v>
                </c:pt>
                <c:pt idx="144">
                  <c:v>595.7847469423931</c:v>
                </c:pt>
                <c:pt idx="145">
                  <c:v>595.7847469423931</c:v>
                </c:pt>
                <c:pt idx="146">
                  <c:v>595.7847469423931</c:v>
                </c:pt>
                <c:pt idx="147">
                  <c:v>595.7847469423931</c:v>
                </c:pt>
                <c:pt idx="148">
                  <c:v>595.7847469423931</c:v>
                </c:pt>
                <c:pt idx="149">
                  <c:v>595.7847469423931</c:v>
                </c:pt>
                <c:pt idx="150">
                  <c:v>595.7847469423931</c:v>
                </c:pt>
                <c:pt idx="151">
                  <c:v>595.7847469423931</c:v>
                </c:pt>
                <c:pt idx="152">
                  <c:v>595.7847469423931</c:v>
                </c:pt>
                <c:pt idx="153">
                  <c:v>595.7847469423931</c:v>
                </c:pt>
                <c:pt idx="154">
                  <c:v>595.7847469423931</c:v>
                </c:pt>
                <c:pt idx="155">
                  <c:v>595.7847469423931</c:v>
                </c:pt>
                <c:pt idx="156">
                  <c:v>595.7847469423931</c:v>
                </c:pt>
                <c:pt idx="157">
                  <c:v>595.7847469423931</c:v>
                </c:pt>
                <c:pt idx="158">
                  <c:v>595.7847469423931</c:v>
                </c:pt>
                <c:pt idx="159">
                  <c:v>595.7847469423931</c:v>
                </c:pt>
                <c:pt idx="160">
                  <c:v>595.7847469423931</c:v>
                </c:pt>
                <c:pt idx="161">
                  <c:v>595.7847469423931</c:v>
                </c:pt>
                <c:pt idx="162">
                  <c:v>595.7847469423931</c:v>
                </c:pt>
                <c:pt idx="163">
                  <c:v>595.7847469423931</c:v>
                </c:pt>
                <c:pt idx="164">
                  <c:v>595.7847469423931</c:v>
                </c:pt>
                <c:pt idx="165">
                  <c:v>595.7847469423931</c:v>
                </c:pt>
                <c:pt idx="166">
                  <c:v>595.7847469423931</c:v>
                </c:pt>
                <c:pt idx="167">
                  <c:v>595.7847469423931</c:v>
                </c:pt>
                <c:pt idx="168">
                  <c:v>595.7847469423931</c:v>
                </c:pt>
                <c:pt idx="169">
                  <c:v>595.7847469423931</c:v>
                </c:pt>
                <c:pt idx="170">
                  <c:v>595.7847469423931</c:v>
                </c:pt>
                <c:pt idx="171">
                  <c:v>595.7847469423931</c:v>
                </c:pt>
                <c:pt idx="172">
                  <c:v>595.7847469423931</c:v>
                </c:pt>
                <c:pt idx="173">
                  <c:v>595.7847469423931</c:v>
                </c:pt>
                <c:pt idx="174">
                  <c:v>595.7847469423931</c:v>
                </c:pt>
                <c:pt idx="175">
                  <c:v>595.7847469423931</c:v>
                </c:pt>
                <c:pt idx="176">
                  <c:v>595.7847469423931</c:v>
                </c:pt>
                <c:pt idx="177">
                  <c:v>595.7847469423931</c:v>
                </c:pt>
                <c:pt idx="178">
                  <c:v>595.7847469423931</c:v>
                </c:pt>
                <c:pt idx="179">
                  <c:v>595.7847469423931</c:v>
                </c:pt>
                <c:pt idx="180">
                  <c:v>595.7847469423931</c:v>
                </c:pt>
                <c:pt idx="181">
                  <c:v>595.7847469423931</c:v>
                </c:pt>
                <c:pt idx="182">
                  <c:v>595.7847469423931</c:v>
                </c:pt>
                <c:pt idx="183">
                  <c:v>595.7847469423931</c:v>
                </c:pt>
                <c:pt idx="184">
                  <c:v>595.7847469423931</c:v>
                </c:pt>
                <c:pt idx="185">
                  <c:v>595.7847469423931</c:v>
                </c:pt>
                <c:pt idx="186">
                  <c:v>595.7847469423931</c:v>
                </c:pt>
                <c:pt idx="187">
                  <c:v>595.7847469423931</c:v>
                </c:pt>
                <c:pt idx="188">
                  <c:v>595.7847469423931</c:v>
                </c:pt>
                <c:pt idx="189">
                  <c:v>595.7847469423931</c:v>
                </c:pt>
                <c:pt idx="190">
                  <c:v>595.7847469423931</c:v>
                </c:pt>
                <c:pt idx="191">
                  <c:v>595.7847469423931</c:v>
                </c:pt>
                <c:pt idx="192">
                  <c:v>595.7847469423931</c:v>
                </c:pt>
                <c:pt idx="193">
                  <c:v>595.7847469423931</c:v>
                </c:pt>
                <c:pt idx="194">
                  <c:v>595.7847469423931</c:v>
                </c:pt>
                <c:pt idx="195">
                  <c:v>595.7847469423931</c:v>
                </c:pt>
                <c:pt idx="196">
                  <c:v>595.7847469423931</c:v>
                </c:pt>
                <c:pt idx="197">
                  <c:v>595.7847469423931</c:v>
                </c:pt>
                <c:pt idx="198">
                  <c:v>595.7847469423931</c:v>
                </c:pt>
                <c:pt idx="199">
                  <c:v>595.7847469423931</c:v>
                </c:pt>
                <c:pt idx="200">
                  <c:v>595.7847469423931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2.1832588351718871</c:v>
                </c:pt>
                <c:pt idx="2">
                  <c:v>2.8151424126467504</c:v>
                </c:pt>
                <c:pt idx="3">
                  <c:v>3.6306435125259271</c:v>
                </c:pt>
                <c:pt idx="4">
                  <c:v>4.6833209032273171</c:v>
                </c:pt>
                <c:pt idx="5">
                  <c:v>6.0424108050733842</c:v>
                </c:pt>
                <c:pt idx="6">
                  <c:v>7.7974308907853205</c:v>
                </c:pt>
                <c:pt idx="7">
                  <c:v>10.064140401541296</c:v>
                </c:pt>
                <c:pt idx="8">
                  <c:v>12.992256920461166</c:v>
                </c:pt>
                <c:pt idx="9">
                  <c:v>16.775448944382362</c:v>
                </c:pt>
                <c:pt idx="10">
                  <c:v>21.664277189769351</c:v>
                </c:pt>
                <c:pt idx="11">
                  <c:v>31.806312236626585</c:v>
                </c:pt>
                <c:pt idx="12">
                  <c:v>43.329863343915491</c:v>
                </c:pt>
                <c:pt idx="13">
                  <c:v>54.770372387271664</c:v>
                </c:pt>
                <c:pt idx="14">
                  <c:v>66.147809420658987</c:v>
                </c:pt>
                <c:pt idx="15">
                  <c:v>77.474616883044959</c:v>
                </c:pt>
                <c:pt idx="16">
                  <c:v>90.492041210372676</c:v>
                </c:pt>
                <c:pt idx="17">
                  <c:v>110.65058636488233</c:v>
                </c:pt>
                <c:pt idx="18">
                  <c:v>130.71867792989391</c:v>
                </c:pt>
                <c:pt idx="19">
                  <c:v>150.71219948673746</c:v>
                </c:pt>
                <c:pt idx="20">
                  <c:v>170.6424524976421</c:v>
                </c:pt>
                <c:pt idx="21">
                  <c:v>169.22076873606747</c:v>
                </c:pt>
                <c:pt idx="22">
                  <c:v>184.84436712462625</c:v>
                </c:pt>
                <c:pt idx="23">
                  <c:v>200.43711831314488</c:v>
                </c:pt>
                <c:pt idx="24">
                  <c:v>216.00176068460652</c:v>
                </c:pt>
                <c:pt idx="25">
                  <c:v>231.54060536306486</c:v>
                </c:pt>
                <c:pt idx="26">
                  <c:v>211.75950715739978</c:v>
                </c:pt>
                <c:pt idx="27">
                  <c:v>225.89297020726829</c:v>
                </c:pt>
                <c:pt idx="28">
                  <c:v>240.00618343044377</c:v>
                </c:pt>
                <c:pt idx="29">
                  <c:v>254.10050561748861</c:v>
                </c:pt>
                <c:pt idx="30">
                  <c:v>268.17713242968813</c:v>
                </c:pt>
                <c:pt idx="31">
                  <c:v>245.08225003541099</c:v>
                </c:pt>
                <c:pt idx="32">
                  <c:v>258.60689820869146</c:v>
                </c:pt>
                <c:pt idx="33">
                  <c:v>272.11556422776465</c:v>
                </c:pt>
                <c:pt idx="34">
                  <c:v>285.60915345709321</c:v>
                </c:pt>
                <c:pt idx="35">
                  <c:v>299.08847869495401</c:v>
                </c:pt>
                <c:pt idx="36">
                  <c:v>272.11556422776465</c:v>
                </c:pt>
                <c:pt idx="37">
                  <c:v>284.48524314677445</c:v>
                </c:pt>
                <c:pt idx="38">
                  <c:v>296.842883014341</c:v>
                </c:pt>
                <c:pt idx="39">
                  <c:v>309.18905580466088</c:v>
                </c:pt>
                <c:pt idx="40">
                  <c:v>321.52428406625791</c:v>
                </c:pt>
                <c:pt idx="41">
                  <c:v>293.75456953309532</c:v>
                </c:pt>
                <c:pt idx="42">
                  <c:v>305.26193924769092</c:v>
                </c:pt>
                <c:pt idx="43">
                  <c:v>316.75966637275303</c:v>
                </c:pt>
                <c:pt idx="44">
                  <c:v>328.24815038016737</c:v>
                </c:pt>
                <c:pt idx="45">
                  <c:v>339.72776048524321</c:v>
                </c:pt>
                <c:pt idx="46">
                  <c:v>310.87176573267203</c:v>
                </c:pt>
                <c:pt idx="47">
                  <c:v>321.24405593004218</c:v>
                </c:pt>
                <c:pt idx="48">
                  <c:v>331.60893904924779</c:v>
                </c:pt>
                <c:pt idx="49">
                  <c:v>341.96667936306943</c:v>
                </c:pt>
                <c:pt idx="50">
                  <c:v>352.31752382065224</c:v>
                </c:pt>
                <c:pt idx="51">
                  <c:v>324.0460947549708</c:v>
                </c:pt>
                <c:pt idx="52">
                  <c:v>333.56905164618536</c:v>
                </c:pt>
                <c:pt idx="53">
                  <c:v>343.08601778170441</c:v>
                </c:pt>
                <c:pt idx="54">
                  <c:v>352.59718287003483</c:v>
                </c:pt>
                <c:pt idx="55">
                  <c:v>362.10272554390014</c:v>
                </c:pt>
                <c:pt idx="56">
                  <c:v>336.08882358493906</c:v>
                </c:pt>
                <c:pt idx="57">
                  <c:v>345.04466702323003</c:v>
                </c:pt>
                <c:pt idx="58">
                  <c:v>353.99540526070876</c:v>
                </c:pt>
                <c:pt idx="59">
                  <c:v>362.9411856670547</c:v>
                </c:pt>
                <c:pt idx="60">
                  <c:v>371.88214774985954</c:v>
                </c:pt>
                <c:pt idx="61">
                  <c:v>346.44355255688725</c:v>
                </c:pt>
                <c:pt idx="62">
                  <c:v>354.554660299337</c:v>
                </c:pt>
                <c:pt idx="63">
                  <c:v>362.66170366967111</c:v>
                </c:pt>
                <c:pt idx="64">
                  <c:v>370.76478640470532</c:v>
                </c:pt>
                <c:pt idx="65">
                  <c:v>378.86400733367782</c:v>
                </c:pt>
                <c:pt idx="66">
                  <c:v>355.67311242421277</c:v>
                </c:pt>
                <c:pt idx="67">
                  <c:v>363.2206629596339</c:v>
                </c:pt>
                <c:pt idx="68">
                  <c:v>370.76478640470532</c:v>
                </c:pt>
                <c:pt idx="69">
                  <c:v>378.30556238289756</c:v>
                </c:pt>
                <c:pt idx="70">
                  <c:v>385.8430670819634</c:v>
                </c:pt>
                <c:pt idx="71">
                  <c:v>363.2206629596339</c:v>
                </c:pt>
                <c:pt idx="72">
                  <c:v>369.9267171991865</c:v>
                </c:pt>
                <c:pt idx="73">
                  <c:v>376.63011972145614</c:v>
                </c:pt>
                <c:pt idx="74">
                  <c:v>383.3309244229302</c:v>
                </c:pt>
                <c:pt idx="75">
                  <c:v>390.02918316043593</c:v>
                </c:pt>
                <c:pt idx="76">
                  <c:v>369.92671719918661</c:v>
                </c:pt>
                <c:pt idx="77">
                  <c:v>376.35086351579042</c:v>
                </c:pt>
                <c:pt idx="78">
                  <c:v>382.77262197501403</c:v>
                </c:pt>
                <c:pt idx="79">
                  <c:v>389.19203832615466</c:v>
                </c:pt>
                <c:pt idx="80">
                  <c:v>395.60915668482608</c:v>
                </c:pt>
                <c:pt idx="81">
                  <c:v>376.35086351579042</c:v>
                </c:pt>
                <c:pt idx="82">
                  <c:v>382.2143018184168</c:v>
                </c:pt>
                <c:pt idx="83">
                  <c:v>388.07578438405881</c:v>
                </c:pt>
                <c:pt idx="84">
                  <c:v>393.93534494873728</c:v>
                </c:pt>
                <c:pt idx="85">
                  <c:v>399.79301616201786</c:v>
                </c:pt>
                <c:pt idx="86">
                  <c:v>382.77262197501403</c:v>
                </c:pt>
                <c:pt idx="87">
                  <c:v>388.07578438405881</c:v>
                </c:pt>
                <c:pt idx="88">
                  <c:v>393.3773734678868</c:v>
                </c:pt>
                <c:pt idx="89">
                  <c:v>398.67741344442743</c:v>
                </c:pt>
                <c:pt idx="90">
                  <c:v>403.97592783450415</c:v>
                </c:pt>
                <c:pt idx="91">
                  <c:v>383.05177541071242</c:v>
                </c:pt>
                <c:pt idx="92">
                  <c:v>383.05177541071242</c:v>
                </c:pt>
                <c:pt idx="93">
                  <c:v>383.05177541071242</c:v>
                </c:pt>
                <c:pt idx="94">
                  <c:v>383.05177541071242</c:v>
                </c:pt>
                <c:pt idx="95">
                  <c:v>383.05177541071242</c:v>
                </c:pt>
                <c:pt idx="96">
                  <c:v>383.05177541071242</c:v>
                </c:pt>
                <c:pt idx="97">
                  <c:v>383.05177541071242</c:v>
                </c:pt>
                <c:pt idx="98">
                  <c:v>383.05177541071242</c:v>
                </c:pt>
                <c:pt idx="99">
                  <c:v>383.05177541071242</c:v>
                </c:pt>
                <c:pt idx="100">
                  <c:v>383.05177541071242</c:v>
                </c:pt>
                <c:pt idx="101">
                  <c:v>383.05177541071242</c:v>
                </c:pt>
                <c:pt idx="102">
                  <c:v>383.05177541071242</c:v>
                </c:pt>
                <c:pt idx="103">
                  <c:v>383.05177541071242</c:v>
                </c:pt>
                <c:pt idx="104">
                  <c:v>383.05177541071242</c:v>
                </c:pt>
                <c:pt idx="105">
                  <c:v>383.05177541071242</c:v>
                </c:pt>
                <c:pt idx="106">
                  <c:v>383.05177541071242</c:v>
                </c:pt>
                <c:pt idx="107">
                  <c:v>383.05177541071242</c:v>
                </c:pt>
                <c:pt idx="108">
                  <c:v>383.05177541071242</c:v>
                </c:pt>
                <c:pt idx="109">
                  <c:v>383.05177541071242</c:v>
                </c:pt>
                <c:pt idx="110">
                  <c:v>383.05177541071242</c:v>
                </c:pt>
                <c:pt idx="111">
                  <c:v>383.05177541071242</c:v>
                </c:pt>
                <c:pt idx="112">
                  <c:v>383.05177541071242</c:v>
                </c:pt>
                <c:pt idx="113">
                  <c:v>383.05177541071242</c:v>
                </c:pt>
                <c:pt idx="114">
                  <c:v>383.05177541071242</c:v>
                </c:pt>
                <c:pt idx="115">
                  <c:v>383.05177541071242</c:v>
                </c:pt>
                <c:pt idx="116">
                  <c:v>383.05177541071242</c:v>
                </c:pt>
                <c:pt idx="117">
                  <c:v>383.05177541071242</c:v>
                </c:pt>
                <c:pt idx="118">
                  <c:v>383.05177541071242</c:v>
                </c:pt>
                <c:pt idx="119">
                  <c:v>383.05177541071242</c:v>
                </c:pt>
                <c:pt idx="120">
                  <c:v>383.05177541071242</c:v>
                </c:pt>
                <c:pt idx="121">
                  <c:v>383.05177541071242</c:v>
                </c:pt>
                <c:pt idx="122">
                  <c:v>383.05177541071242</c:v>
                </c:pt>
                <c:pt idx="123">
                  <c:v>383.05177541071242</c:v>
                </c:pt>
                <c:pt idx="124">
                  <c:v>383.05177541071242</c:v>
                </c:pt>
                <c:pt idx="125">
                  <c:v>383.05177541071242</c:v>
                </c:pt>
                <c:pt idx="126">
                  <c:v>383.05177541071242</c:v>
                </c:pt>
                <c:pt idx="127">
                  <c:v>383.05177541071242</c:v>
                </c:pt>
                <c:pt idx="128">
                  <c:v>383.05177541071242</c:v>
                </c:pt>
                <c:pt idx="129">
                  <c:v>383.05177541071242</c:v>
                </c:pt>
                <c:pt idx="130">
                  <c:v>383.05177541071242</c:v>
                </c:pt>
                <c:pt idx="131">
                  <c:v>383.05177541071242</c:v>
                </c:pt>
                <c:pt idx="132">
                  <c:v>383.05177541071242</c:v>
                </c:pt>
                <c:pt idx="133">
                  <c:v>383.05177541071242</c:v>
                </c:pt>
                <c:pt idx="134">
                  <c:v>383.05177541071242</c:v>
                </c:pt>
                <c:pt idx="135">
                  <c:v>383.05177541071242</c:v>
                </c:pt>
                <c:pt idx="136">
                  <c:v>383.05177541071242</c:v>
                </c:pt>
                <c:pt idx="137">
                  <c:v>383.05177541071242</c:v>
                </c:pt>
                <c:pt idx="138">
                  <c:v>383.05177541071242</c:v>
                </c:pt>
                <c:pt idx="139">
                  <c:v>383.05177541071242</c:v>
                </c:pt>
                <c:pt idx="140">
                  <c:v>383.05177541071242</c:v>
                </c:pt>
                <c:pt idx="141">
                  <c:v>383.05177541071242</c:v>
                </c:pt>
                <c:pt idx="142">
                  <c:v>383.05177541071242</c:v>
                </c:pt>
                <c:pt idx="143">
                  <c:v>383.05177541071242</c:v>
                </c:pt>
                <c:pt idx="144">
                  <c:v>383.05177541071242</c:v>
                </c:pt>
                <c:pt idx="145">
                  <c:v>383.05177541071242</c:v>
                </c:pt>
                <c:pt idx="146">
                  <c:v>383.05177541071242</c:v>
                </c:pt>
                <c:pt idx="147">
                  <c:v>383.05177541071242</c:v>
                </c:pt>
                <c:pt idx="148">
                  <c:v>383.05177541071242</c:v>
                </c:pt>
                <c:pt idx="149">
                  <c:v>383.05177541071242</c:v>
                </c:pt>
                <c:pt idx="150">
                  <c:v>383.05177541071242</c:v>
                </c:pt>
                <c:pt idx="151">
                  <c:v>383.05177541071242</c:v>
                </c:pt>
                <c:pt idx="152">
                  <c:v>383.05177541071242</c:v>
                </c:pt>
                <c:pt idx="153">
                  <c:v>383.05177541071242</c:v>
                </c:pt>
                <c:pt idx="154">
                  <c:v>383.05177541071242</c:v>
                </c:pt>
                <c:pt idx="155">
                  <c:v>383.05177541071242</c:v>
                </c:pt>
                <c:pt idx="156">
                  <c:v>383.05177541071242</c:v>
                </c:pt>
                <c:pt idx="157">
                  <c:v>383.05177541071242</c:v>
                </c:pt>
                <c:pt idx="158">
                  <c:v>383.05177541071242</c:v>
                </c:pt>
                <c:pt idx="159">
                  <c:v>383.05177541071242</c:v>
                </c:pt>
                <c:pt idx="160">
                  <c:v>383.05177541071242</c:v>
                </c:pt>
                <c:pt idx="161">
                  <c:v>383.05177541071242</c:v>
                </c:pt>
                <c:pt idx="162">
                  <c:v>383.05177541071242</c:v>
                </c:pt>
                <c:pt idx="163">
                  <c:v>383.05177541071242</c:v>
                </c:pt>
                <c:pt idx="164">
                  <c:v>383.05177541071242</c:v>
                </c:pt>
                <c:pt idx="165">
                  <c:v>383.05177541071242</c:v>
                </c:pt>
                <c:pt idx="166">
                  <c:v>383.05177541071242</c:v>
                </c:pt>
                <c:pt idx="167">
                  <c:v>383.05177541071242</c:v>
                </c:pt>
                <c:pt idx="168">
                  <c:v>383.05177541071242</c:v>
                </c:pt>
                <c:pt idx="169">
                  <c:v>383.05177541071242</c:v>
                </c:pt>
                <c:pt idx="170">
                  <c:v>383.05177541071242</c:v>
                </c:pt>
                <c:pt idx="171">
                  <c:v>383.05177541071242</c:v>
                </c:pt>
                <c:pt idx="172">
                  <c:v>383.05177541071242</c:v>
                </c:pt>
                <c:pt idx="173">
                  <c:v>383.05177541071242</c:v>
                </c:pt>
                <c:pt idx="174">
                  <c:v>383.05177541071242</c:v>
                </c:pt>
                <c:pt idx="175">
                  <c:v>383.05177541071242</c:v>
                </c:pt>
                <c:pt idx="176">
                  <c:v>383.05177541071242</c:v>
                </c:pt>
                <c:pt idx="177">
                  <c:v>383.05177541071242</c:v>
                </c:pt>
                <c:pt idx="178">
                  <c:v>383.05177541071242</c:v>
                </c:pt>
                <c:pt idx="179">
                  <c:v>383.05177541071242</c:v>
                </c:pt>
                <c:pt idx="180">
                  <c:v>383.05177541071242</c:v>
                </c:pt>
                <c:pt idx="181">
                  <c:v>383.05177541071242</c:v>
                </c:pt>
                <c:pt idx="182">
                  <c:v>383.05177541071242</c:v>
                </c:pt>
                <c:pt idx="183">
                  <c:v>383.05177541071242</c:v>
                </c:pt>
                <c:pt idx="184">
                  <c:v>383.05177541071242</c:v>
                </c:pt>
                <c:pt idx="185">
                  <c:v>383.05177541071242</c:v>
                </c:pt>
                <c:pt idx="186">
                  <c:v>383.05177541071242</c:v>
                </c:pt>
                <c:pt idx="187">
                  <c:v>383.05177541071242</c:v>
                </c:pt>
                <c:pt idx="188">
                  <c:v>383.05177541071242</c:v>
                </c:pt>
                <c:pt idx="189">
                  <c:v>383.05177541071242</c:v>
                </c:pt>
                <c:pt idx="190">
                  <c:v>383.05177541071242</c:v>
                </c:pt>
                <c:pt idx="191">
                  <c:v>383.05177541071242</c:v>
                </c:pt>
                <c:pt idx="192">
                  <c:v>383.05177541071242</c:v>
                </c:pt>
                <c:pt idx="193">
                  <c:v>383.05177541071242</c:v>
                </c:pt>
                <c:pt idx="194">
                  <c:v>383.05177541071242</c:v>
                </c:pt>
                <c:pt idx="195">
                  <c:v>383.05177541071242</c:v>
                </c:pt>
                <c:pt idx="196">
                  <c:v>383.05177541071242</c:v>
                </c:pt>
                <c:pt idx="197">
                  <c:v>383.05177541071242</c:v>
                </c:pt>
                <c:pt idx="198">
                  <c:v>383.05177541071242</c:v>
                </c:pt>
                <c:pt idx="199">
                  <c:v>383.05177541071242</c:v>
                </c:pt>
                <c:pt idx="200">
                  <c:v>383.05177541071242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2.2881336243779393</c:v>
                </c:pt>
                <c:pt idx="2">
                  <c:v>3.1650169817499965</c:v>
                </c:pt>
                <c:pt idx="3">
                  <c:v>4.3793873766688254</c:v>
                </c:pt>
                <c:pt idx="4">
                  <c:v>6.0616545047089643</c:v>
                </c:pt>
                <c:pt idx="5">
                  <c:v>8.392807887196037</c:v>
                </c:pt>
                <c:pt idx="6">
                  <c:v>11.624101814260646</c:v>
                </c:pt>
                <c:pt idx="7">
                  <c:v>16.104425492496834</c:v>
                </c:pt>
                <c:pt idx="8">
                  <c:v>22.318367374056834</c:v>
                </c:pt>
                <c:pt idx="9">
                  <c:v>30.939163798212203</c:v>
                </c:pt>
                <c:pt idx="10">
                  <c:v>42.902367967140272</c:v>
                </c:pt>
                <c:pt idx="11">
                  <c:v>55.501426856815328</c:v>
                </c:pt>
                <c:pt idx="12">
                  <c:v>68.025011369312452</c:v>
                </c:pt>
                <c:pt idx="13">
                  <c:v>80.489071942086085</c:v>
                </c:pt>
                <c:pt idx="14">
                  <c:v>92.90416441214235</c:v>
                </c:pt>
                <c:pt idx="15">
                  <c:v>105.27777328534678</c:v>
                </c:pt>
                <c:pt idx="16">
                  <c:v>120.97465483621151</c:v>
                </c:pt>
                <c:pt idx="17">
                  <c:v>136.62190390444178</c:v>
                </c:pt>
                <c:pt idx="18">
                  <c:v>152.22601311475293</c:v>
                </c:pt>
                <c:pt idx="19">
                  <c:v>167.79203137630657</c:v>
                </c:pt>
                <c:pt idx="20">
                  <c:v>183.32399225800421</c:v>
                </c:pt>
                <c:pt idx="21">
                  <c:v>122.37364016752581</c:v>
                </c:pt>
                <c:pt idx="22">
                  <c:v>136.62190390444178</c:v>
                </c:pt>
                <c:pt idx="23">
                  <c:v>150.83440412130653</c:v>
                </c:pt>
                <c:pt idx="24">
                  <c:v>165.01498831962564</c:v>
                </c:pt>
                <c:pt idx="25">
                  <c:v>179.16678741707778</c:v>
                </c:pt>
                <c:pt idx="26">
                  <c:v>156.67714111279562</c:v>
                </c:pt>
                <c:pt idx="27">
                  <c:v>170.29044260840411</c:v>
                </c:pt>
                <c:pt idx="28">
                  <c:v>183.87811844934708</c:v>
                </c:pt>
                <c:pt idx="29">
                  <c:v>197.4423300434845</c:v>
                </c:pt>
                <c:pt idx="30">
                  <c:v>210.9849172240738</c:v>
                </c:pt>
                <c:pt idx="31">
                  <c:v>186.3712050392503</c:v>
                </c:pt>
                <c:pt idx="32">
                  <c:v>199.10173381956614</c:v>
                </c:pt>
                <c:pt idx="33">
                  <c:v>211.81338924071954</c:v>
                </c:pt>
                <c:pt idx="34">
                  <c:v>224.50746411723344</c:v>
                </c:pt>
                <c:pt idx="35">
                  <c:v>237.18509300501151</c:v>
                </c:pt>
                <c:pt idx="36">
                  <c:v>212.08952995865158</c:v>
                </c:pt>
                <c:pt idx="37">
                  <c:v>224.23168469882569</c:v>
                </c:pt>
                <c:pt idx="38">
                  <c:v>236.3587720882521</c:v>
                </c:pt>
                <c:pt idx="39">
                  <c:v>248.4716745286153</c:v>
                </c:pt>
                <c:pt idx="40">
                  <c:v>260.57118130257919</c:v>
                </c:pt>
                <c:pt idx="41">
                  <c:v>234.43043318750142</c:v>
                </c:pt>
                <c:pt idx="42">
                  <c:v>245.44473414197429</c:v>
                </c:pt>
                <c:pt idx="43">
                  <c:v>256.44780875667237</c:v>
                </c:pt>
                <c:pt idx="44">
                  <c:v>267.44020689106782</c:v>
                </c:pt>
                <c:pt idx="45">
                  <c:v>278.42242948129473</c:v>
                </c:pt>
                <c:pt idx="46">
                  <c:v>252.87300616506943</c:v>
                </c:pt>
                <c:pt idx="47">
                  <c:v>263.04449573588096</c:v>
                </c:pt>
                <c:pt idx="48">
                  <c:v>273.2071125399271</c:v>
                </c:pt>
                <c:pt idx="49">
                  <c:v>283.36123337871362</c:v>
                </c:pt>
                <c:pt idx="50">
                  <c:v>293.50720582421621</c:v>
                </c:pt>
                <c:pt idx="51">
                  <c:v>269.63745021083264</c:v>
                </c:pt>
                <c:pt idx="52">
                  <c:v>278.69685871751233</c:v>
                </c:pt>
                <c:pt idx="53">
                  <c:v>287.74966146535672</c:v>
                </c:pt>
                <c:pt idx="54">
                  <c:v>296.7960957527909</c:v>
                </c:pt>
                <c:pt idx="55">
                  <c:v>305.83638321950082</c:v>
                </c:pt>
                <c:pt idx="56">
                  <c:v>282.53823433014594</c:v>
                </c:pt>
                <c:pt idx="57">
                  <c:v>290.76583591551019</c:v>
                </c:pt>
                <c:pt idx="58">
                  <c:v>298.98823692337123</c:v>
                </c:pt>
                <c:pt idx="59">
                  <c:v>307.20560067683328</c:v>
                </c:pt>
                <c:pt idx="60">
                  <c:v>315.41808104045475</c:v>
                </c:pt>
                <c:pt idx="61">
                  <c:v>294.3295050597672</c:v>
                </c:pt>
                <c:pt idx="62">
                  <c:v>302.00184684630864</c:v>
                </c:pt>
                <c:pt idx="63">
                  <c:v>309.66985077448419</c:v>
                </c:pt>
                <c:pt idx="64">
                  <c:v>317.33363951404203</c:v>
                </c:pt>
                <c:pt idx="65">
                  <c:v>324.99332932034093</c:v>
                </c:pt>
                <c:pt idx="66">
                  <c:v>304.46702943717872</c:v>
                </c:pt>
                <c:pt idx="67">
                  <c:v>311.31244201324165</c:v>
                </c:pt>
                <c:pt idx="68">
                  <c:v>318.15451462800144</c:v>
                </c:pt>
                <c:pt idx="69">
                  <c:v>324.99332932034093</c:v>
                </c:pt>
                <c:pt idx="70">
                  <c:v>331.82896439100062</c:v>
                </c:pt>
                <c:pt idx="71">
                  <c:v>313.22855541340397</c:v>
                </c:pt>
                <c:pt idx="72">
                  <c:v>319.24894183323727</c:v>
                </c:pt>
                <c:pt idx="73">
                  <c:v>325.26681526290184</c:v>
                </c:pt>
                <c:pt idx="74">
                  <c:v>331.28222881219443</c:v>
                </c:pt>
                <c:pt idx="75">
                  <c:v>337.29523350250412</c:v>
                </c:pt>
                <c:pt idx="76">
                  <c:v>320.89042698979466</c:v>
                </c:pt>
                <c:pt idx="77">
                  <c:v>326.36070826153559</c:v>
                </c:pt>
                <c:pt idx="78">
                  <c:v>331.82896439100074</c:v>
                </c:pt>
                <c:pt idx="79">
                  <c:v>337.29523350250412</c:v>
                </c:pt>
                <c:pt idx="80">
                  <c:v>342.75955238227749</c:v>
                </c:pt>
                <c:pt idx="81">
                  <c:v>327.1810748365312</c:v>
                </c:pt>
                <c:pt idx="82">
                  <c:v>332.10232472716143</c:v>
                </c:pt>
                <c:pt idx="83">
                  <c:v>337.02196666546217</c:v>
                </c:pt>
                <c:pt idx="84">
                  <c:v>341.94002746741921</c:v>
                </c:pt>
                <c:pt idx="85">
                  <c:v>346.8565331136702</c:v>
                </c:pt>
                <c:pt idx="86">
                  <c:v>331.82896439100062</c:v>
                </c:pt>
                <c:pt idx="87">
                  <c:v>335.9288504736034</c:v>
                </c:pt>
                <c:pt idx="88">
                  <c:v>340.02763447259463</c:v>
                </c:pt>
                <c:pt idx="89">
                  <c:v>344.12533156754643</c:v>
                </c:pt>
                <c:pt idx="90">
                  <c:v>348.22195654649892</c:v>
                </c:pt>
                <c:pt idx="91">
                  <c:v>335.9288504736034</c:v>
                </c:pt>
                <c:pt idx="92">
                  <c:v>340.02763447259463</c:v>
                </c:pt>
                <c:pt idx="93">
                  <c:v>344.12533156754643</c:v>
                </c:pt>
                <c:pt idx="94">
                  <c:v>348.22195654649892</c:v>
                </c:pt>
                <c:pt idx="95">
                  <c:v>352.31752382065224</c:v>
                </c:pt>
                <c:pt idx="96">
                  <c:v>340.02763447259463</c:v>
                </c:pt>
                <c:pt idx="97">
                  <c:v>344.12533156754643</c:v>
                </c:pt>
                <c:pt idx="98">
                  <c:v>348.22195654649892</c:v>
                </c:pt>
                <c:pt idx="99">
                  <c:v>352.31752382065224</c:v>
                </c:pt>
                <c:pt idx="100">
                  <c:v>356.41204743833867</c:v>
                </c:pt>
                <c:pt idx="101">
                  <c:v>340.02763447259463</c:v>
                </c:pt>
                <c:pt idx="102">
                  <c:v>340.02763447259463</c:v>
                </c:pt>
                <c:pt idx="103">
                  <c:v>340.02763447259463</c:v>
                </c:pt>
                <c:pt idx="104">
                  <c:v>340.02763447259463</c:v>
                </c:pt>
                <c:pt idx="105">
                  <c:v>340.02763447259463</c:v>
                </c:pt>
                <c:pt idx="106">
                  <c:v>340.02763447259463</c:v>
                </c:pt>
                <c:pt idx="107">
                  <c:v>340.02763447259463</c:v>
                </c:pt>
                <c:pt idx="108">
                  <c:v>340.02763447259463</c:v>
                </c:pt>
                <c:pt idx="109">
                  <c:v>340.02763447259463</c:v>
                </c:pt>
                <c:pt idx="110">
                  <c:v>340.02763447259463</c:v>
                </c:pt>
                <c:pt idx="111">
                  <c:v>340.02763447259463</c:v>
                </c:pt>
                <c:pt idx="112">
                  <c:v>340.02763447259463</c:v>
                </c:pt>
                <c:pt idx="113">
                  <c:v>340.02763447259463</c:v>
                </c:pt>
                <c:pt idx="114">
                  <c:v>340.02763447259463</c:v>
                </c:pt>
                <c:pt idx="115">
                  <c:v>340.02763447259463</c:v>
                </c:pt>
                <c:pt idx="116">
                  <c:v>340.02763447259463</c:v>
                </c:pt>
                <c:pt idx="117">
                  <c:v>340.02763447259463</c:v>
                </c:pt>
                <c:pt idx="118">
                  <c:v>340.02763447259463</c:v>
                </c:pt>
                <c:pt idx="119">
                  <c:v>340.02763447259463</c:v>
                </c:pt>
                <c:pt idx="120">
                  <c:v>340.02763447259463</c:v>
                </c:pt>
                <c:pt idx="121">
                  <c:v>340.02763447259463</c:v>
                </c:pt>
                <c:pt idx="122">
                  <c:v>340.02763447259463</c:v>
                </c:pt>
                <c:pt idx="123">
                  <c:v>340.02763447259463</c:v>
                </c:pt>
                <c:pt idx="124">
                  <c:v>340.02763447259463</c:v>
                </c:pt>
                <c:pt idx="125">
                  <c:v>340.02763447259463</c:v>
                </c:pt>
                <c:pt idx="126">
                  <c:v>340.02763447259463</c:v>
                </c:pt>
                <c:pt idx="127">
                  <c:v>340.02763447259463</c:v>
                </c:pt>
                <c:pt idx="128">
                  <c:v>340.02763447259463</c:v>
                </c:pt>
                <c:pt idx="129">
                  <c:v>340.02763447259463</c:v>
                </c:pt>
                <c:pt idx="130">
                  <c:v>340.02763447259463</c:v>
                </c:pt>
                <c:pt idx="131">
                  <c:v>340.02763447259463</c:v>
                </c:pt>
                <c:pt idx="132">
                  <c:v>340.02763447259463</c:v>
                </c:pt>
                <c:pt idx="133">
                  <c:v>340.02763447259463</c:v>
                </c:pt>
                <c:pt idx="134">
                  <c:v>340.02763447259463</c:v>
                </c:pt>
                <c:pt idx="135">
                  <c:v>340.02763447259463</c:v>
                </c:pt>
                <c:pt idx="136">
                  <c:v>340.02763447259463</c:v>
                </c:pt>
                <c:pt idx="137">
                  <c:v>340.02763447259463</c:v>
                </c:pt>
                <c:pt idx="138">
                  <c:v>340.02763447259463</c:v>
                </c:pt>
                <c:pt idx="139">
                  <c:v>340.02763447259463</c:v>
                </c:pt>
                <c:pt idx="140">
                  <c:v>340.02763447259463</c:v>
                </c:pt>
                <c:pt idx="141">
                  <c:v>340.02763447259463</c:v>
                </c:pt>
                <c:pt idx="142">
                  <c:v>340.02763447259463</c:v>
                </c:pt>
                <c:pt idx="143">
                  <c:v>340.02763447259463</c:v>
                </c:pt>
                <c:pt idx="144">
                  <c:v>340.02763447259463</c:v>
                </c:pt>
                <c:pt idx="145">
                  <c:v>340.02763447259463</c:v>
                </c:pt>
                <c:pt idx="146">
                  <c:v>340.02763447259463</c:v>
                </c:pt>
                <c:pt idx="147">
                  <c:v>340.02763447259463</c:v>
                </c:pt>
                <c:pt idx="148">
                  <c:v>340.02763447259463</c:v>
                </c:pt>
                <c:pt idx="149">
                  <c:v>340.02763447259463</c:v>
                </c:pt>
                <c:pt idx="150">
                  <c:v>340.02763447259463</c:v>
                </c:pt>
                <c:pt idx="151">
                  <c:v>340.02763447259463</c:v>
                </c:pt>
                <c:pt idx="152">
                  <c:v>340.02763447259463</c:v>
                </c:pt>
                <c:pt idx="153">
                  <c:v>340.02763447259463</c:v>
                </c:pt>
                <c:pt idx="154">
                  <c:v>340.02763447259463</c:v>
                </c:pt>
                <c:pt idx="155">
                  <c:v>340.02763447259463</c:v>
                </c:pt>
                <c:pt idx="156">
                  <c:v>340.02763447259463</c:v>
                </c:pt>
                <c:pt idx="157">
                  <c:v>340.02763447259463</c:v>
                </c:pt>
                <c:pt idx="158">
                  <c:v>340.02763447259463</c:v>
                </c:pt>
                <c:pt idx="159">
                  <c:v>340.02763447259463</c:v>
                </c:pt>
                <c:pt idx="160">
                  <c:v>340.02763447259463</c:v>
                </c:pt>
                <c:pt idx="161">
                  <c:v>340.02763447259463</c:v>
                </c:pt>
                <c:pt idx="162">
                  <c:v>340.02763447259463</c:v>
                </c:pt>
                <c:pt idx="163">
                  <c:v>340.02763447259463</c:v>
                </c:pt>
                <c:pt idx="164">
                  <c:v>340.02763447259463</c:v>
                </c:pt>
                <c:pt idx="165">
                  <c:v>340.02763447259463</c:v>
                </c:pt>
                <c:pt idx="166">
                  <c:v>340.02763447259463</c:v>
                </c:pt>
                <c:pt idx="167">
                  <c:v>340.02763447259463</c:v>
                </c:pt>
                <c:pt idx="168">
                  <c:v>340.02763447259463</c:v>
                </c:pt>
                <c:pt idx="169">
                  <c:v>340.02763447259463</c:v>
                </c:pt>
                <c:pt idx="170">
                  <c:v>340.02763447259463</c:v>
                </c:pt>
                <c:pt idx="171">
                  <c:v>340.02763447259463</c:v>
                </c:pt>
                <c:pt idx="172">
                  <c:v>340.02763447259463</c:v>
                </c:pt>
                <c:pt idx="173">
                  <c:v>340.02763447259463</c:v>
                </c:pt>
                <c:pt idx="174">
                  <c:v>340.02763447259463</c:v>
                </c:pt>
                <c:pt idx="175">
                  <c:v>340.02763447259463</c:v>
                </c:pt>
                <c:pt idx="176">
                  <c:v>340.02763447259463</c:v>
                </c:pt>
                <c:pt idx="177">
                  <c:v>340.02763447259463</c:v>
                </c:pt>
                <c:pt idx="178">
                  <c:v>340.02763447259463</c:v>
                </c:pt>
                <c:pt idx="179">
                  <c:v>340.02763447259463</c:v>
                </c:pt>
                <c:pt idx="180">
                  <c:v>340.02763447259463</c:v>
                </c:pt>
                <c:pt idx="181">
                  <c:v>340.02763447259463</c:v>
                </c:pt>
                <c:pt idx="182">
                  <c:v>340.02763447259463</c:v>
                </c:pt>
                <c:pt idx="183">
                  <c:v>340.02763447259463</c:v>
                </c:pt>
                <c:pt idx="184">
                  <c:v>340.02763447259463</c:v>
                </c:pt>
                <c:pt idx="185">
                  <c:v>340.02763447259463</c:v>
                </c:pt>
                <c:pt idx="186">
                  <c:v>340.02763447259463</c:v>
                </c:pt>
                <c:pt idx="187">
                  <c:v>340.02763447259463</c:v>
                </c:pt>
                <c:pt idx="188">
                  <c:v>340.02763447259463</c:v>
                </c:pt>
                <c:pt idx="189">
                  <c:v>340.02763447259463</c:v>
                </c:pt>
                <c:pt idx="190">
                  <c:v>340.02763447259463</c:v>
                </c:pt>
                <c:pt idx="191">
                  <c:v>340.02763447259463</c:v>
                </c:pt>
                <c:pt idx="192">
                  <c:v>340.02763447259463</c:v>
                </c:pt>
                <c:pt idx="193">
                  <c:v>340.02763447259463</c:v>
                </c:pt>
                <c:pt idx="194">
                  <c:v>340.02763447259463</c:v>
                </c:pt>
                <c:pt idx="195">
                  <c:v>340.02763447259463</c:v>
                </c:pt>
                <c:pt idx="196">
                  <c:v>340.02763447259463</c:v>
                </c:pt>
                <c:pt idx="197">
                  <c:v>340.02763447259463</c:v>
                </c:pt>
                <c:pt idx="198">
                  <c:v>340.02763447259463</c:v>
                </c:pt>
                <c:pt idx="199">
                  <c:v>340.02763447259463</c:v>
                </c:pt>
                <c:pt idx="200">
                  <c:v>340.02763447259463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5" zoomScaleNormal="100" workbookViewId="0">
      <selection activeCell="B98" sqref="B98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5.5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3" t="s">
        <v>44</v>
      </c>
      <c r="C9" s="264">
        <v>0.89115599999999995</v>
      </c>
      <c r="D9" s="33">
        <f t="shared" ref="D9:D18" si="0">C9*$C$5</f>
        <v>4.9013580000000001</v>
      </c>
      <c r="E9" s="265">
        <v>45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3" t="s">
        <v>4</v>
      </c>
      <c r="C10" s="264">
        <v>2.7210999999999999E-2</v>
      </c>
      <c r="D10" s="33">
        <f t="shared" si="0"/>
        <v>0.1496605</v>
      </c>
      <c r="E10" s="265">
        <v>90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325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3" t="s">
        <v>321</v>
      </c>
      <c r="C11" s="264">
        <v>8.1632999999999997E-2</v>
      </c>
      <c r="D11" s="33">
        <f t="shared" si="0"/>
        <v>0.44898149999999998</v>
      </c>
      <c r="E11" s="265">
        <v>100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0.99999999999999989</v>
      </c>
      <c r="D19" s="38">
        <f>SUM(D9:D18)</f>
        <v>5.5000000000000009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Robinier faux-acacia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9">
        <v>5</v>
      </c>
      <c r="B36" s="259">
        <v>34</v>
      </c>
      <c r="C36" s="259">
        <v>1</v>
      </c>
      <c r="D36" s="259">
        <v>6</v>
      </c>
      <c r="E36" s="260"/>
      <c r="F36" s="260"/>
      <c r="G36" s="260"/>
      <c r="H36" s="260">
        <v>1</v>
      </c>
      <c r="I36" s="49">
        <f>IFERROR(B36/A36,"")</f>
        <v>6.8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59">
        <v>10</v>
      </c>
      <c r="B37" s="259">
        <v>98</v>
      </c>
      <c r="C37" s="259">
        <v>2</v>
      </c>
      <c r="D37" s="259">
        <v>28</v>
      </c>
      <c r="E37" s="260"/>
      <c r="F37" s="260"/>
      <c r="G37" s="260"/>
      <c r="H37" s="260">
        <v>1</v>
      </c>
      <c r="I37" s="53">
        <f t="shared" ref="I37:I55" si="1">IF(A37&lt;&gt;0,(B37-(B36-D36))/(A37-A36),"")</f>
        <v>14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59">
        <v>15</v>
      </c>
      <c r="B38" s="259">
        <v>140</v>
      </c>
      <c r="C38" s="259">
        <v>3</v>
      </c>
      <c r="D38" s="259">
        <v>23</v>
      </c>
      <c r="E38" s="260"/>
      <c r="F38" s="260"/>
      <c r="G38" s="260"/>
      <c r="H38" s="260">
        <v>1</v>
      </c>
      <c r="I38" s="53">
        <f t="shared" si="1"/>
        <v>14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59">
        <v>20</v>
      </c>
      <c r="B39" s="259">
        <v>179</v>
      </c>
      <c r="C39" s="259">
        <v>4</v>
      </c>
      <c r="D39" s="259">
        <v>18</v>
      </c>
      <c r="E39" s="260"/>
      <c r="F39" s="260"/>
      <c r="G39" s="260"/>
      <c r="H39" s="260">
        <v>1</v>
      </c>
      <c r="I39" s="49">
        <f t="shared" si="1"/>
        <v>12.4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59">
        <v>25</v>
      </c>
      <c r="B40" s="259">
        <v>214</v>
      </c>
      <c r="C40" s="259">
        <v>5</v>
      </c>
      <c r="D40" s="259">
        <v>14</v>
      </c>
      <c r="E40" s="260"/>
      <c r="F40" s="260"/>
      <c r="G40" s="260"/>
      <c r="H40" s="260">
        <v>1</v>
      </c>
      <c r="I40" s="49">
        <f t="shared" si="1"/>
        <v>10.6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59">
        <v>30</v>
      </c>
      <c r="B41" s="259">
        <v>243</v>
      </c>
      <c r="C41" s="259">
        <v>6</v>
      </c>
      <c r="D41" s="259">
        <v>11</v>
      </c>
      <c r="E41" s="260"/>
      <c r="F41" s="260"/>
      <c r="G41" s="260"/>
      <c r="H41" s="260">
        <v>1</v>
      </c>
      <c r="I41" s="53">
        <f t="shared" si="1"/>
        <v>8.6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59">
        <v>35</v>
      </c>
      <c r="B42" s="259">
        <v>267</v>
      </c>
      <c r="C42" s="259">
        <v>7</v>
      </c>
      <c r="D42" s="259">
        <v>9</v>
      </c>
      <c r="E42" s="260">
        <v>1</v>
      </c>
      <c r="F42" s="260"/>
      <c r="G42" s="260"/>
      <c r="H42" s="260"/>
      <c r="I42" s="53">
        <f t="shared" si="1"/>
        <v>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59">
        <v>40</v>
      </c>
      <c r="B43" s="259">
        <v>289</v>
      </c>
      <c r="C43" s="259">
        <v>8</v>
      </c>
      <c r="D43" s="259">
        <v>7</v>
      </c>
      <c r="E43" s="260">
        <v>1</v>
      </c>
      <c r="F43" s="260"/>
      <c r="G43" s="260"/>
      <c r="H43" s="260"/>
      <c r="I43" s="49">
        <f t="shared" si="1"/>
        <v>6.2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59">
        <v>45</v>
      </c>
      <c r="B44" s="259">
        <v>312</v>
      </c>
      <c r="C44" s="259">
        <v>9</v>
      </c>
      <c r="D44" s="259">
        <v>7</v>
      </c>
      <c r="E44" s="260">
        <v>1</v>
      </c>
      <c r="F44" s="260"/>
      <c r="G44" s="260"/>
      <c r="H44" s="260"/>
      <c r="I44" s="49">
        <f t="shared" si="1"/>
        <v>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59"/>
      <c r="B45" s="261"/>
      <c r="C45" s="259"/>
      <c r="D45" s="261"/>
      <c r="E45" s="260"/>
      <c r="F45" s="260"/>
      <c r="G45" s="260"/>
      <c r="H45" s="260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59"/>
      <c r="B46" s="262"/>
      <c r="C46" s="259"/>
      <c r="D46" s="262"/>
      <c r="E46" s="260"/>
      <c r="F46" s="260"/>
      <c r="G46" s="260"/>
      <c r="H46" s="260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59"/>
      <c r="B47" s="261"/>
      <c r="C47" s="259"/>
      <c r="D47" s="261"/>
      <c r="E47" s="260"/>
      <c r="F47" s="260"/>
      <c r="G47" s="260"/>
      <c r="H47" s="260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59"/>
      <c r="B48" s="261"/>
      <c r="C48" s="259"/>
      <c r="D48" s="261"/>
      <c r="E48" s="260"/>
      <c r="F48" s="260"/>
      <c r="G48" s="260"/>
      <c r="H48" s="260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59"/>
      <c r="B49" s="261"/>
      <c r="C49" s="259"/>
      <c r="D49" s="261"/>
      <c r="E49" s="260"/>
      <c r="F49" s="260"/>
      <c r="G49" s="260"/>
      <c r="H49" s="260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Aulne glutineux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61">
        <v>10</v>
      </c>
      <c r="B62" s="261">
        <v>14</v>
      </c>
      <c r="C62" s="261">
        <v>1</v>
      </c>
      <c r="D62" s="261">
        <v>1</v>
      </c>
      <c r="E62" s="260"/>
      <c r="F62" s="260"/>
      <c r="G62" s="260"/>
      <c r="H62" s="260">
        <v>1</v>
      </c>
      <c r="I62" s="53">
        <f>IFERROR(B62/A62,"")</f>
        <v>1.4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61">
        <v>15</v>
      </c>
      <c r="B63" s="261">
        <v>52</v>
      </c>
      <c r="C63" s="261">
        <v>2</v>
      </c>
      <c r="D63" s="261">
        <v>5</v>
      </c>
      <c r="E63" s="260"/>
      <c r="F63" s="260"/>
      <c r="G63" s="260"/>
      <c r="H63" s="260">
        <v>1</v>
      </c>
      <c r="I63" s="49">
        <f>IF(A63&lt;&gt;0,(B63-(B62-D62))/(A63-A62),"")</f>
        <v>7.8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61">
        <v>20</v>
      </c>
      <c r="B64" s="261">
        <v>117</v>
      </c>
      <c r="C64" s="261">
        <v>3</v>
      </c>
      <c r="D64" s="261">
        <v>12</v>
      </c>
      <c r="E64" s="260"/>
      <c r="F64" s="260"/>
      <c r="G64" s="260"/>
      <c r="H64" s="260">
        <v>1</v>
      </c>
      <c r="I64" s="49">
        <f>IF(A64&lt;&gt;0,(B64-(B63-D63))/(A64-A63),"")</f>
        <v>14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61">
        <v>25</v>
      </c>
      <c r="B65" s="261">
        <v>160</v>
      </c>
      <c r="C65" s="261">
        <v>4</v>
      </c>
      <c r="D65" s="261">
        <v>24</v>
      </c>
      <c r="E65" s="260"/>
      <c r="F65" s="260"/>
      <c r="G65" s="260"/>
      <c r="H65" s="260">
        <v>1</v>
      </c>
      <c r="I65" s="49">
        <f>IF(A65&lt;&gt;0,(B65-(B64-D64))/(A65-A64),"")</f>
        <v>11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61">
        <v>30</v>
      </c>
      <c r="B66" s="261">
        <v>186</v>
      </c>
      <c r="C66" s="261">
        <v>5</v>
      </c>
      <c r="D66" s="261">
        <v>26</v>
      </c>
      <c r="E66" s="260"/>
      <c r="F66" s="260"/>
      <c r="G66" s="260"/>
      <c r="H66" s="260">
        <v>1</v>
      </c>
      <c r="I66" s="49">
        <f t="shared" ref="I66:I81" si="2">IF(A66&lt;&gt;0,(B66-(B65-D65))/(A66-A65),"")</f>
        <v>10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61">
        <v>35</v>
      </c>
      <c r="B67" s="261">
        <v>208</v>
      </c>
      <c r="C67" s="261">
        <v>6</v>
      </c>
      <c r="D67" s="261">
        <v>28</v>
      </c>
      <c r="E67" s="260">
        <v>1</v>
      </c>
      <c r="F67" s="260"/>
      <c r="G67" s="260"/>
      <c r="H67" s="260"/>
      <c r="I67" s="49">
        <f t="shared" si="2"/>
        <v>9.6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61">
        <v>40</v>
      </c>
      <c r="B68" s="261">
        <v>224</v>
      </c>
      <c r="C68" s="261">
        <v>7</v>
      </c>
      <c r="D68" s="261">
        <v>28</v>
      </c>
      <c r="E68" s="260">
        <v>1</v>
      </c>
      <c r="F68" s="260"/>
      <c r="G68" s="260"/>
      <c r="H68" s="260"/>
      <c r="I68" s="49">
        <f t="shared" si="2"/>
        <v>8.8000000000000007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45</v>
      </c>
      <c r="B69" s="261">
        <v>237</v>
      </c>
      <c r="C69" s="261">
        <v>8</v>
      </c>
      <c r="D69" s="261">
        <v>28</v>
      </c>
      <c r="E69" s="260">
        <v>1</v>
      </c>
      <c r="F69" s="260"/>
      <c r="G69" s="260"/>
      <c r="H69" s="260"/>
      <c r="I69" s="49">
        <f t="shared" si="2"/>
        <v>8.1999999999999993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>
        <v>50</v>
      </c>
      <c r="B70" s="261">
        <v>246</v>
      </c>
      <c r="C70" s="261">
        <v>9</v>
      </c>
      <c r="D70" s="261">
        <v>27</v>
      </c>
      <c r="E70" s="260">
        <v>1</v>
      </c>
      <c r="F70" s="260"/>
      <c r="G70" s="260"/>
      <c r="H70" s="260"/>
      <c r="I70" s="49">
        <f t="shared" si="2"/>
        <v>7.4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261">
        <v>55</v>
      </c>
      <c r="B71" s="261">
        <v>253</v>
      </c>
      <c r="C71" s="261">
        <v>10</v>
      </c>
      <c r="D71" s="261">
        <v>25</v>
      </c>
      <c r="E71" s="260">
        <v>1</v>
      </c>
      <c r="F71" s="260"/>
      <c r="G71" s="260"/>
      <c r="H71" s="260"/>
      <c r="I71" s="49">
        <f t="shared" si="2"/>
        <v>6.8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261">
        <v>60</v>
      </c>
      <c r="B72" s="261">
        <v>260</v>
      </c>
      <c r="C72" s="261">
        <v>11</v>
      </c>
      <c r="D72" s="261">
        <v>24</v>
      </c>
      <c r="E72" s="260">
        <v>1</v>
      </c>
      <c r="F72" s="260"/>
      <c r="G72" s="260"/>
      <c r="H72" s="260"/>
      <c r="I72" s="49">
        <f t="shared" si="2"/>
        <v>6.4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1">
        <v>65</v>
      </c>
      <c r="B73" s="261">
        <v>265</v>
      </c>
      <c r="C73" s="261">
        <v>12</v>
      </c>
      <c r="D73" s="261">
        <v>22</v>
      </c>
      <c r="E73" s="260">
        <v>1</v>
      </c>
      <c r="F73" s="260"/>
      <c r="G73" s="260"/>
      <c r="H73" s="260"/>
      <c r="I73" s="49">
        <f t="shared" si="2"/>
        <v>5.8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1">
        <v>70</v>
      </c>
      <c r="B74" s="261">
        <v>270</v>
      </c>
      <c r="C74" s="261">
        <v>13</v>
      </c>
      <c r="D74" s="261">
        <v>21</v>
      </c>
      <c r="E74" s="260">
        <v>1</v>
      </c>
      <c r="F74" s="260"/>
      <c r="G74" s="260"/>
      <c r="H74" s="260"/>
      <c r="I74" s="49">
        <f t="shared" si="2"/>
        <v>5.4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1">
        <v>75</v>
      </c>
      <c r="B75" s="261">
        <v>273</v>
      </c>
      <c r="C75" s="261">
        <v>14</v>
      </c>
      <c r="D75" s="261">
        <v>19</v>
      </c>
      <c r="E75" s="260">
        <v>1</v>
      </c>
      <c r="F75" s="260"/>
      <c r="G75" s="260"/>
      <c r="H75" s="260"/>
      <c r="I75" s="49">
        <f t="shared" si="2"/>
        <v>4.8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1">
        <v>80</v>
      </c>
      <c r="B76" s="261">
        <v>277</v>
      </c>
      <c r="C76" s="261">
        <v>15</v>
      </c>
      <c r="D76" s="261">
        <v>18</v>
      </c>
      <c r="E76" s="260">
        <v>1</v>
      </c>
      <c r="F76" s="260"/>
      <c r="G76" s="260"/>
      <c r="H76" s="260"/>
      <c r="I76" s="49">
        <f t="shared" si="2"/>
        <v>4.5999999999999996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>
        <v>85</v>
      </c>
      <c r="B77" s="257">
        <v>280</v>
      </c>
      <c r="C77" s="256">
        <v>16</v>
      </c>
      <c r="D77" s="256">
        <v>16</v>
      </c>
      <c r="E77" s="255">
        <v>1</v>
      </c>
      <c r="F77" s="255"/>
      <c r="G77" s="255"/>
      <c r="H77" s="255"/>
      <c r="I77" s="49">
        <f t="shared" si="2"/>
        <v>4.2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>
        <v>90</v>
      </c>
      <c r="B78" s="257">
        <v>283</v>
      </c>
      <c r="C78" s="256">
        <v>17</v>
      </c>
      <c r="D78" s="256">
        <v>15</v>
      </c>
      <c r="E78" s="255">
        <v>1</v>
      </c>
      <c r="F78" s="255"/>
      <c r="G78" s="255"/>
      <c r="H78" s="255"/>
      <c r="I78" s="49">
        <f t="shared" si="2"/>
        <v>3.8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Tulipier de Virginie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1">
        <v>10</v>
      </c>
      <c r="B88" s="261">
        <v>29</v>
      </c>
      <c r="C88" s="261"/>
      <c r="D88" s="261">
        <v>0</v>
      </c>
      <c r="E88" s="260"/>
      <c r="F88" s="260"/>
      <c r="G88" s="260"/>
      <c r="H88" s="260"/>
      <c r="I88" s="53">
        <f>IFERROR(B88/A88,"")</f>
        <v>2.9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1">
        <v>15</v>
      </c>
      <c r="B89" s="261">
        <v>73</v>
      </c>
      <c r="C89" s="261"/>
      <c r="D89" s="261">
        <v>0</v>
      </c>
      <c r="E89" s="260"/>
      <c r="F89" s="260"/>
      <c r="G89" s="260"/>
      <c r="H89" s="260"/>
      <c r="I89" s="53">
        <f t="shared" ref="I89:I107" si="3">IF(A89&lt;&gt;0,(B89-(B88-D88))/(A89-A88),"")</f>
        <v>8.8000000000000007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1">
        <v>20</v>
      </c>
      <c r="B90" s="261">
        <v>129</v>
      </c>
      <c r="C90" s="261">
        <v>1</v>
      </c>
      <c r="D90" s="261">
        <v>54</v>
      </c>
      <c r="E90" s="260"/>
      <c r="F90" s="260"/>
      <c r="G90" s="260"/>
      <c r="H90" s="260">
        <v>1</v>
      </c>
      <c r="I90" s="53">
        <f t="shared" si="3"/>
        <v>11.2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1">
        <v>25</v>
      </c>
      <c r="B91" s="261">
        <v>126</v>
      </c>
      <c r="C91" s="261">
        <v>2</v>
      </c>
      <c r="D91" s="261">
        <v>26</v>
      </c>
      <c r="E91" s="260"/>
      <c r="F91" s="260"/>
      <c r="G91" s="260"/>
      <c r="H91" s="260">
        <v>1</v>
      </c>
      <c r="I91" s="53">
        <f t="shared" si="3"/>
        <v>10.199999999999999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1">
        <v>30</v>
      </c>
      <c r="B92" s="261">
        <v>149</v>
      </c>
      <c r="C92" s="261">
        <v>3</v>
      </c>
      <c r="D92" s="261">
        <v>27</v>
      </c>
      <c r="E92" s="260"/>
      <c r="F92" s="260"/>
      <c r="G92" s="260"/>
      <c r="H92" s="260">
        <v>1</v>
      </c>
      <c r="I92" s="53">
        <f t="shared" si="3"/>
        <v>9.8000000000000007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1">
        <v>35</v>
      </c>
      <c r="B93" s="261">
        <v>168</v>
      </c>
      <c r="C93" s="261">
        <v>4</v>
      </c>
      <c r="D93" s="261">
        <v>27</v>
      </c>
      <c r="E93" s="260">
        <v>1</v>
      </c>
      <c r="F93" s="260"/>
      <c r="G93" s="260"/>
      <c r="H93" s="260"/>
      <c r="I93" s="53">
        <f t="shared" si="3"/>
        <v>9.1999999999999993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1">
        <v>40</v>
      </c>
      <c r="B94" s="261">
        <v>185</v>
      </c>
      <c r="C94" s="261">
        <v>5</v>
      </c>
      <c r="D94" s="261">
        <v>27</v>
      </c>
      <c r="E94" s="260">
        <v>1</v>
      </c>
      <c r="F94" s="260"/>
      <c r="G94" s="260"/>
      <c r="H94" s="260"/>
      <c r="I94" s="53">
        <f t="shared" si="3"/>
        <v>8.8000000000000007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1">
        <v>45</v>
      </c>
      <c r="B95" s="261">
        <v>198</v>
      </c>
      <c r="C95" s="261">
        <v>6</v>
      </c>
      <c r="D95" s="261">
        <v>26</v>
      </c>
      <c r="E95" s="260">
        <v>1</v>
      </c>
      <c r="F95" s="260"/>
      <c r="G95" s="260"/>
      <c r="H95" s="260"/>
      <c r="I95" s="53">
        <f t="shared" si="3"/>
        <v>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1">
        <v>50</v>
      </c>
      <c r="B96" s="261">
        <v>209</v>
      </c>
      <c r="C96" s="261">
        <v>7</v>
      </c>
      <c r="D96" s="261">
        <v>24</v>
      </c>
      <c r="E96" s="260">
        <v>1</v>
      </c>
      <c r="F96" s="260"/>
      <c r="G96" s="260"/>
      <c r="H96" s="260"/>
      <c r="I96" s="53">
        <f t="shared" si="3"/>
        <v>7.4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1">
        <v>55</v>
      </c>
      <c r="B97" s="261">
        <v>218</v>
      </c>
      <c r="C97" s="261">
        <v>8</v>
      </c>
      <c r="D97" s="261">
        <v>23</v>
      </c>
      <c r="E97" s="260">
        <v>1</v>
      </c>
      <c r="F97" s="260"/>
      <c r="G97" s="260"/>
      <c r="H97" s="260"/>
      <c r="I97" s="53">
        <f t="shared" si="3"/>
        <v>6.6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1">
        <v>60</v>
      </c>
      <c r="B98" s="261">
        <v>225</v>
      </c>
      <c r="C98" s="261">
        <v>9</v>
      </c>
      <c r="D98" s="261">
        <v>21</v>
      </c>
      <c r="E98" s="260">
        <v>1</v>
      </c>
      <c r="F98" s="260"/>
      <c r="G98" s="260"/>
      <c r="H98" s="260"/>
      <c r="I98" s="53">
        <f t="shared" si="3"/>
        <v>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1">
        <v>65</v>
      </c>
      <c r="B99" s="261">
        <v>232</v>
      </c>
      <c r="C99" s="261">
        <v>10</v>
      </c>
      <c r="D99" s="261">
        <v>20</v>
      </c>
      <c r="E99" s="260">
        <v>1</v>
      </c>
      <c r="F99" s="260"/>
      <c r="G99" s="260"/>
      <c r="H99" s="260"/>
      <c r="I99" s="53">
        <f t="shared" si="3"/>
        <v>5.6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1">
        <v>70</v>
      </c>
      <c r="B100" s="261">
        <v>237</v>
      </c>
      <c r="C100" s="261">
        <v>11</v>
      </c>
      <c r="D100" s="261">
        <v>18</v>
      </c>
      <c r="E100" s="260">
        <v>1</v>
      </c>
      <c r="F100" s="260"/>
      <c r="G100" s="260"/>
      <c r="H100" s="260"/>
      <c r="I100" s="53">
        <f t="shared" si="3"/>
        <v>5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1">
        <v>75</v>
      </c>
      <c r="B101" s="261">
        <v>241</v>
      </c>
      <c r="C101" s="261">
        <v>12</v>
      </c>
      <c r="D101" s="261">
        <v>16</v>
      </c>
      <c r="E101" s="260">
        <v>1</v>
      </c>
      <c r="F101" s="260"/>
      <c r="G101" s="260"/>
      <c r="H101" s="260"/>
      <c r="I101" s="53">
        <f t="shared" si="3"/>
        <v>4.4000000000000004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1">
        <v>80</v>
      </c>
      <c r="B102" s="261">
        <v>245</v>
      </c>
      <c r="C102" s="261">
        <v>13</v>
      </c>
      <c r="D102" s="261">
        <v>15</v>
      </c>
      <c r="E102" s="260">
        <v>1</v>
      </c>
      <c r="F102" s="260"/>
      <c r="G102" s="260"/>
      <c r="H102" s="260"/>
      <c r="I102" s="53">
        <f t="shared" si="3"/>
        <v>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>
        <v>85</v>
      </c>
      <c r="B103" s="257">
        <v>248</v>
      </c>
      <c r="C103" s="256">
        <v>14</v>
      </c>
      <c r="D103" s="256">
        <v>14</v>
      </c>
      <c r="E103" s="255">
        <v>1</v>
      </c>
      <c r="F103" s="255"/>
      <c r="G103" s="255"/>
      <c r="H103" s="255"/>
      <c r="I103" s="53">
        <f t="shared" si="3"/>
        <v>3.6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>
        <v>90</v>
      </c>
      <c r="B104" s="257">
        <v>249</v>
      </c>
      <c r="C104" s="256">
        <v>15</v>
      </c>
      <c r="D104" s="256">
        <v>12</v>
      </c>
      <c r="E104" s="255">
        <v>1</v>
      </c>
      <c r="F104" s="255"/>
      <c r="G104" s="255"/>
      <c r="H104" s="255"/>
      <c r="I104" s="53">
        <f t="shared" si="3"/>
        <v>3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>
        <v>95</v>
      </c>
      <c r="B105" s="257">
        <v>252</v>
      </c>
      <c r="C105" s="256">
        <v>16</v>
      </c>
      <c r="D105" s="256">
        <v>12</v>
      </c>
      <c r="E105" s="255">
        <v>1</v>
      </c>
      <c r="F105" s="255"/>
      <c r="G105" s="255"/>
      <c r="H105" s="255"/>
      <c r="I105" s="53">
        <f t="shared" si="3"/>
        <v>3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>
        <v>100</v>
      </c>
      <c r="B106" s="257">
        <v>255</v>
      </c>
      <c r="C106" s="256">
        <v>17</v>
      </c>
      <c r="D106" s="256">
        <v>12</v>
      </c>
      <c r="E106" s="255">
        <v>1</v>
      </c>
      <c r="F106" s="255"/>
      <c r="G106" s="255"/>
      <c r="H106" s="255"/>
      <c r="I106" s="53">
        <f t="shared" si="3"/>
        <v>3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F20" sqref="F20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Robinier faux-acacia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Aulne glutineux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Tulipier de Virginie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295.41366969872354</v>
      </c>
      <c r="T3" s="59">
        <f>IF('Données projet'!E9&gt;30,$R$33-$H$33,LOOKUP('Données projet'!$E$9,$A$3:$A$203,R3:R203)-LOOKUP('Données projet'!$E$9,$A$3:$A$203,$H$3:$H$203))</f>
        <v>415.02188573182912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173.80737004674131</v>
      </c>
      <c r="AO3" s="59">
        <f>IF('Données projet'!E10&gt;30,$AM$33-$H$33,LOOKUP('Données projet'!$E$10,$A$3:$A$203,AM3:AM203)-LOOKUP('Données projet'!$E$10,$A$3:$A$203,$H$3:$H$203))</f>
        <v>206.06552061664968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136.80149066064263</v>
      </c>
      <c r="BJ3" s="59">
        <f>IF('Données projet'!E11&gt;30,$BH$33-$H$33,LOOKUP('Données projet'!$E$11,$A$3:$A$203,BH3:BH203)-LOOKUP('Données projet'!$E$11,$A$3:$A$203,$H$3:$H$203))</f>
        <v>148.87330541103535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0.90479999999999994</v>
      </c>
      <c r="D4" s="11">
        <f>IFERROR(EXP(-1.0587+0.8836*LN(C4)+0.284),0)</f>
        <v>0.42185377043488931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10.240836122655287</v>
      </c>
      <c r="H4" s="66">
        <f t="shared" ref="H4:H67" si="1">(B4+E4+F4)*44/12+(C4+D4)*0.475*44/12</f>
        <v>295.64392198350743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6.8</v>
      </c>
      <c r="N4" s="13">
        <f>IF('Données projet'!$A$36&gt;35,N3+M4-V3,IF(A4&lt;'Données projet'!$A$36,$K$205^A4,IF(A4='Données projet'!$A$36,'Données projet'!$B$36,N3+M4-V3)))</f>
        <v>2.0243974584998852</v>
      </c>
      <c r="O4" s="13">
        <f>N4*VLOOKUP('Données projet'!$B$9,Paramètres!$A$1:$I$89,3,0)*VLOOKUP('Données projet'!$B$9,Paramètres!$A$1:$I$89,5,0)</f>
        <v>1.8316748204506961</v>
      </c>
      <c r="P4" s="13">
        <f>EXP(-1.0587+0.8836*LN(O4)+0.284)</f>
        <v>0.78669228172688432</v>
      </c>
      <c r="Q4" s="20">
        <f t="shared" ref="Q4:Q34" si="2">(O4+P4)*0.475*44/12</f>
        <v>4.5603227029592857</v>
      </c>
      <c r="R4" s="59">
        <f t="shared" si="0"/>
        <v>297.89365603629261</v>
      </c>
      <c r="S4" s="59">
        <f ca="1">AVERAGE(OFFSET($R$3,0,0,'Données projet'!$E$9+1,1))-AVERAGE(OFFSET($H$3,0,0,'Données projet'!$E$9+1,1))</f>
        <v>295.41366969872354</v>
      </c>
      <c r="T4" s="59">
        <f>$T$3</f>
        <v>415.02188573182912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1.4</v>
      </c>
      <c r="AI4" s="13">
        <f>IF('Données projet'!$A$62&gt;35,AI3+AH4-AQ3,IF(A4&lt;'Données projet'!$A$62,$AF$205^A4,IF(A4='Données projet'!$A$62,'Données projet'!$B$62,AI3+AH4-AQ3)))</f>
        <v>1.3020054543174677</v>
      </c>
      <c r="AJ4" s="13">
        <f>AI4*VLOOKUP('Données projet'!$B$10,Paramètres!$A$1:$I$89,3,0)*VLOOKUP('Données projet'!$B$10,Paramètres!$A$1:$I$89,5,0)</f>
        <v>0.85307397366880489</v>
      </c>
      <c r="AK4" s="13">
        <f>EXP(-1.0587+0.8836*LN(AJ4)+0.284)</f>
        <v>0.40047176901361836</v>
      </c>
      <c r="AL4" s="20">
        <f t="shared" ref="AL4:AL67" si="4">(AJ4+AK4)*0.475*44/12</f>
        <v>2.1832588351718871</v>
      </c>
      <c r="AM4" s="59">
        <f t="shared" ref="AM4:AM67" si="5">AL4+(AD4+AE4)*44/12</f>
        <v>295.51659216850521</v>
      </c>
      <c r="AN4" s="59">
        <f ca="1">AVERAGE(OFFSET($AM$3,0,0,'Données projet'!$E$10+1,1))-AVERAGE(OFFSET($H$3,0,0,'Données projet'!$E$10+1,1))</f>
        <v>173.80737004674131</v>
      </c>
      <c r="AO4" s="59">
        <f>$AO$3</f>
        <v>206.06552061664968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2.9</v>
      </c>
      <c r="BD4" s="12">
        <f>IF('Données projet'!$A$88&gt;35,BD3+BC4-BL3,IF(A4&lt;'Données projet'!$A$88,$BA$205^A4,IF(A4='Données projet'!$A$88,'Données projet'!$B$88,BD3+BC4-BL3)))</f>
        <v>1.4003603312913959</v>
      </c>
      <c r="BE4" s="13">
        <f>BD4*VLOOKUP('Données projet'!$B$11,Paramètres!$A$1:$I$89,3,0)*VLOOKUP('Données projet'!$B$11,Paramètres!$A$1:$I$89,5,0)</f>
        <v>0.89567046789397686</v>
      </c>
      <c r="BF4" s="13">
        <f>EXP(-1.0587+0.8836*LN(BE4)+0.284)</f>
        <v>0.41809046476321332</v>
      </c>
      <c r="BG4" s="20">
        <f t="shared" ref="BG4:BG67" si="7">(BE4+BF4)*0.475*44/12</f>
        <v>2.2881336243779393</v>
      </c>
      <c r="BH4" s="59">
        <f t="shared" ref="BH4:BH67" si="8">BG4+(AY4+AZ4)*44/12</f>
        <v>295.62146695771128</v>
      </c>
      <c r="BI4" s="59">
        <f ca="1">AVERAGE(OFFSET($BH$3,0,0,'Données projet'!$E$11+1,1))-AVERAGE(OFFSET($H$3,0,0,'Données projet'!$E$11+1,1))</f>
        <v>136.80149066064263</v>
      </c>
      <c r="BJ4" s="59">
        <f>$BJ$3</f>
        <v>148.87330541103535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1.8095999999999999</v>
      </c>
      <c r="D5" s="11">
        <f t="shared" ref="D5:D68" si="32">IFERROR(EXP(-1.0587+0.8836*LN(C5)+0.284),0)</f>
        <v>0.778308976345926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19.976841220915922</v>
      </c>
      <c r="H5" s="66">
        <f t="shared" si="1"/>
        <v>297.84060813380245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6.8</v>
      </c>
      <c r="N5" s="13">
        <f>IF('Données projet'!$A$36&gt;35,N4+M5-V4,IF(A5&lt;'Données projet'!$A$36,$K$205^A5,IF(A5='Données projet'!$A$36,'Données projet'!$B$36,N4+M5-V4)))</f>
        <v>4.0981850699807945</v>
      </c>
      <c r="O5" s="13">
        <f>N5*VLOOKUP('Données projet'!$B$9,Paramètres!$A$1:$I$89,3,0)*VLOOKUP('Données projet'!$B$9,Paramètres!$A$1:$I$89,5,0)</f>
        <v>3.7080378513186227</v>
      </c>
      <c r="P5" s="13">
        <f t="shared" ref="P5:P68" si="33">EXP(-1.0587+0.8836*LN(O5)+0.284)</f>
        <v>1.4670598901857457</v>
      </c>
      <c r="Q5" s="20">
        <f t="shared" si="2"/>
        <v>9.0132952331201093</v>
      </c>
      <c r="R5" s="59">
        <f t="shared" si="0"/>
        <v>302.34662856645343</v>
      </c>
      <c r="S5" s="59">
        <f ca="1">AVERAGE(OFFSET($R$3,0,0,'Données projet'!$E$9+1,1))-AVERAGE(OFFSET($H$3,0,0,'Données projet'!$E$9+1,1))</f>
        <v>295.41366969872354</v>
      </c>
      <c r="T5" s="59">
        <f t="shared" ref="T5:T68" si="34">$T$3</f>
        <v>415.02188573182912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1.4</v>
      </c>
      <c r="AI5" s="13">
        <f>IF('Données projet'!$A$62&gt;35,AI4+AH5-AQ4,IF(A5&lt;'Données projet'!$A$62,$AF$205^A5,IF(A5='Données projet'!$A$62,'Données projet'!$B$62,AI4+AH5-AQ4)))</f>
        <v>1.6952182030724354</v>
      </c>
      <c r="AJ5" s="13">
        <f>AI5*VLOOKUP('Données projet'!$B$10,Paramètres!$A$1:$I$89,3,0)*VLOOKUP('Données projet'!$B$10,Paramètres!$A$1:$I$89,5,0)</f>
        <v>1.1107069666530596</v>
      </c>
      <c r="AK5" s="13">
        <f t="shared" ref="AK5:AK68" si="35">EXP(-1.0587+0.8836*LN(AJ5)+0.284)</f>
        <v>0.50564274395751485</v>
      </c>
      <c r="AL5" s="20">
        <f t="shared" si="4"/>
        <v>2.8151424126467504</v>
      </c>
      <c r="AM5" s="59">
        <f t="shared" si="5"/>
        <v>296.14847574598008</v>
      </c>
      <c r="AN5" s="59">
        <f ca="1">AVERAGE(OFFSET($AM$3,0,0,'Données projet'!$E$10+1,1))-AVERAGE(OFFSET($H$3,0,0,'Données projet'!$E$10+1,1))</f>
        <v>173.80737004674131</v>
      </c>
      <c r="AO5" s="59">
        <f t="shared" ref="AO5:AO68" si="36">$AO$3</f>
        <v>206.06552061664968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2.9</v>
      </c>
      <c r="BD5" s="12">
        <f>IF('Données projet'!$A$88&gt;35,BD4+BC5-BL4,IF(A5&lt;'Données projet'!$A$88,$BA$205^A5,IF(A5='Données projet'!$A$88,'Données projet'!$B$88,BD4+BC5-BL4)))</f>
        <v>1.9610090574545482</v>
      </c>
      <c r="BE5" s="13">
        <f>BD5*VLOOKUP('Données projet'!$B$11,Paramètres!$A$1:$I$89,3,0)*VLOOKUP('Données projet'!$B$11,Paramètres!$A$1:$I$89,5,0)</f>
        <v>1.2542613931479289</v>
      </c>
      <c r="BF5" s="13">
        <f t="shared" ref="BF5:BF68" si="37">EXP(-1.0587+0.8836*LN(BE5)+0.284)</f>
        <v>0.56297323752192563</v>
      </c>
      <c r="BG5" s="20">
        <f t="shared" si="7"/>
        <v>3.1650169817499965</v>
      </c>
      <c r="BH5" s="59">
        <f t="shared" si="8"/>
        <v>296.49835031508331</v>
      </c>
      <c r="BI5" s="59">
        <f ca="1">AVERAGE(OFFSET($BH$3,0,0,'Données projet'!$E$11+1,1))-AVERAGE(OFFSET($H$3,0,0,'Données projet'!$E$11+1,1))</f>
        <v>136.80149066064263</v>
      </c>
      <c r="BJ5" s="59">
        <f t="shared" ref="BJ5:BJ68" si="38">$BJ$3</f>
        <v>148.87330541103535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2.7143999999999999</v>
      </c>
      <c r="D6" s="11">
        <f t="shared" si="32"/>
        <v>1.1136437287183383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29.549811239229282</v>
      </c>
      <c r="H6" s="66">
        <f t="shared" si="1"/>
        <v>300.00050949418443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6.8</v>
      </c>
      <c r="N6" s="13">
        <f>IF('Données projet'!$A$36&gt;35,N5+M6-V5,IF(A6&lt;'Données projet'!$A$36,$K$205^A6,IF(A6='Données projet'!$A$36,'Données projet'!$B$36,N5+M6-V5)))</f>
        <v>8.2963554401312951</v>
      </c>
      <c r="O6" s="13">
        <f>N6*VLOOKUP('Données projet'!$B$9,Paramètres!$A$1:$I$89,3,0)*VLOOKUP('Données projet'!$B$9,Paramètres!$A$1:$I$89,5,0)</f>
        <v>7.5065424022307949</v>
      </c>
      <c r="P6" s="13">
        <f t="shared" si="33"/>
        <v>2.7358406474604431</v>
      </c>
      <c r="Q6" s="20">
        <f t="shared" si="2"/>
        <v>17.838817144878906</v>
      </c>
      <c r="R6" s="59">
        <f t="shared" si="0"/>
        <v>311.17215047821225</v>
      </c>
      <c r="S6" s="59">
        <f ca="1">AVERAGE(OFFSET($R$3,0,0,'Données projet'!$E$9+1,1))-AVERAGE(OFFSET($H$3,0,0,'Données projet'!$E$9+1,1))</f>
        <v>295.41366969872354</v>
      </c>
      <c r="T6" s="59">
        <f t="shared" si="34"/>
        <v>415.02188573182912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1.4</v>
      </c>
      <c r="AI6" s="13">
        <f>IF('Données projet'!$A$62&gt;35,AI5+AH6-AQ5,IF(A6&lt;'Données projet'!$A$62,$AF$205^A6,IF(A6='Données projet'!$A$62,'Données projet'!$B$62,AI5+AH6-AQ5)))</f>
        <v>2.2071833466585677</v>
      </c>
      <c r="AJ6" s="13">
        <f>AI6*VLOOKUP('Données projet'!$B$10,Paramètres!$A$1:$I$89,3,0)*VLOOKUP('Données projet'!$B$10,Paramètres!$A$1:$I$89,5,0)</f>
        <v>1.4461465287306936</v>
      </c>
      <c r="AK6" s="13">
        <f t="shared" si="35"/>
        <v>0.63843347846122611</v>
      </c>
      <c r="AL6" s="20">
        <f t="shared" si="4"/>
        <v>3.6306435125259271</v>
      </c>
      <c r="AM6" s="59">
        <f t="shared" si="5"/>
        <v>296.96397684585924</v>
      </c>
      <c r="AN6" s="59">
        <f ca="1">AVERAGE(OFFSET($AM$3,0,0,'Données projet'!$E$10+1,1))-AVERAGE(OFFSET($H$3,0,0,'Données projet'!$E$10+1,1))</f>
        <v>173.80737004674131</v>
      </c>
      <c r="AO6" s="59">
        <f t="shared" si="36"/>
        <v>206.06552061664968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2.9</v>
      </c>
      <c r="BD6" s="12">
        <f>IF('Données projet'!$A$88&gt;35,BD5+BC6-BL5,IF(A6&lt;'Données projet'!$A$88,$BA$205^A6,IF(A6='Données projet'!$A$88,'Données projet'!$B$88,BD5+BC6-BL5)))</f>
        <v>2.7461192933624794</v>
      </c>
      <c r="BE6" s="13">
        <f>BD6*VLOOKUP('Données projet'!$B$11,Paramètres!$A$1:$I$89,3,0)*VLOOKUP('Données projet'!$B$11,Paramètres!$A$1:$I$89,5,0)</f>
        <v>1.7564179000346416</v>
      </c>
      <c r="BF6" s="13">
        <f t="shared" si="37"/>
        <v>0.75806289039722008</v>
      </c>
      <c r="BG6" s="20">
        <f t="shared" si="7"/>
        <v>4.3793873766688254</v>
      </c>
      <c r="BH6" s="59">
        <f t="shared" si="8"/>
        <v>297.71272071000215</v>
      </c>
      <c r="BI6" s="59">
        <f ca="1">AVERAGE(OFFSET($BH$3,0,0,'Données projet'!$E$11+1,1))-AVERAGE(OFFSET($H$3,0,0,'Données projet'!$E$11+1,1))</f>
        <v>136.80149066064263</v>
      </c>
      <c r="BJ6" s="59">
        <f t="shared" si="38"/>
        <v>148.87330541103535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3.6191999999999998</v>
      </c>
      <c r="D7" s="11">
        <f t="shared" si="32"/>
        <v>1.4359593421107981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39.022282640855288</v>
      </c>
      <c r="H7" s="66">
        <f t="shared" si="1"/>
        <v>302.1377358541763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6.8</v>
      </c>
      <c r="N7" s="13">
        <f>IF('Données projet'!$A$36&gt;35,N6+M7-V6,IF(A7&lt;'Données projet'!$A$36,$K$205^A7,IF(A7='Données projet'!$A$36,'Données projet'!$B$36,N6+M7-V6)))</f>
        <v>16.795120867813488</v>
      </c>
      <c r="O7" s="13">
        <f>N7*VLOOKUP('Données projet'!$B$9,Paramètres!$A$1:$I$89,3,0)*VLOOKUP('Données projet'!$B$9,Paramètres!$A$1:$I$89,5,0)</f>
        <v>15.196225361197643</v>
      </c>
      <c r="P7" s="13">
        <f t="shared" si="33"/>
        <v>5.1019212633160578</v>
      </c>
      <c r="Q7" s="20">
        <f t="shared" si="2"/>
        <v>35.352605371028027</v>
      </c>
      <c r="R7" s="59">
        <f t="shared" si="0"/>
        <v>328.68593870436132</v>
      </c>
      <c r="S7" s="59">
        <f ca="1">AVERAGE(OFFSET($R$3,0,0,'Données projet'!$E$9+1,1))-AVERAGE(OFFSET($H$3,0,0,'Données projet'!$E$9+1,1))</f>
        <v>295.41366969872354</v>
      </c>
      <c r="T7" s="59">
        <f t="shared" si="34"/>
        <v>415.02188573182912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1.4</v>
      </c>
      <c r="AI7" s="13">
        <f>IF('Données projet'!$A$62&gt;35,AI6+AH7-AQ6,IF(A7&lt;'Données projet'!$A$62,$AF$205^A7,IF(A7='Données projet'!$A$62,'Données projet'!$B$62,AI6+AH7-AQ6)))</f>
        <v>2.873764756028137</v>
      </c>
      <c r="AJ7" s="13">
        <f>AI7*VLOOKUP('Données projet'!$B$10,Paramètres!$A$1:$I$89,3,0)*VLOOKUP('Données projet'!$B$10,Paramètres!$A$1:$I$89,5,0)</f>
        <v>1.8828906681496353</v>
      </c>
      <c r="AK7" s="13">
        <f t="shared" si="35"/>
        <v>0.80609741025839377</v>
      </c>
      <c r="AL7" s="20">
        <f t="shared" si="4"/>
        <v>4.6833209032273171</v>
      </c>
      <c r="AM7" s="59">
        <f t="shared" si="5"/>
        <v>298.01665423656061</v>
      </c>
      <c r="AN7" s="59">
        <f ca="1">AVERAGE(OFFSET($AM$3,0,0,'Données projet'!$E$10+1,1))-AVERAGE(OFFSET($H$3,0,0,'Données projet'!$E$10+1,1))</f>
        <v>173.80737004674131</v>
      </c>
      <c r="AO7" s="59">
        <f t="shared" si="36"/>
        <v>206.06552061664968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2.9</v>
      </c>
      <c r="BD7" s="12">
        <f>IF('Données projet'!$A$88&gt;35,BD6+BC7-BL6,IF(A7&lt;'Données projet'!$A$88,$BA$205^A7,IF(A7='Données projet'!$A$88,'Données projet'!$B$88,BD6+BC7-BL6)))</f>
        <v>3.8455565234187756</v>
      </c>
      <c r="BE7" s="13">
        <f>BD7*VLOOKUP('Données projet'!$B$11,Paramètres!$A$1:$I$89,3,0)*VLOOKUP('Données projet'!$B$11,Paramètres!$A$1:$I$89,5,0)</f>
        <v>2.459617952378649</v>
      </c>
      <c r="BF7" s="13">
        <f t="shared" si="37"/>
        <v>1.0207578397987471</v>
      </c>
      <c r="BG7" s="20">
        <f t="shared" si="7"/>
        <v>6.0616545047089643</v>
      </c>
      <c r="BH7" s="59">
        <f t="shared" si="8"/>
        <v>299.39498783804225</v>
      </c>
      <c r="BI7" s="59">
        <f ca="1">AVERAGE(OFFSET($BH$3,0,0,'Données projet'!$E$11+1,1))-AVERAGE(OFFSET($H$3,0,0,'Données projet'!$E$11+1,1))</f>
        <v>136.80149066064263</v>
      </c>
      <c r="BJ7" s="59">
        <f t="shared" si="38"/>
        <v>148.87330541103535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4.524</v>
      </c>
      <c r="D8" s="11">
        <f t="shared" si="32"/>
        <v>1.7489275978599472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48.42259900102416</v>
      </c>
      <c r="H8" s="66">
        <f t="shared" si="1"/>
        <v>304.25868223293941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>
        <f>VLOOKUP(A8,'Données projet'!$A$35:$I$55,2,0)</f>
        <v>34</v>
      </c>
      <c r="L8" s="12">
        <f>VLOOKUP(A8,'Données projet'!$A$35:$I$55,9,0)</f>
        <v>6.8</v>
      </c>
      <c r="M8" s="12">
        <f t="array" ref="M8">INDEX(L:L,MIN(IF(ISNUMBER(L8:L204),ROW(L8:L204),"")))</f>
        <v>6.8</v>
      </c>
      <c r="N8" s="13">
        <f>IF('Données projet'!$A$36&gt;35,N7+M8-V7,IF(A8&lt;'Données projet'!$A$36,$K$205^A8,IF(A8='Données projet'!$A$36,'Données projet'!$B$36,N7+M8-V7)))</f>
        <v>34</v>
      </c>
      <c r="O8" s="13">
        <f>N8*VLOOKUP('Données projet'!$B$9,Paramètres!$A$1:$I$89,3,0)*VLOOKUP('Données projet'!$B$9,Paramètres!$A$1:$I$89,5,0)</f>
        <v>30.763199999999998</v>
      </c>
      <c r="P8" s="13">
        <f t="shared" si="33"/>
        <v>9.5142970411082253</v>
      </c>
      <c r="Q8" s="20">
        <f t="shared" si="2"/>
        <v>70.149974013263474</v>
      </c>
      <c r="R8" s="59">
        <f t="shared" si="0"/>
        <v>363.4833073465968</v>
      </c>
      <c r="S8" s="59">
        <f ca="1">AVERAGE(OFFSET($R$3,0,0,'Données projet'!$E$9+1,1))-AVERAGE(OFFSET($H$3,0,0,'Données projet'!$E$9+1,1))</f>
        <v>295.41366969872354</v>
      </c>
      <c r="T8" s="59">
        <f t="shared" si="34"/>
        <v>415.02188573182912</v>
      </c>
      <c r="U8" s="15">
        <f>IF(ISNA(VLOOKUP(A8,'Données projet'!$A$35:$I$55,3,0)),0,VLOOKUP(A8,'Données projet'!$A$35:$I$55,3,0))</f>
        <v>1</v>
      </c>
      <c r="V8" s="15">
        <f>IF(ISNA(VLOOKUP(A8,'Données projet'!$A$35:$I$55,4,0)),0,VLOOKUP(A8,'Données projet'!$A$35:$I$55,4,0))</f>
        <v>6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1.4</v>
      </c>
      <c r="AI8" s="13">
        <f>IF('Données projet'!$A$62&gt;35,AI7+AH8-AQ7,IF(A8&lt;'Données projet'!$A$62,$AF$205^A8,IF(A8='Données projet'!$A$62,'Données projet'!$B$62,AI7+AH8-AQ7)))</f>
        <v>3.7416573867739413</v>
      </c>
      <c r="AJ8" s="13">
        <f>AI8*VLOOKUP('Données projet'!$B$10,Paramètres!$A$1:$I$89,3,0)*VLOOKUP('Données projet'!$B$10,Paramètres!$A$1:$I$89,5,0)</f>
        <v>2.4515339198142865</v>
      </c>
      <c r="AK8" s="13">
        <f t="shared" si="35"/>
        <v>1.0177928582182787</v>
      </c>
      <c r="AL8" s="20">
        <f t="shared" si="4"/>
        <v>6.0424108050733842</v>
      </c>
      <c r="AM8" s="59">
        <f t="shared" si="5"/>
        <v>299.37574413840667</v>
      </c>
      <c r="AN8" s="59">
        <f ca="1">AVERAGE(OFFSET($AM$3,0,0,'Données projet'!$E$10+1,1))-AVERAGE(OFFSET($H$3,0,0,'Données projet'!$E$10+1,1))</f>
        <v>173.80737004674131</v>
      </c>
      <c r="AO8" s="59">
        <f t="shared" si="36"/>
        <v>206.06552061664968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2.9</v>
      </c>
      <c r="BD8" s="12">
        <f>IF('Données projet'!$A$88&gt;35,BD7+BC8-BL7,IF(A8&lt;'Données projet'!$A$88,$BA$205^A8,IF(A8='Données projet'!$A$88,'Données projet'!$B$88,BD7+BC8-BL7)))</f>
        <v>5.3851648071345055</v>
      </c>
      <c r="BE8" s="13">
        <f>BD8*VLOOKUP('Données projet'!$B$11,Paramètres!$A$1:$I$89,3,0)*VLOOKUP('Données projet'!$B$11,Paramètres!$A$1:$I$89,5,0)</f>
        <v>3.4443514106432298</v>
      </c>
      <c r="BF8" s="13">
        <f t="shared" si="37"/>
        <v>1.3744856537755477</v>
      </c>
      <c r="BG8" s="20">
        <f t="shared" si="7"/>
        <v>8.392807887196037</v>
      </c>
      <c r="BH8" s="59">
        <f t="shared" si="8"/>
        <v>301.72614122052937</v>
      </c>
      <c r="BI8" s="59">
        <f ca="1">AVERAGE(OFFSET($BH$3,0,0,'Données projet'!$E$11+1,1))-AVERAGE(OFFSET($H$3,0,0,'Données projet'!$E$11+1,1))</f>
        <v>136.80149066064263</v>
      </c>
      <c r="BJ8" s="59">
        <f t="shared" si="38"/>
        <v>148.87330541103535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5.4287999999999998</v>
      </c>
      <c r="D9" s="11">
        <f t="shared" si="32"/>
        <v>2.0546430333413586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57.766928678424527</v>
      </c>
      <c r="H9" s="66">
        <f t="shared" si="1"/>
        <v>306.36699661640284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14</v>
      </c>
      <c r="N9" s="13">
        <f>IF('Données projet'!$A$36&gt;35,N8+M9-V8,IF(A9&lt;'Données projet'!$A$36,$K$205^A9,IF(A9='Données projet'!$A$36,'Données projet'!$B$36,N8+M9-V8)))</f>
        <v>42</v>
      </c>
      <c r="O9" s="13">
        <f>N9*VLOOKUP('Données projet'!$B$9,Paramètres!$A$1:$I$89,3,0)*VLOOKUP('Données projet'!$B$9,Paramètres!$A$1:$I$89,5,0)</f>
        <v>38.001600000000003</v>
      </c>
      <c r="P9" s="13">
        <f t="shared" si="33"/>
        <v>11.467401227090512</v>
      </c>
      <c r="Q9" s="20">
        <f t="shared" si="2"/>
        <v>86.158510470515978</v>
      </c>
      <c r="R9" s="59">
        <f t="shared" si="0"/>
        <v>379.49184380384929</v>
      </c>
      <c r="S9" s="59">
        <f ca="1">AVERAGE(OFFSET($R$3,0,0,'Données projet'!$E$9+1,1))-AVERAGE(OFFSET($H$3,0,0,'Données projet'!$E$9+1,1))</f>
        <v>295.41366969872354</v>
      </c>
      <c r="T9" s="59">
        <f t="shared" si="34"/>
        <v>415.02188573182912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1.4</v>
      </c>
      <c r="AI9" s="13">
        <f>IF('Données projet'!$A$62&gt;35,AI8+AH9-AQ8,IF(A9&lt;'Données projet'!$A$62,$AF$205^A9,IF(A9='Données projet'!$A$62,'Données projet'!$B$62,AI8+AH9-AQ8)))</f>
        <v>4.8716583257669139</v>
      </c>
      <c r="AJ9" s="13">
        <f>AI9*VLOOKUP('Données projet'!$B$10,Paramètres!$A$1:$I$89,3,0)*VLOOKUP('Données projet'!$B$10,Paramètres!$A$1:$I$89,5,0)</f>
        <v>3.1919105350424819</v>
      </c>
      <c r="AK9" s="13">
        <f t="shared" si="35"/>
        <v>1.2850832778486103</v>
      </c>
      <c r="AL9" s="20">
        <f t="shared" si="4"/>
        <v>7.7974308907853205</v>
      </c>
      <c r="AM9" s="59">
        <f t="shared" si="5"/>
        <v>301.13076422411865</v>
      </c>
      <c r="AN9" s="59">
        <f ca="1">AVERAGE(OFFSET($AM$3,0,0,'Données projet'!$E$10+1,1))-AVERAGE(OFFSET($H$3,0,0,'Données projet'!$E$10+1,1))</f>
        <v>173.80737004674131</v>
      </c>
      <c r="AO9" s="59">
        <f t="shared" si="36"/>
        <v>206.06552061664968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2.9</v>
      </c>
      <c r="BD9" s="12">
        <f>IF('Données projet'!$A$88&gt;35,BD8+BC9-BL8,IF(A9&lt;'Données projet'!$A$88,$BA$205^A9,IF(A9='Données projet'!$A$88,'Données projet'!$B$88,BD8+BC9-BL8)))</f>
        <v>7.5411711733776423</v>
      </c>
      <c r="BE9" s="13">
        <f>BD9*VLOOKUP('Données projet'!$B$11,Paramètres!$A$1:$I$89,3,0)*VLOOKUP('Données projet'!$B$11,Paramètres!$A$1:$I$89,5,0)</f>
        <v>4.8233330824923399</v>
      </c>
      <c r="BF9" s="13">
        <f t="shared" si="37"/>
        <v>1.850792361102289</v>
      </c>
      <c r="BG9" s="20">
        <f t="shared" si="7"/>
        <v>11.624101814260646</v>
      </c>
      <c r="BH9" s="59">
        <f t="shared" si="8"/>
        <v>304.95743514759397</v>
      </c>
      <c r="BI9" s="59">
        <f ca="1">AVERAGE(OFFSET($BH$3,0,0,'Données projet'!$E$11+1,1))-AVERAGE(OFFSET($H$3,0,0,'Données projet'!$E$11+1,1))</f>
        <v>136.80149066064263</v>
      </c>
      <c r="BJ9" s="59">
        <f t="shared" si="38"/>
        <v>148.87330541103535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6.3335999999999997</v>
      </c>
      <c r="D10" s="11">
        <f t="shared" si="32"/>
        <v>2.3544559158145972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67.065694788744267</v>
      </c>
      <c r="H10" s="66">
        <f t="shared" si="1"/>
        <v>308.46503072004373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14</v>
      </c>
      <c r="N10" s="13">
        <f>IF('Données projet'!$A$36&gt;35,N9+M10-V9,IF(A10&lt;'Données projet'!$A$36,$K$205^A10,IF(A10='Données projet'!$A$36,'Données projet'!$B$36,N9+M10-V9)))</f>
        <v>56</v>
      </c>
      <c r="O10" s="13">
        <f>N10*VLOOKUP('Données projet'!$B$9,Paramètres!$A$1:$I$89,3,0)*VLOOKUP('Données projet'!$B$9,Paramètres!$A$1:$I$89,5,0)</f>
        <v>50.668799999999997</v>
      </c>
      <c r="P10" s="13">
        <f t="shared" si="33"/>
        <v>14.786346384516113</v>
      </c>
      <c r="Q10" s="20">
        <f t="shared" si="2"/>
        <v>114.0010466196989</v>
      </c>
      <c r="R10" s="59">
        <f t="shared" si="0"/>
        <v>407.33437995303223</v>
      </c>
      <c r="S10" s="59">
        <f ca="1">AVERAGE(OFFSET($R$3,0,0,'Données projet'!$E$9+1,1))-AVERAGE(OFFSET($H$3,0,0,'Données projet'!$E$9+1,1))</f>
        <v>295.41366969872354</v>
      </c>
      <c r="T10" s="59">
        <f t="shared" si="34"/>
        <v>415.02188573182912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1.4</v>
      </c>
      <c r="AI10" s="13">
        <f>IF('Données projet'!$A$62&gt;35,AI9+AH10-AQ9,IF(A10&lt;'Données projet'!$A$62,$AF$205^A10,IF(A10='Données projet'!$A$62,'Données projet'!$B$62,AI9+AH10-AQ9)))</f>
        <v>6.3429257117196256</v>
      </c>
      <c r="AJ10" s="13">
        <f>AI10*VLOOKUP('Données projet'!$B$10,Paramètres!$A$1:$I$89,3,0)*VLOOKUP('Données projet'!$B$10,Paramètres!$A$1:$I$89,5,0)</f>
        <v>4.1558849263186985</v>
      </c>
      <c r="AK10" s="13">
        <f t="shared" si="35"/>
        <v>1.6225688927480735</v>
      </c>
      <c r="AL10" s="20">
        <f t="shared" si="4"/>
        <v>10.064140401541296</v>
      </c>
      <c r="AM10" s="59">
        <f t="shared" si="5"/>
        <v>303.39747373487461</v>
      </c>
      <c r="AN10" s="59">
        <f ca="1">AVERAGE(OFFSET($AM$3,0,0,'Données projet'!$E$10+1,1))-AVERAGE(OFFSET($H$3,0,0,'Données projet'!$E$10+1,1))</f>
        <v>173.80737004674131</v>
      </c>
      <c r="AO10" s="59">
        <f t="shared" si="36"/>
        <v>206.06552061664968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2.9</v>
      </c>
      <c r="BD10" s="12">
        <f>IF('Données projet'!$A$88&gt;35,BD9+BC10-BL9,IF(A10&lt;'Données projet'!$A$88,$BA$205^A10,IF(A10='Données projet'!$A$88,'Données projet'!$B$88,BD9+BC10-BL9)))</f>
        <v>10.560356962676241</v>
      </c>
      <c r="BE10" s="13">
        <f>BD10*VLOOKUP('Données projet'!$B$11,Paramètres!$A$1:$I$89,3,0)*VLOOKUP('Données projet'!$B$11,Paramètres!$A$1:$I$89,5,0)</f>
        <v>6.754404313327723</v>
      </c>
      <c r="BF10" s="13">
        <f t="shared" si="37"/>
        <v>2.4921557780580192</v>
      </c>
      <c r="BG10" s="20">
        <f t="shared" si="7"/>
        <v>16.104425492496834</v>
      </c>
      <c r="BH10" s="59">
        <f t="shared" si="8"/>
        <v>309.43775882583014</v>
      </c>
      <c r="BI10" s="59">
        <f ca="1">AVERAGE(OFFSET($BH$3,0,0,'Données projet'!$E$11+1,1))-AVERAGE(OFFSET($H$3,0,0,'Données projet'!$E$11+1,1))</f>
        <v>136.80149066064263</v>
      </c>
      <c r="BJ10" s="59">
        <f t="shared" si="38"/>
        <v>148.87330541103535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7.2383999999999995</v>
      </c>
      <c r="D11" s="11">
        <f t="shared" si="32"/>
        <v>2.6493067597344675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76.326157443564313</v>
      </c>
      <c r="H11" s="66">
        <f t="shared" si="1"/>
        <v>310.55442260653751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14</v>
      </c>
      <c r="N11" s="13">
        <f>IF('Données projet'!$A$36&gt;35,N10+M11-V10,IF(A11&lt;'Données projet'!$A$36,$K$205^A11,IF(A11='Données projet'!$A$36,'Données projet'!$B$36,N10+M11-V10)))</f>
        <v>70</v>
      </c>
      <c r="O11" s="13">
        <f>N11*VLOOKUP('Données projet'!$B$9,Paramètres!$A$1:$I$89,3,0)*VLOOKUP('Données projet'!$B$9,Paramètres!$A$1:$I$89,5,0)</f>
        <v>63.335999999999991</v>
      </c>
      <c r="P11" s="13">
        <f t="shared" si="33"/>
        <v>18.009040022946227</v>
      </c>
      <c r="Q11" s="20">
        <f t="shared" si="2"/>
        <v>141.67594470663133</v>
      </c>
      <c r="R11" s="59">
        <f t="shared" si="0"/>
        <v>435.00927803996467</v>
      </c>
      <c r="S11" s="59">
        <f ca="1">AVERAGE(OFFSET($R$3,0,0,'Données projet'!$E$9+1,1))-AVERAGE(OFFSET($H$3,0,0,'Données projet'!$E$9+1,1))</f>
        <v>295.41366969872354</v>
      </c>
      <c r="T11" s="59">
        <f t="shared" si="34"/>
        <v>415.02188573182912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1.4</v>
      </c>
      <c r="AI11" s="13">
        <f>IF('Données projet'!$A$62&gt;35,AI10+AH11-AQ10,IF(A11&lt;'Données projet'!$A$62,$AF$205^A11,IF(A11='Données projet'!$A$62,'Données projet'!$B$62,AI10+AH11-AQ10)))</f>
        <v>8.258523872989457</v>
      </c>
      <c r="AJ11" s="13">
        <f>AI11*VLOOKUP('Données projet'!$B$10,Paramètres!$A$1:$I$89,3,0)*VLOOKUP('Données projet'!$B$10,Paramètres!$A$1:$I$89,5,0)</f>
        <v>5.4109848415826924</v>
      </c>
      <c r="AK11" s="13">
        <f t="shared" si="35"/>
        <v>2.0486842036581692</v>
      </c>
      <c r="AL11" s="20">
        <f t="shared" si="4"/>
        <v>12.992256920461166</v>
      </c>
      <c r="AM11" s="59">
        <f t="shared" si="5"/>
        <v>306.32559025379447</v>
      </c>
      <c r="AN11" s="59">
        <f ca="1">AVERAGE(OFFSET($AM$3,0,0,'Données projet'!$E$10+1,1))-AVERAGE(OFFSET($H$3,0,0,'Données projet'!$E$10+1,1))</f>
        <v>173.80737004674131</v>
      </c>
      <c r="AO11" s="59">
        <f t="shared" si="36"/>
        <v>206.06552061664968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2.9</v>
      </c>
      <c r="BD11" s="12">
        <f>IF('Données projet'!$A$88&gt;35,BD10+BC11-BL10,IF(A11&lt;'Données projet'!$A$88,$BA$205^A11,IF(A11='Données projet'!$A$88,'Données projet'!$B$88,BD10+BC11-BL10)))</f>
        <v>14.7883049748087</v>
      </c>
      <c r="BE11" s="13">
        <f>BD11*VLOOKUP('Données projet'!$B$11,Paramètres!$A$1:$I$89,3,0)*VLOOKUP('Données projet'!$B$11,Paramètres!$A$1:$I$89,5,0)</f>
        <v>9.4585998618876435</v>
      </c>
      <c r="BF11" s="13">
        <f t="shared" si="37"/>
        <v>3.3557737500110156</v>
      </c>
      <c r="BG11" s="20">
        <f t="shared" si="7"/>
        <v>22.318367374056834</v>
      </c>
      <c r="BH11" s="59">
        <f t="shared" si="8"/>
        <v>315.65170070739015</v>
      </c>
      <c r="BI11" s="59">
        <f ca="1">AVERAGE(OFFSET($BH$3,0,0,'Données projet'!$E$11+1,1))-AVERAGE(OFFSET($H$3,0,0,'Données projet'!$E$11+1,1))</f>
        <v>136.80149066064263</v>
      </c>
      <c r="BJ11" s="59">
        <f t="shared" si="38"/>
        <v>148.87330541103535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8.1432000000000002</v>
      </c>
      <c r="D12" s="11">
        <f t="shared" si="32"/>
        <v>2.9398868551895574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85.553652917252734</v>
      </c>
      <c r="H12" s="66">
        <f t="shared" si="1"/>
        <v>312.63637627278848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14</v>
      </c>
      <c r="N12" s="13">
        <f>IF('Données projet'!$A$36&gt;35,N11+M12-V11,IF(A12&lt;'Données projet'!$A$36,$K$205^A12,IF(A12='Données projet'!$A$36,'Données projet'!$B$36,N11+M12-V11)))</f>
        <v>84</v>
      </c>
      <c r="O12" s="13">
        <f>N12*VLOOKUP('Données projet'!$B$9,Paramètres!$A$1:$I$89,3,0)*VLOOKUP('Données projet'!$B$9,Paramètres!$A$1:$I$89,5,0)</f>
        <v>76.003200000000007</v>
      </c>
      <c r="P12" s="13">
        <f t="shared" si="33"/>
        <v>21.157049992000456</v>
      </c>
      <c r="Q12" s="20">
        <f t="shared" si="2"/>
        <v>169.22076873606747</v>
      </c>
      <c r="R12" s="59">
        <f t="shared" si="0"/>
        <v>462.55410206940076</v>
      </c>
      <c r="S12" s="59">
        <f ca="1">AVERAGE(OFFSET($R$3,0,0,'Données projet'!$E$9+1,1))-AVERAGE(OFFSET($H$3,0,0,'Données projet'!$E$9+1,1))</f>
        <v>295.41366969872354</v>
      </c>
      <c r="T12" s="59">
        <f t="shared" si="34"/>
        <v>415.02188573182912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1.4</v>
      </c>
      <c r="AI12" s="13">
        <f>IF('Données projet'!$A$62&gt;35,AI11+AH12-AQ11,IF(A12&lt;'Données projet'!$A$62,$AF$205^A12,IF(A12='Données projet'!$A$62,'Données projet'!$B$62,AI11+AH12-AQ11)))</f>
        <v>10.752643127243291</v>
      </c>
      <c r="AJ12" s="13">
        <f>AI12*VLOOKUP('Données projet'!$B$10,Paramètres!$A$1:$I$89,3,0)*VLOOKUP('Données projet'!$B$10,Paramètres!$A$1:$I$89,5,0)</f>
        <v>7.0451317769698045</v>
      </c>
      <c r="AK12" s="13">
        <f t="shared" si="35"/>
        <v>2.5867049375081068</v>
      </c>
      <c r="AL12" s="20">
        <f t="shared" si="4"/>
        <v>16.775448944382362</v>
      </c>
      <c r="AM12" s="59">
        <f t="shared" si="5"/>
        <v>310.1087822777157</v>
      </c>
      <c r="AN12" s="59">
        <f ca="1">AVERAGE(OFFSET($AM$3,0,0,'Données projet'!$E$10+1,1))-AVERAGE(OFFSET($H$3,0,0,'Données projet'!$E$10+1,1))</f>
        <v>173.80737004674131</v>
      </c>
      <c r="AO12" s="59">
        <f t="shared" si="36"/>
        <v>206.06552061664968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2.9</v>
      </c>
      <c r="BD12" s="12">
        <f>IF('Données projet'!$A$88&gt;35,BD11+BC12-BL11,IF(A12&lt;'Données projet'!$A$88,$BA$205^A12,IF(A12='Données projet'!$A$88,'Données projet'!$B$88,BD11+BC12-BL11)))</f>
        <v>20.708955653761308</v>
      </c>
      <c r="BE12" s="13">
        <f>BD12*VLOOKUP('Données projet'!$B$11,Paramètres!$A$1:$I$89,3,0)*VLOOKUP('Données projet'!$B$11,Paramètres!$A$1:$I$89,5,0)</f>
        <v>13.245448036145733</v>
      </c>
      <c r="BF12" s="13">
        <f t="shared" si="37"/>
        <v>4.5186651494306522</v>
      </c>
      <c r="BG12" s="20">
        <f t="shared" si="7"/>
        <v>30.939163798212203</v>
      </c>
      <c r="BH12" s="59">
        <f t="shared" si="8"/>
        <v>324.27249713154549</v>
      </c>
      <c r="BI12" s="59">
        <f ca="1">AVERAGE(OFFSET($BH$3,0,0,'Données projet'!$E$11+1,1))-AVERAGE(OFFSET($H$3,0,0,'Données projet'!$E$11+1,1))</f>
        <v>136.80149066064263</v>
      </c>
      <c r="BJ12" s="59">
        <f t="shared" si="38"/>
        <v>148.87330541103535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9.048</v>
      </c>
      <c r="D13" s="11">
        <f t="shared" si="32"/>
        <v>3.226724860110286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94.752262078044325</v>
      </c>
      <c r="H13" s="66">
        <f t="shared" si="1"/>
        <v>314.71181246469206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>
        <f>VLOOKUP(A13,'Données projet'!$A$35:$I$55,2,0)</f>
        <v>98</v>
      </c>
      <c r="L13" s="12">
        <f>VLOOKUP(A13,'Données projet'!$A$35:$I$55,9,0)</f>
        <v>14</v>
      </c>
      <c r="M13" s="12">
        <f t="array" ref="M13">INDEX(L:L,MIN(IF(ISNUMBER(L13:L209),ROW(L13:L209),"")))</f>
        <v>14</v>
      </c>
      <c r="N13" s="13">
        <f>IF('Données projet'!$A$36&gt;35,N12+M13-V12,IF(A13&lt;'Données projet'!$A$36,$K$205^A13,IF(A13='Données projet'!$A$36,'Données projet'!$B$36,N12+M13-V12)))</f>
        <v>98</v>
      </c>
      <c r="O13" s="13">
        <f>N13*VLOOKUP('Données projet'!$B$9,Paramètres!$A$1:$I$89,3,0)*VLOOKUP('Données projet'!$B$9,Paramètres!$A$1:$I$89,5,0)</f>
        <v>88.670400000000001</v>
      </c>
      <c r="P13" s="13">
        <f t="shared" si="33"/>
        <v>24.244280250395512</v>
      </c>
      <c r="Q13" s="20">
        <f t="shared" si="2"/>
        <v>196.65973476943884</v>
      </c>
      <c r="R13" s="59">
        <f t="shared" si="0"/>
        <v>489.99306810277216</v>
      </c>
      <c r="S13" s="59">
        <f ca="1">AVERAGE(OFFSET($R$3,0,0,'Données projet'!$E$9+1,1))-AVERAGE(OFFSET($H$3,0,0,'Données projet'!$E$9+1,1))</f>
        <v>295.41366969872354</v>
      </c>
      <c r="T13" s="59">
        <f t="shared" si="34"/>
        <v>415.02188573182912</v>
      </c>
      <c r="U13" s="15">
        <f>IF(ISNA(VLOOKUP(A13,'Données projet'!$A$35:$I$55,3,0)),0,VLOOKUP(A13,'Données projet'!$A$35:$I$55,3,0))</f>
        <v>2</v>
      </c>
      <c r="V13" s="15">
        <f>IF(ISNA(VLOOKUP(A13,'Données projet'!$A$35:$I$55,4,0)),0,VLOOKUP(A13,'Données projet'!$A$35:$I$55,4,0))</f>
        <v>28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14</v>
      </c>
      <c r="AG13" s="12">
        <f>VLOOKUP(A13,'Données projet'!$A$61:$I$81,9,0)</f>
        <v>1.4</v>
      </c>
      <c r="AH13" s="12">
        <f t="array" ref="AH13">INDEX(AG:AG,MIN(IF(ISNUMBER(AG13:AG209),ROW(AG13:AG209),"")))</f>
        <v>1.4</v>
      </c>
      <c r="AI13" s="13">
        <f>IF('Données projet'!$A$62&gt;35,AI12+AH13-AQ12,IF(A13&lt;'Données projet'!$A$62,$AF$205^A13,IF(A13='Données projet'!$A$62,'Données projet'!$B$62,AI12+AH13-AQ12)))</f>
        <v>14</v>
      </c>
      <c r="AJ13" s="13">
        <f>AI13*VLOOKUP('Données projet'!$B$10,Paramètres!$A$1:$I$89,3,0)*VLOOKUP('Données projet'!$B$10,Paramètres!$A$1:$I$89,5,0)</f>
        <v>9.1728000000000005</v>
      </c>
      <c r="AK13" s="13">
        <f t="shared" si="35"/>
        <v>3.2660194391020205</v>
      </c>
      <c r="AL13" s="20">
        <f t="shared" si="4"/>
        <v>21.664277189769351</v>
      </c>
      <c r="AM13" s="59">
        <f t="shared" si="5"/>
        <v>314.99761052310265</v>
      </c>
      <c r="AN13" s="59">
        <f ca="1">AVERAGE(OFFSET($AM$3,0,0,'Données projet'!$E$10+1,1))-AVERAGE(OFFSET($H$3,0,0,'Données projet'!$E$10+1,1))</f>
        <v>173.80737004674131</v>
      </c>
      <c r="AO13" s="59">
        <f t="shared" si="36"/>
        <v>206.06552061664968</v>
      </c>
      <c r="AP13" s="15">
        <f>IF(ISNA(VLOOKUP(A13,'Données projet'!$A$61:$I$81,3,0)),0,VLOOKUP(A13,'Données projet'!$A$61:$I$81,3,0))</f>
        <v>1</v>
      </c>
      <c r="AQ13" s="15">
        <f>IF(ISNA(VLOOKUP(A13,'Données projet'!$A$61:$I$81,4,0)),0,VLOOKUP(A13,'Données projet'!$A$61:$I$81,4,0))</f>
        <v>1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29</v>
      </c>
      <c r="BB13" s="12">
        <f>VLOOKUP(A13,'Données projet'!$A$87:$I$107,9,0)</f>
        <v>2.9</v>
      </c>
      <c r="BC13" s="12">
        <f t="array" ref="BC13">INDEX(BB:BB,MIN(IF(ISNUMBER(BB13:BB209),ROW(BB13:BB209),"")))</f>
        <v>2.9</v>
      </c>
      <c r="BD13" s="12">
        <f>IF('Données projet'!$A$88&gt;35,BD12+BC13-BL12,IF(A13&lt;'Données projet'!$A$88,$BA$205^A13,IF(A13='Données projet'!$A$88,'Données projet'!$B$88,BD12+BC13-BL12)))</f>
        <v>29</v>
      </c>
      <c r="BE13" s="13">
        <f>BD13*VLOOKUP('Données projet'!$B$11,Paramètres!$A$1:$I$89,3,0)*VLOOKUP('Données projet'!$B$11,Paramètres!$A$1:$I$89,5,0)</f>
        <v>18.548399999999997</v>
      </c>
      <c r="BF13" s="13">
        <f t="shared" si="37"/>
        <v>6.0845385457264758</v>
      </c>
      <c r="BG13" s="20">
        <f t="shared" si="7"/>
        <v>42.902367967140272</v>
      </c>
      <c r="BH13" s="59">
        <f t="shared" si="8"/>
        <v>336.23570130047358</v>
      </c>
      <c r="BI13" s="59">
        <f ca="1">AVERAGE(OFFSET($BH$3,0,0,'Données projet'!$E$11+1,1))-AVERAGE(OFFSET($H$3,0,0,'Données projet'!$E$11+1,1))</f>
        <v>136.80149066064263</v>
      </c>
      <c r="BJ13" s="59">
        <f t="shared" si="38"/>
        <v>148.87330541103535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9.9527999999999999</v>
      </c>
      <c r="D14" s="11">
        <f t="shared" si="32"/>
        <v>3.5102375824366896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103.92520239073936</v>
      </c>
      <c r="H14" s="66">
        <f t="shared" si="1"/>
        <v>316.78145712274386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14</v>
      </c>
      <c r="N14" s="13">
        <f>IF('Données projet'!$A$36&gt;35,N13+M14-V13,IF(A14&lt;'Données projet'!$A$36,$K$205^A14,IF(A14='Données projet'!$A$36,'Données projet'!$B$36,N13+M14-V13)))</f>
        <v>84</v>
      </c>
      <c r="O14" s="13">
        <f>N14*VLOOKUP('Données projet'!$B$9,Paramètres!$A$1:$I$89,3,0)*VLOOKUP('Données projet'!$B$9,Paramètres!$A$1:$I$89,5,0)</f>
        <v>76.003200000000007</v>
      </c>
      <c r="P14" s="13">
        <f t="shared" si="33"/>
        <v>21.157049992000456</v>
      </c>
      <c r="Q14" s="20">
        <f t="shared" si="2"/>
        <v>169.22076873606747</v>
      </c>
      <c r="R14" s="59">
        <f t="shared" si="0"/>
        <v>462.55410206940076</v>
      </c>
      <c r="S14" s="59">
        <f ca="1">AVERAGE(OFFSET($R$3,0,0,'Données projet'!$E$9+1,1))-AVERAGE(OFFSET($H$3,0,0,'Données projet'!$E$9+1,1))</f>
        <v>295.41366969872354</v>
      </c>
      <c r="T14" s="59">
        <f t="shared" si="34"/>
        <v>415.02188573182912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7.8</v>
      </c>
      <c r="AI14" s="13">
        <f>IF('Données projet'!$A$62&gt;35,AI13+AH14-AQ13,IF(A14&lt;'Données projet'!$A$62,$AF$205^A14,IF(A14='Données projet'!$A$62,'Données projet'!$B$62,AI13+AH14-AQ13)))</f>
        <v>20.8</v>
      </c>
      <c r="AJ14" s="13">
        <f>AI14*VLOOKUP('Données projet'!$B$10,Paramètres!$A$1:$I$89,3,0)*VLOOKUP('Données projet'!$B$10,Paramètres!$A$1:$I$89,5,0)</f>
        <v>13.628160000000001</v>
      </c>
      <c r="AK14" s="13">
        <f t="shared" si="35"/>
        <v>4.6338374564363161</v>
      </c>
      <c r="AL14" s="20">
        <f t="shared" si="4"/>
        <v>31.806312236626585</v>
      </c>
      <c r="AM14" s="59">
        <f t="shared" si="5"/>
        <v>325.1396455699599</v>
      </c>
      <c r="AN14" s="59">
        <f ca="1">AVERAGE(OFFSET($AM$3,0,0,'Données projet'!$E$10+1,1))-AVERAGE(OFFSET($H$3,0,0,'Données projet'!$E$10+1,1))</f>
        <v>173.80737004674131</v>
      </c>
      <c r="AO14" s="59">
        <f t="shared" si="36"/>
        <v>206.06552061664968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8.8000000000000007</v>
      </c>
      <c r="BD14" s="12">
        <f>IF('Données projet'!$A$88&gt;35,BD13+BC14-BL13,IF(A14&lt;'Données projet'!$A$88,$BA$205^A14,IF(A14='Données projet'!$A$88,'Données projet'!$B$88,BD13+BC14-BL13)))</f>
        <v>37.799999999999997</v>
      </c>
      <c r="BE14" s="13">
        <f>BD14*VLOOKUP('Données projet'!$B$11,Paramètres!$A$1:$I$89,3,0)*VLOOKUP('Données projet'!$B$11,Paramètres!$A$1:$I$89,5,0)</f>
        <v>24.176879999999997</v>
      </c>
      <c r="BF14" s="13">
        <f t="shared" si="37"/>
        <v>7.689967956066222</v>
      </c>
      <c r="BG14" s="20">
        <f t="shared" si="7"/>
        <v>55.501426856815328</v>
      </c>
      <c r="BH14" s="59">
        <f t="shared" si="8"/>
        <v>348.83476019014864</v>
      </c>
      <c r="BI14" s="59">
        <f ca="1">AVERAGE(OFFSET($BH$3,0,0,'Données projet'!$E$11+1,1))-AVERAGE(OFFSET($H$3,0,0,'Données projet'!$E$11+1,1))</f>
        <v>136.80149066064263</v>
      </c>
      <c r="BJ14" s="59">
        <f t="shared" si="38"/>
        <v>148.87330541103535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10.8576</v>
      </c>
      <c r="D15" s="11">
        <f t="shared" si="32"/>
        <v>3.7907617001683773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113.07507277322958</v>
      </c>
      <c r="H15" s="66">
        <f t="shared" si="1"/>
        <v>318.84589662779325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14</v>
      </c>
      <c r="N15" s="13">
        <f>IF('Données projet'!$A$36&gt;35,N14+M15-V14,IF(A15&lt;'Données projet'!$A$36,$K$205^A15,IF(A15='Données projet'!$A$36,'Données projet'!$B$36,N14+M15-V14)))</f>
        <v>98</v>
      </c>
      <c r="O15" s="13">
        <f>N15*VLOOKUP('Données projet'!$B$9,Paramètres!$A$1:$I$89,3,0)*VLOOKUP('Données projet'!$B$9,Paramètres!$A$1:$I$89,5,0)</f>
        <v>88.670400000000001</v>
      </c>
      <c r="P15" s="13">
        <f t="shared" si="33"/>
        <v>24.244280250395512</v>
      </c>
      <c r="Q15" s="20">
        <f t="shared" si="2"/>
        <v>196.65973476943884</v>
      </c>
      <c r="R15" s="59">
        <f t="shared" si="0"/>
        <v>489.99306810277216</v>
      </c>
      <c r="S15" s="59">
        <f ca="1">AVERAGE(OFFSET($R$3,0,0,'Données projet'!$E$9+1,1))-AVERAGE(OFFSET($H$3,0,0,'Données projet'!$E$9+1,1))</f>
        <v>295.41366969872354</v>
      </c>
      <c r="T15" s="59">
        <f t="shared" si="34"/>
        <v>415.02188573182912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7.8</v>
      </c>
      <c r="AI15" s="13">
        <f>IF('Données projet'!$A$62&gt;35,AI14+AH15-AQ14,IF(A15&lt;'Données projet'!$A$62,$AF$205^A15,IF(A15='Données projet'!$A$62,'Données projet'!$B$62,AI14+AH15-AQ14)))</f>
        <v>28.6</v>
      </c>
      <c r="AJ15" s="13">
        <f>AI15*VLOOKUP('Données projet'!$B$10,Paramètres!$A$1:$I$89,3,0)*VLOOKUP('Données projet'!$B$10,Paramètres!$A$1:$I$89,5,0)</f>
        <v>18.738720000000001</v>
      </c>
      <c r="AK15" s="13">
        <f t="shared" si="35"/>
        <v>6.1396704366978918</v>
      </c>
      <c r="AL15" s="20">
        <f t="shared" si="4"/>
        <v>43.329863343915491</v>
      </c>
      <c r="AM15" s="59">
        <f t="shared" si="5"/>
        <v>336.66319667724883</v>
      </c>
      <c r="AN15" s="59">
        <f ca="1">AVERAGE(OFFSET($AM$3,0,0,'Données projet'!$E$10+1,1))-AVERAGE(OFFSET($H$3,0,0,'Données projet'!$E$10+1,1))</f>
        <v>173.80737004674131</v>
      </c>
      <c r="AO15" s="59">
        <f t="shared" si="36"/>
        <v>206.06552061664968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8.8000000000000007</v>
      </c>
      <c r="BD15" s="12">
        <f>IF('Données projet'!$A$88&gt;35,BD14+BC15-BL14,IF(A15&lt;'Données projet'!$A$88,$BA$205^A15,IF(A15='Données projet'!$A$88,'Données projet'!$B$88,BD14+BC15-BL14)))</f>
        <v>46.599999999999994</v>
      </c>
      <c r="BE15" s="13">
        <f>BD15*VLOOKUP('Données projet'!$B$11,Paramètres!$A$1:$I$89,3,0)*VLOOKUP('Données projet'!$B$11,Paramètres!$A$1:$I$89,5,0)</f>
        <v>29.805359999999997</v>
      </c>
      <c r="BF15" s="13">
        <f t="shared" si="37"/>
        <v>9.2520627957774852</v>
      </c>
      <c r="BG15" s="20">
        <f t="shared" si="7"/>
        <v>68.025011369312452</v>
      </c>
      <c r="BH15" s="59">
        <f t="shared" si="8"/>
        <v>361.35834470264575</v>
      </c>
      <c r="BI15" s="59">
        <f ca="1">AVERAGE(OFFSET($BH$3,0,0,'Données projet'!$E$11+1,1))-AVERAGE(OFFSET($H$3,0,0,'Données projet'!$E$11+1,1))</f>
        <v>136.80149066064263</v>
      </c>
      <c r="BJ15" s="59">
        <f t="shared" si="38"/>
        <v>148.87330541103535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11.7624</v>
      </c>
      <c r="D16" s="11">
        <f t="shared" si="32"/>
        <v>4.0685745785050127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122.20401429021415</v>
      </c>
      <c r="H16" s="66">
        <f t="shared" si="1"/>
        <v>320.9056140575629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14</v>
      </c>
      <c r="N16" s="13">
        <f>IF('Données projet'!$A$36&gt;35,N15+M16-V15,IF(A16&lt;'Données projet'!$A$36,$K$205^A16,IF(A16='Données projet'!$A$36,'Données projet'!$B$36,N15+M16-V15)))</f>
        <v>112</v>
      </c>
      <c r="O16" s="13">
        <f>N16*VLOOKUP('Données projet'!$B$9,Paramètres!$A$1:$I$89,3,0)*VLOOKUP('Données projet'!$B$9,Paramètres!$A$1:$I$89,5,0)</f>
        <v>101.33759999999999</v>
      </c>
      <c r="P16" s="13">
        <f t="shared" si="33"/>
        <v>27.280415454305565</v>
      </c>
      <c r="Q16" s="20">
        <f t="shared" si="2"/>
        <v>224.00971024958213</v>
      </c>
      <c r="R16" s="59">
        <f t="shared" si="0"/>
        <v>517.34304358291547</v>
      </c>
      <c r="S16" s="59">
        <f ca="1">AVERAGE(OFFSET($R$3,0,0,'Données projet'!$E$9+1,1))-AVERAGE(OFFSET($H$3,0,0,'Données projet'!$E$9+1,1))</f>
        <v>295.41366969872354</v>
      </c>
      <c r="T16" s="59">
        <f t="shared" si="34"/>
        <v>415.02188573182912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7.8</v>
      </c>
      <c r="AI16" s="13">
        <f>IF('Données projet'!$A$62&gt;35,AI15+AH16-AQ15,IF(A16&lt;'Données projet'!$A$62,$AF$205^A16,IF(A16='Données projet'!$A$62,'Données projet'!$B$62,AI15+AH16-AQ15)))</f>
        <v>36.4</v>
      </c>
      <c r="AJ16" s="13">
        <f>AI16*VLOOKUP('Données projet'!$B$10,Paramètres!$A$1:$I$89,3,0)*VLOOKUP('Données projet'!$B$10,Paramètres!$A$1:$I$89,5,0)</f>
        <v>23.849279999999997</v>
      </c>
      <c r="AK16" s="13">
        <f t="shared" si="35"/>
        <v>7.5978237630267955</v>
      </c>
      <c r="AL16" s="20">
        <f t="shared" si="4"/>
        <v>54.770372387271664</v>
      </c>
      <c r="AM16" s="59">
        <f t="shared" si="5"/>
        <v>348.10370572060498</v>
      </c>
      <c r="AN16" s="59">
        <f ca="1">AVERAGE(OFFSET($AM$3,0,0,'Données projet'!$E$10+1,1))-AVERAGE(OFFSET($H$3,0,0,'Données projet'!$E$10+1,1))</f>
        <v>173.80737004674131</v>
      </c>
      <c r="AO16" s="59">
        <f t="shared" si="36"/>
        <v>206.06552061664968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8.8000000000000007</v>
      </c>
      <c r="BD16" s="12">
        <f>IF('Données projet'!$A$88&gt;35,BD15+BC16-BL15,IF(A16&lt;'Données projet'!$A$88,$BA$205^A16,IF(A16='Données projet'!$A$88,'Données projet'!$B$88,BD15+BC16-BL15)))</f>
        <v>55.399999999999991</v>
      </c>
      <c r="BE16" s="13">
        <f>BD16*VLOOKUP('Données projet'!$B$11,Paramètres!$A$1:$I$89,3,0)*VLOOKUP('Données projet'!$B$11,Paramètres!$A$1:$I$89,5,0)</f>
        <v>35.433839999999996</v>
      </c>
      <c r="BF16" s="13">
        <f t="shared" si="37"/>
        <v>10.779981210767136</v>
      </c>
      <c r="BG16" s="20">
        <f t="shared" si="7"/>
        <v>80.489071942086085</v>
      </c>
      <c r="BH16" s="59">
        <f t="shared" si="8"/>
        <v>373.82240527541938</v>
      </c>
      <c r="BI16" s="59">
        <f ca="1">AVERAGE(OFFSET($BH$3,0,0,'Données projet'!$E$11+1,1))-AVERAGE(OFFSET($H$3,0,0,'Données projet'!$E$11+1,1))</f>
        <v>136.80149066064263</v>
      </c>
      <c r="BJ16" s="59">
        <f t="shared" si="38"/>
        <v>148.87330541103535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12.667199999999999</v>
      </c>
      <c r="D17" s="11">
        <f t="shared" si="32"/>
        <v>4.3439084870573748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131.31381990009203</v>
      </c>
      <c r="H17" s="66">
        <f t="shared" si="1"/>
        <v>322.96101394829157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14</v>
      </c>
      <c r="N17" s="13">
        <f>IF('Données projet'!$A$36&gt;35,N16+M17-V16,IF(A17&lt;'Données projet'!$A$36,$K$205^A17,IF(A17='Données projet'!$A$36,'Données projet'!$B$36,N16+M17-V16)))</f>
        <v>126</v>
      </c>
      <c r="O17" s="13">
        <f>N17*VLOOKUP('Données projet'!$B$9,Paramètres!$A$1:$I$89,3,0)*VLOOKUP('Données projet'!$B$9,Paramètres!$A$1:$I$89,5,0)</f>
        <v>114.0048</v>
      </c>
      <c r="P17" s="13">
        <f t="shared" si="33"/>
        <v>30.272573949217303</v>
      </c>
      <c r="Q17" s="20">
        <f t="shared" si="2"/>
        <v>251.28309296155342</v>
      </c>
      <c r="R17" s="59">
        <f t="shared" si="0"/>
        <v>544.61642629488676</v>
      </c>
      <c r="S17" s="59">
        <f ca="1">AVERAGE(OFFSET($R$3,0,0,'Données projet'!$E$9+1,1))-AVERAGE(OFFSET($H$3,0,0,'Données projet'!$E$9+1,1))</f>
        <v>295.41366969872354</v>
      </c>
      <c r="T17" s="59">
        <f t="shared" si="34"/>
        <v>415.02188573182912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7.8</v>
      </c>
      <c r="AI17" s="13">
        <f>IF('Données projet'!$A$62&gt;35,AI16+AH17-AQ16,IF(A17&lt;'Données projet'!$A$62,$AF$205^A17,IF(A17='Données projet'!$A$62,'Données projet'!$B$62,AI16+AH17-AQ16)))</f>
        <v>44.199999999999996</v>
      </c>
      <c r="AJ17" s="13">
        <f>AI17*VLOOKUP('Données projet'!$B$10,Paramètres!$A$1:$I$89,3,0)*VLOOKUP('Données projet'!$B$10,Paramètres!$A$1:$I$89,5,0)</f>
        <v>28.959839999999996</v>
      </c>
      <c r="AK17" s="13">
        <f t="shared" si="35"/>
        <v>9.0197634951152139</v>
      </c>
      <c r="AL17" s="20">
        <f t="shared" si="4"/>
        <v>66.147809420658987</v>
      </c>
      <c r="AM17" s="59">
        <f t="shared" si="5"/>
        <v>359.48114275399229</v>
      </c>
      <c r="AN17" s="59">
        <f ca="1">AVERAGE(OFFSET($AM$3,0,0,'Données projet'!$E$10+1,1))-AVERAGE(OFFSET($H$3,0,0,'Données projet'!$E$10+1,1))</f>
        <v>173.80737004674131</v>
      </c>
      <c r="AO17" s="59">
        <f t="shared" si="36"/>
        <v>206.06552061664968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8.8000000000000007</v>
      </c>
      <c r="BD17" s="12">
        <f>IF('Données projet'!$A$88&gt;35,BD16+BC17-BL16,IF(A17&lt;'Données projet'!$A$88,$BA$205^A17,IF(A17='Données projet'!$A$88,'Données projet'!$B$88,BD16+BC17-BL16)))</f>
        <v>64.199999999999989</v>
      </c>
      <c r="BE17" s="13">
        <f>BD17*VLOOKUP('Données projet'!$B$11,Paramètres!$A$1:$I$89,3,0)*VLOOKUP('Données projet'!$B$11,Paramètres!$A$1:$I$89,5,0)</f>
        <v>41.062319999999985</v>
      </c>
      <c r="BF17" s="13">
        <f t="shared" si="37"/>
        <v>12.27978396869419</v>
      </c>
      <c r="BG17" s="20">
        <f t="shared" si="7"/>
        <v>92.90416441214235</v>
      </c>
      <c r="BH17" s="59">
        <f t="shared" si="8"/>
        <v>386.23749774547565</v>
      </c>
      <c r="BI17" s="59">
        <f ca="1">AVERAGE(OFFSET($BH$3,0,0,'Données projet'!$E$11+1,1))-AVERAGE(OFFSET($H$3,0,0,'Données projet'!$E$11+1,1))</f>
        <v>136.80149066064263</v>
      </c>
      <c r="BJ17" s="59">
        <f t="shared" si="38"/>
        <v>148.87330541103535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13.571999999999999</v>
      </c>
      <c r="D18" s="11">
        <f t="shared" si="32"/>
        <v>4.6169606338501863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140.40601191042251</v>
      </c>
      <c r="H18" s="66">
        <f t="shared" si="1"/>
        <v>325.01243977062239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140</v>
      </c>
      <c r="L18" s="12">
        <f>VLOOKUP(A18,'Données projet'!$A$35:$I$55,9,0)</f>
        <v>14</v>
      </c>
      <c r="M18" s="12">
        <f t="array" ref="M18">INDEX(L:L,MIN(IF(ISNUMBER(L18:L214),ROW(L18:L214),"")))</f>
        <v>14</v>
      </c>
      <c r="N18" s="13">
        <f>IF('Données projet'!$A$36&gt;35,N17+M18-V17,IF(A18&lt;'Données projet'!$A$36,$K$205^A18,IF(A18='Données projet'!$A$36,'Données projet'!$B$36,N17+M18-V17)))</f>
        <v>140</v>
      </c>
      <c r="O18" s="13">
        <f>N18*VLOOKUP('Données projet'!$B$9,Paramètres!$A$1:$I$89,3,0)*VLOOKUP('Données projet'!$B$9,Paramètres!$A$1:$I$89,5,0)</f>
        <v>126.67199999999998</v>
      </c>
      <c r="P18" s="13">
        <f t="shared" si="33"/>
        <v>33.226199426361347</v>
      </c>
      <c r="Q18" s="20">
        <f t="shared" si="2"/>
        <v>278.48936400091264</v>
      </c>
      <c r="R18" s="59">
        <f t="shared" si="0"/>
        <v>571.82269733424596</v>
      </c>
      <c r="S18" s="59">
        <f ca="1">AVERAGE(OFFSET($R$3,0,0,'Données projet'!$E$9+1,1))-AVERAGE(OFFSET($H$3,0,0,'Données projet'!$E$9+1,1))</f>
        <v>295.41366969872354</v>
      </c>
      <c r="T18" s="59">
        <f t="shared" si="34"/>
        <v>415.02188573182912</v>
      </c>
      <c r="U18" s="15">
        <f>IF(ISNA(VLOOKUP(A18,'Données projet'!$A$35:$I$55,3,0)),0,VLOOKUP(A18,'Données projet'!$A$35:$I$55,3,0))</f>
        <v>3</v>
      </c>
      <c r="V18" s="15">
        <f>IF(ISNA(VLOOKUP(A18,'Données projet'!$A$35:$I$55,4,0)),0,VLOOKUP(A18,'Données projet'!$A$35:$I$55,4,0))</f>
        <v>23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52</v>
      </c>
      <c r="AG18" s="12">
        <f>VLOOKUP(A18,'Données projet'!$A$61:$I$81,9,0)</f>
        <v>7.8</v>
      </c>
      <c r="AH18" s="12">
        <f t="array" ref="AH18">INDEX(AG:AG,MIN(IF(ISNUMBER(AG18:AG214),ROW(AG18:AG214),"")))</f>
        <v>7.8</v>
      </c>
      <c r="AI18" s="13">
        <f>IF('Données projet'!$A$62&gt;35,AI17+AH18-AQ17,IF(A18&lt;'Données projet'!$A$62,$AF$205^A18,IF(A18='Données projet'!$A$62,'Données projet'!$B$62,AI17+AH18-AQ17)))</f>
        <v>51.999999999999993</v>
      </c>
      <c r="AJ18" s="13">
        <f>AI18*VLOOKUP('Données projet'!$B$10,Paramètres!$A$1:$I$89,3,0)*VLOOKUP('Données projet'!$B$10,Paramètres!$A$1:$I$89,5,0)</f>
        <v>34.070399999999992</v>
      </c>
      <c r="AK18" s="13">
        <f t="shared" si="35"/>
        <v>10.412633617059315</v>
      </c>
      <c r="AL18" s="20">
        <f t="shared" si="4"/>
        <v>77.474616883044959</v>
      </c>
      <c r="AM18" s="59">
        <f t="shared" si="5"/>
        <v>370.80795021637829</v>
      </c>
      <c r="AN18" s="59">
        <f ca="1">AVERAGE(OFFSET($AM$3,0,0,'Données projet'!$E$10+1,1))-AVERAGE(OFFSET($H$3,0,0,'Données projet'!$E$10+1,1))</f>
        <v>173.80737004674131</v>
      </c>
      <c r="AO18" s="59">
        <f t="shared" si="36"/>
        <v>206.06552061664968</v>
      </c>
      <c r="AP18" s="15">
        <f>IF(ISNA(VLOOKUP(A18,'Données projet'!$A$61:$I$81,3,0)),0,VLOOKUP(A18,'Données projet'!$A$61:$I$81,3,0))</f>
        <v>2</v>
      </c>
      <c r="AQ18" s="15">
        <f>IF(ISNA(VLOOKUP(A18,'Données projet'!$A$61:$I$81,4,0)),0,VLOOKUP(A18,'Données projet'!$A$61:$I$81,4,0))</f>
        <v>5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73</v>
      </c>
      <c r="BB18" s="12">
        <f>VLOOKUP(A18,'Données projet'!$A$87:$I$107,9,0)</f>
        <v>8.8000000000000007</v>
      </c>
      <c r="BC18" s="12">
        <f t="array" ref="BC18">INDEX(BB:BB,MIN(IF(ISNUMBER(BB18:BB214),ROW(BB18:BB214),"")))</f>
        <v>8.8000000000000007</v>
      </c>
      <c r="BD18" s="12">
        <f>IF('Données projet'!$A$88&gt;35,BD17+BC18-BL17,IF(A18&lt;'Données projet'!$A$88,$BA$205^A18,IF(A18='Données projet'!$A$88,'Données projet'!$B$88,BD17+BC18-BL17)))</f>
        <v>72.999999999999986</v>
      </c>
      <c r="BE18" s="13">
        <f>BD18*VLOOKUP('Données projet'!$B$11,Paramètres!$A$1:$I$89,3,0)*VLOOKUP('Données projet'!$B$11,Paramètres!$A$1:$I$89,5,0)</f>
        <v>46.690799999999989</v>
      </c>
      <c r="BF18" s="13">
        <f t="shared" si="37"/>
        <v>13.755768393500558</v>
      </c>
      <c r="BG18" s="20">
        <f t="shared" si="7"/>
        <v>105.27777328534678</v>
      </c>
      <c r="BH18" s="59">
        <f t="shared" si="8"/>
        <v>398.61110661868008</v>
      </c>
      <c r="BI18" s="59">
        <f ca="1">AVERAGE(OFFSET($BH$3,0,0,'Données projet'!$E$11+1,1))-AVERAGE(OFFSET($H$3,0,0,'Données projet'!$E$11+1,1))</f>
        <v>136.80149066064263</v>
      </c>
      <c r="BJ18" s="59">
        <f t="shared" si="38"/>
        <v>148.87330541103535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14.476799999999999</v>
      </c>
      <c r="D19" s="11">
        <f t="shared" si="32"/>
        <v>4.8879004449090973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149.48189817122815</v>
      </c>
      <c r="H19" s="66">
        <f t="shared" si="1"/>
        <v>327.06018660821667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12.4</v>
      </c>
      <c r="N19" s="13">
        <f>IF('Données projet'!$A$36&gt;35,N18+M19-V18,IF(A19&lt;'Données projet'!$A$36,$K$205^A19,IF(A19='Données projet'!$A$36,'Données projet'!$B$36,N18+M19-V18)))</f>
        <v>129.4</v>
      </c>
      <c r="O19" s="13">
        <f>N19*VLOOKUP('Données projet'!$B$9,Paramètres!$A$1:$I$89,3,0)*VLOOKUP('Données projet'!$B$9,Paramètres!$A$1:$I$89,5,0)</f>
        <v>117.08112</v>
      </c>
      <c r="P19" s="13">
        <f t="shared" si="33"/>
        <v>30.993245877902094</v>
      </c>
      <c r="Q19" s="20">
        <f t="shared" si="2"/>
        <v>257.89618723734617</v>
      </c>
      <c r="R19" s="59">
        <f t="shared" si="0"/>
        <v>551.22952057067948</v>
      </c>
      <c r="S19" s="59">
        <f ca="1">AVERAGE(OFFSET($R$3,0,0,'Données projet'!$E$9+1,1))-AVERAGE(OFFSET($H$3,0,0,'Données projet'!$E$9+1,1))</f>
        <v>295.41366969872354</v>
      </c>
      <c r="T19" s="59">
        <f t="shared" si="34"/>
        <v>415.02188573182912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14</v>
      </c>
      <c r="AI19" s="13">
        <f>IF('Données projet'!$A$62&gt;35,AI18+AH19-AQ18,IF(A19&lt;'Données projet'!$A$62,$AF$205^A19,IF(A19='Données projet'!$A$62,'Données projet'!$B$62,AI18+AH19-AQ18)))</f>
        <v>61</v>
      </c>
      <c r="AJ19" s="13">
        <f>AI19*VLOOKUP('Données projet'!$B$10,Paramètres!$A$1:$I$89,3,0)*VLOOKUP('Données projet'!$B$10,Paramètres!$A$1:$I$89,5,0)</f>
        <v>39.967199999999998</v>
      </c>
      <c r="AK19" s="13">
        <f t="shared" si="35"/>
        <v>11.989952848060867</v>
      </c>
      <c r="AL19" s="20">
        <f t="shared" si="4"/>
        <v>90.492041210372676</v>
      </c>
      <c r="AM19" s="59">
        <f t="shared" si="5"/>
        <v>383.825374543706</v>
      </c>
      <c r="AN19" s="59">
        <f ca="1">AVERAGE(OFFSET($AM$3,0,0,'Données projet'!$E$10+1,1))-AVERAGE(OFFSET($H$3,0,0,'Données projet'!$E$10+1,1))</f>
        <v>173.80737004674131</v>
      </c>
      <c r="AO19" s="59">
        <f t="shared" si="36"/>
        <v>206.06552061664968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11.2</v>
      </c>
      <c r="BD19" s="12">
        <f>IF('Données projet'!$A$88&gt;35,BD18+BC19-BL18,IF(A19&lt;'Données projet'!$A$88,$BA$205^A19,IF(A19='Données projet'!$A$88,'Données projet'!$B$88,BD18+BC19-BL18)))</f>
        <v>84.199999999999989</v>
      </c>
      <c r="BE19" s="13">
        <f>BD19*VLOOKUP('Données projet'!$B$11,Paramètres!$A$1:$I$89,3,0)*VLOOKUP('Données projet'!$B$11,Paramètres!$A$1:$I$89,5,0)</f>
        <v>53.854319999999987</v>
      </c>
      <c r="BF19" s="13">
        <f t="shared" si="37"/>
        <v>15.604811963375035</v>
      </c>
      <c r="BG19" s="20">
        <f t="shared" si="7"/>
        <v>120.97465483621151</v>
      </c>
      <c r="BH19" s="59">
        <f t="shared" si="8"/>
        <v>414.30798816954484</v>
      </c>
      <c r="BI19" s="59">
        <f ca="1">AVERAGE(OFFSET($BH$3,0,0,'Données projet'!$E$11+1,1))-AVERAGE(OFFSET($H$3,0,0,'Données projet'!$E$11+1,1))</f>
        <v>136.80149066064263</v>
      </c>
      <c r="BJ19" s="59">
        <f t="shared" si="38"/>
        <v>148.87330541103535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15.381599999999999</v>
      </c>
      <c r="D20" s="11">
        <f t="shared" si="32"/>
        <v>5.1568749710078112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158.54261381128836</v>
      </c>
      <c r="H20" s="66">
        <f t="shared" si="1"/>
        <v>329.10451057450524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12.4</v>
      </c>
      <c r="N20" s="13">
        <f>IF('Données projet'!$A$36&gt;35,N19+M20-V19,IF(A20&lt;'Données projet'!$A$36,$K$205^A20,IF(A20='Données projet'!$A$36,'Données projet'!$B$36,N19+M20-V19)))</f>
        <v>141.80000000000001</v>
      </c>
      <c r="O20" s="13">
        <f>N20*VLOOKUP('Données projet'!$B$9,Paramètres!$A$1:$I$89,3,0)*VLOOKUP('Données projet'!$B$9,Paramètres!$A$1:$I$89,5,0)</f>
        <v>128.30064000000002</v>
      </c>
      <c r="P20" s="13">
        <f t="shared" si="33"/>
        <v>33.603386926177407</v>
      </c>
      <c r="Q20" s="20">
        <f t="shared" si="2"/>
        <v>281.98284689642571</v>
      </c>
      <c r="R20" s="59">
        <f t="shared" si="0"/>
        <v>575.31618022975908</v>
      </c>
      <c r="S20" s="59">
        <f ca="1">AVERAGE(OFFSET($R$3,0,0,'Données projet'!$E$9+1,1))-AVERAGE(OFFSET($H$3,0,0,'Données projet'!$E$9+1,1))</f>
        <v>295.41366969872354</v>
      </c>
      <c r="T20" s="59">
        <f t="shared" si="34"/>
        <v>415.02188573182912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14</v>
      </c>
      <c r="AI20" s="13">
        <f>IF('Données projet'!$A$62&gt;35,AI19+AH20-AQ19,IF(A20&lt;'Données projet'!$A$62,$AF$205^A20,IF(A20='Données projet'!$A$62,'Données projet'!$B$62,AI19+AH20-AQ19)))</f>
        <v>75</v>
      </c>
      <c r="AJ20" s="13">
        <f>AI20*VLOOKUP('Données projet'!$B$10,Paramètres!$A$1:$I$89,3,0)*VLOOKUP('Données projet'!$B$10,Paramètres!$A$1:$I$89,5,0)</f>
        <v>49.14</v>
      </c>
      <c r="AK20" s="13">
        <f t="shared" si="35"/>
        <v>14.391437147300868</v>
      </c>
      <c r="AL20" s="20">
        <f t="shared" si="4"/>
        <v>110.65058636488233</v>
      </c>
      <c r="AM20" s="59">
        <f t="shared" si="5"/>
        <v>403.98391969821563</v>
      </c>
      <c r="AN20" s="59">
        <f ca="1">AVERAGE(OFFSET($AM$3,0,0,'Données projet'!$E$10+1,1))-AVERAGE(OFFSET($H$3,0,0,'Données projet'!$E$10+1,1))</f>
        <v>173.80737004674131</v>
      </c>
      <c r="AO20" s="59">
        <f t="shared" si="36"/>
        <v>206.06552061664968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11.2</v>
      </c>
      <c r="BD20" s="12">
        <f>IF('Données projet'!$A$88&gt;35,BD19+BC20-BL19,IF(A20&lt;'Données projet'!$A$88,$BA$205^A20,IF(A20='Données projet'!$A$88,'Données projet'!$B$88,BD19+BC20-BL19)))</f>
        <v>95.399999999999991</v>
      </c>
      <c r="BE20" s="13">
        <f>BD20*VLOOKUP('Données projet'!$B$11,Paramètres!$A$1:$I$89,3,0)*VLOOKUP('Données projet'!$B$11,Paramètres!$A$1:$I$89,5,0)</f>
        <v>61.01784</v>
      </c>
      <c r="BF20" s="13">
        <f t="shared" si="37"/>
        <v>17.425358414033564</v>
      </c>
      <c r="BG20" s="20">
        <f t="shared" si="7"/>
        <v>136.62190390444178</v>
      </c>
      <c r="BH20" s="59">
        <f t="shared" si="8"/>
        <v>429.95523723777512</v>
      </c>
      <c r="BI20" s="59">
        <f ca="1">AVERAGE(OFFSET($BH$3,0,0,'Données projet'!$E$11+1,1))-AVERAGE(OFFSET($H$3,0,0,'Données projet'!$E$11+1,1))</f>
        <v>136.80149066064263</v>
      </c>
      <c r="BJ20" s="59">
        <f t="shared" si="38"/>
        <v>148.87330541103535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16.2864</v>
      </c>
      <c r="D21" s="11">
        <f t="shared" si="32"/>
        <v>5.4240129855342607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167.5891528707908</v>
      </c>
      <c r="H21" s="66">
        <f t="shared" si="1"/>
        <v>331.14563594980547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12.4</v>
      </c>
      <c r="N21" s="13">
        <f>IF('Données projet'!$A$36&gt;35,N20+M21-V20,IF(A21&lt;'Données projet'!$A$36,$K$205^A21,IF(A21='Données projet'!$A$36,'Données projet'!$B$36,N20+M21-V20)))</f>
        <v>154.20000000000002</v>
      </c>
      <c r="O21" s="13">
        <f>N21*VLOOKUP('Données projet'!$B$9,Paramètres!$A$1:$I$89,3,0)*VLOOKUP('Données projet'!$B$9,Paramètres!$A$1:$I$89,5,0)</f>
        <v>139.52016</v>
      </c>
      <c r="P21" s="13">
        <f t="shared" si="33"/>
        <v>36.187058933766046</v>
      </c>
      <c r="Q21" s="20">
        <f t="shared" si="2"/>
        <v>306.02340630964255</v>
      </c>
      <c r="R21" s="59">
        <f t="shared" si="0"/>
        <v>599.35673964297587</v>
      </c>
      <c r="S21" s="59">
        <f ca="1">AVERAGE(OFFSET($R$3,0,0,'Données projet'!$E$9+1,1))-AVERAGE(OFFSET($H$3,0,0,'Données projet'!$E$9+1,1))</f>
        <v>295.41366969872354</v>
      </c>
      <c r="T21" s="59">
        <f t="shared" si="34"/>
        <v>415.02188573182912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14</v>
      </c>
      <c r="AI21" s="13">
        <f>IF('Données projet'!$A$62&gt;35,AI20+AH21-AQ20,IF(A21&lt;'Données projet'!$A$62,$AF$205^A21,IF(A21='Données projet'!$A$62,'Données projet'!$B$62,AI20+AH21-AQ20)))</f>
        <v>89</v>
      </c>
      <c r="AJ21" s="13">
        <f>AI21*VLOOKUP('Données projet'!$B$10,Paramètres!$A$1:$I$89,3,0)*VLOOKUP('Données projet'!$B$10,Paramètres!$A$1:$I$89,5,0)</f>
        <v>58.312799999999996</v>
      </c>
      <c r="AK21" s="13">
        <f t="shared" si="35"/>
        <v>16.740986371230957</v>
      </c>
      <c r="AL21" s="20">
        <f t="shared" si="4"/>
        <v>130.71867792989391</v>
      </c>
      <c r="AM21" s="59">
        <f t="shared" si="5"/>
        <v>424.0520112632272</v>
      </c>
      <c r="AN21" s="59">
        <f ca="1">AVERAGE(OFFSET($AM$3,0,0,'Données projet'!$E$10+1,1))-AVERAGE(OFFSET($H$3,0,0,'Données projet'!$E$10+1,1))</f>
        <v>173.80737004674131</v>
      </c>
      <c r="AO21" s="59">
        <f t="shared" si="36"/>
        <v>206.06552061664968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11.2</v>
      </c>
      <c r="BD21" s="12">
        <f>IF('Données projet'!$A$88&gt;35,BD20+BC21-BL20,IF(A21&lt;'Données projet'!$A$88,$BA$205^A21,IF(A21='Données projet'!$A$88,'Données projet'!$B$88,BD20+BC21-BL20)))</f>
        <v>106.6</v>
      </c>
      <c r="BE21" s="13">
        <f>BD21*VLOOKUP('Données projet'!$B$11,Paramètres!$A$1:$I$89,3,0)*VLOOKUP('Données projet'!$B$11,Paramètres!$A$1:$I$89,5,0)</f>
        <v>68.181359999999998</v>
      </c>
      <c r="BF21" s="13">
        <f t="shared" si="37"/>
        <v>19.221135568279205</v>
      </c>
      <c r="BG21" s="20">
        <f t="shared" si="7"/>
        <v>152.22601311475293</v>
      </c>
      <c r="BH21" s="59">
        <f t="shared" si="8"/>
        <v>445.55934644808622</v>
      </c>
      <c r="BI21" s="59">
        <f ca="1">AVERAGE(OFFSET($BH$3,0,0,'Données projet'!$E$11+1,1))-AVERAGE(OFFSET($H$3,0,0,'Données projet'!$E$11+1,1))</f>
        <v>136.80149066064263</v>
      </c>
      <c r="BJ21" s="59">
        <f t="shared" si="38"/>
        <v>148.87330541103535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17.191200000000002</v>
      </c>
      <c r="D22" s="11">
        <f t="shared" si="32"/>
        <v>5.6894281456126885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176.62239270297516</v>
      </c>
      <c r="H22" s="66">
        <f t="shared" si="1"/>
        <v>333.18376068694209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12.4</v>
      </c>
      <c r="N22" s="13">
        <f>IF('Données projet'!$A$36&gt;35,N21+M22-V21,IF(A22&lt;'Données projet'!$A$36,$K$205^A22,IF(A22='Données projet'!$A$36,'Données projet'!$B$36,N21+M22-V21)))</f>
        <v>166.60000000000002</v>
      </c>
      <c r="O22" s="13">
        <f>N22*VLOOKUP('Données projet'!$B$9,Paramètres!$A$1:$I$89,3,0)*VLOOKUP('Données projet'!$B$9,Paramètres!$A$1:$I$89,5,0)</f>
        <v>150.73967999999999</v>
      </c>
      <c r="P22" s="13">
        <f t="shared" si="33"/>
        <v>38.746632400845719</v>
      </c>
      <c r="Q22" s="20">
        <f t="shared" si="2"/>
        <v>330.0219940981396</v>
      </c>
      <c r="R22" s="59">
        <f t="shared" si="0"/>
        <v>623.35532743147292</v>
      </c>
      <c r="S22" s="59">
        <f ca="1">AVERAGE(OFFSET($R$3,0,0,'Données projet'!$E$9+1,1))-AVERAGE(OFFSET($H$3,0,0,'Données projet'!$E$9+1,1))</f>
        <v>295.41366969872354</v>
      </c>
      <c r="T22" s="59">
        <f t="shared" si="34"/>
        <v>415.02188573182912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14</v>
      </c>
      <c r="AI22" s="13">
        <f>IF('Données projet'!$A$62&gt;35,AI21+AH22-AQ21,IF(A22&lt;'Données projet'!$A$62,$AF$205^A22,IF(A22='Données projet'!$A$62,'Données projet'!$B$62,AI21+AH22-AQ21)))</f>
        <v>103</v>
      </c>
      <c r="AJ22" s="13">
        <f>AI22*VLOOKUP('Données projet'!$B$10,Paramètres!$A$1:$I$89,3,0)*VLOOKUP('Données projet'!$B$10,Paramètres!$A$1:$I$89,5,0)</f>
        <v>67.485600000000005</v>
      </c>
      <c r="AK22" s="13">
        <f t="shared" si="35"/>
        <v>19.047720279466478</v>
      </c>
      <c r="AL22" s="20">
        <f t="shared" si="4"/>
        <v>150.71219948673746</v>
      </c>
      <c r="AM22" s="59">
        <f t="shared" si="5"/>
        <v>444.04553282007078</v>
      </c>
      <c r="AN22" s="59">
        <f ca="1">AVERAGE(OFFSET($AM$3,0,0,'Données projet'!$E$10+1,1))-AVERAGE(OFFSET($H$3,0,0,'Données projet'!$E$10+1,1))</f>
        <v>173.80737004674131</v>
      </c>
      <c r="AO22" s="59">
        <f t="shared" si="36"/>
        <v>206.06552061664968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11.2</v>
      </c>
      <c r="BD22" s="12">
        <f>IF('Données projet'!$A$88&gt;35,BD21+BC22-BL21,IF(A22&lt;'Données projet'!$A$88,$BA$205^A22,IF(A22='Données projet'!$A$88,'Données projet'!$B$88,BD21+BC22-BL21)))</f>
        <v>117.8</v>
      </c>
      <c r="BE22" s="13">
        <f>BD22*VLOOKUP('Données projet'!$B$11,Paramètres!$A$1:$I$89,3,0)*VLOOKUP('Données projet'!$B$11,Paramètres!$A$1:$I$89,5,0)</f>
        <v>75.344879999999989</v>
      </c>
      <c r="BF22" s="13">
        <f t="shared" si="37"/>
        <v>20.995042321324362</v>
      </c>
      <c r="BG22" s="20">
        <f t="shared" si="7"/>
        <v>167.79203137630657</v>
      </c>
      <c r="BH22" s="59">
        <f t="shared" si="8"/>
        <v>461.12536470963988</v>
      </c>
      <c r="BI22" s="59">
        <f ca="1">AVERAGE(OFFSET($BH$3,0,0,'Données projet'!$E$11+1,1))-AVERAGE(OFFSET($H$3,0,0,'Données projet'!$E$11+1,1))</f>
        <v>136.80149066064263</v>
      </c>
      <c r="BJ22" s="59">
        <f t="shared" si="38"/>
        <v>148.87330541103535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18.096000000000004</v>
      </c>
      <c r="D23" s="11">
        <f t="shared" si="32"/>
        <v>5.9532214687411624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185.64311309203708</v>
      </c>
      <c r="H23" s="66">
        <f t="shared" si="1"/>
        <v>335.21906072472416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179</v>
      </c>
      <c r="L23" s="12">
        <f>VLOOKUP(A23,'Données projet'!$A$35:$I$55,9,0)</f>
        <v>12.4</v>
      </c>
      <c r="M23" s="12">
        <f t="array" ref="M23">INDEX(L:L,MIN(IF(ISNUMBER(L23:L219),ROW(L23:L219),"")))</f>
        <v>12.4</v>
      </c>
      <c r="N23" s="13">
        <f>IF('Données projet'!$A$36&gt;35,N22+M23-V22,IF(A23&lt;'Données projet'!$A$36,$K$205^A23,IF(A23='Données projet'!$A$36,'Données projet'!$B$36,N22+M23-V22)))</f>
        <v>179.00000000000003</v>
      </c>
      <c r="O23" s="13">
        <f>N23*VLOOKUP('Données projet'!$B$9,Paramètres!$A$1:$I$89,3,0)*VLOOKUP('Données projet'!$B$9,Paramètres!$A$1:$I$89,5,0)</f>
        <v>161.95920000000001</v>
      </c>
      <c r="P23" s="13">
        <f t="shared" si="33"/>
        <v>41.284104935125683</v>
      </c>
      <c r="Q23" s="20">
        <f t="shared" si="2"/>
        <v>353.98208942867723</v>
      </c>
      <c r="R23" s="59">
        <f t="shared" si="0"/>
        <v>647.31542276201048</v>
      </c>
      <c r="S23" s="59">
        <f ca="1">AVERAGE(OFFSET($R$3,0,0,'Données projet'!$E$9+1,1))-AVERAGE(OFFSET($H$3,0,0,'Données projet'!$E$9+1,1))</f>
        <v>295.41366969872354</v>
      </c>
      <c r="T23" s="59">
        <f t="shared" si="34"/>
        <v>415.02188573182912</v>
      </c>
      <c r="U23" s="15">
        <f>IF(ISNA(VLOOKUP(A23,'Données projet'!$A$35:$I$55,3,0)),0,VLOOKUP(A23,'Données projet'!$A$35:$I$55,3,0))</f>
        <v>4</v>
      </c>
      <c r="V23" s="15">
        <f>IF(ISNA(VLOOKUP(A23,'Données projet'!$A$35:$I$55,4,0)),0,VLOOKUP(A23,'Données projet'!$A$35:$I$55,4,0))</f>
        <v>18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117</v>
      </c>
      <c r="AG23" s="12">
        <f>VLOOKUP(A23,'Données projet'!$A$61:$I$81,9,0)</f>
        <v>14</v>
      </c>
      <c r="AH23" s="12">
        <f t="array" ref="AH23">INDEX(AG:AG,MIN(IF(ISNUMBER(AG23:AG219),ROW(AG23:AG219),"")))</f>
        <v>14</v>
      </c>
      <c r="AI23" s="13">
        <f>IF('Données projet'!$A$62&gt;35,AI22+AH23-AQ22,IF(A23&lt;'Données projet'!$A$62,$AF$205^A23,IF(A23='Données projet'!$A$62,'Données projet'!$B$62,AI22+AH23-AQ22)))</f>
        <v>117</v>
      </c>
      <c r="AJ23" s="13">
        <f>AI23*VLOOKUP('Données projet'!$B$10,Paramètres!$A$1:$I$89,3,0)*VLOOKUP('Données projet'!$B$10,Paramètres!$A$1:$I$89,5,0)</f>
        <v>76.6584</v>
      </c>
      <c r="AK23" s="13">
        <f t="shared" si="35"/>
        <v>21.318127749842347</v>
      </c>
      <c r="AL23" s="20">
        <f t="shared" si="4"/>
        <v>170.6424524976421</v>
      </c>
      <c r="AM23" s="59">
        <f t="shared" si="5"/>
        <v>463.97578583097538</v>
      </c>
      <c r="AN23" s="59">
        <f ca="1">AVERAGE(OFFSET($AM$3,0,0,'Données projet'!$E$10+1,1))-AVERAGE(OFFSET($H$3,0,0,'Données projet'!$E$10+1,1))</f>
        <v>173.80737004674131</v>
      </c>
      <c r="AO23" s="59">
        <f t="shared" si="36"/>
        <v>206.06552061664968</v>
      </c>
      <c r="AP23" s="15">
        <f>IF(ISNA(VLOOKUP(A23,'Données projet'!$A$61:$I$81,3,0)),0,VLOOKUP(A23,'Données projet'!$A$61:$I$81,3,0))</f>
        <v>3</v>
      </c>
      <c r="AQ23" s="15">
        <f>IF(ISNA(VLOOKUP(A23,'Données projet'!$A$61:$I$81,4,0)),0,VLOOKUP(A23,'Données projet'!$A$61:$I$81,4,0))</f>
        <v>12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129</v>
      </c>
      <c r="BB23" s="12">
        <f>VLOOKUP(A23,'Données projet'!$A$87:$I$107,9,0)</f>
        <v>11.2</v>
      </c>
      <c r="BC23" s="12">
        <f t="array" ref="BC23">INDEX(BB:BB,MIN(IF(ISNUMBER(BB23:BB219),ROW(BB23:BB219),"")))</f>
        <v>11.2</v>
      </c>
      <c r="BD23" s="12">
        <f>IF('Données projet'!$A$88&gt;35,BD22+BC23-BL22,IF(A23&lt;'Données projet'!$A$88,$BA$205^A23,IF(A23='Données projet'!$A$88,'Données projet'!$B$88,BD22+BC23-BL22)))</f>
        <v>129</v>
      </c>
      <c r="BE23" s="13">
        <f>BD23*VLOOKUP('Données projet'!$B$11,Paramètres!$A$1:$I$89,3,0)*VLOOKUP('Données projet'!$B$11,Paramètres!$A$1:$I$89,5,0)</f>
        <v>82.508399999999995</v>
      </c>
      <c r="BF23" s="13">
        <f t="shared" si="37"/>
        <v>22.749394597897183</v>
      </c>
      <c r="BG23" s="20">
        <f t="shared" si="7"/>
        <v>183.32399225800421</v>
      </c>
      <c r="BH23" s="59">
        <f t="shared" si="8"/>
        <v>476.65732559133755</v>
      </c>
      <c r="BI23" s="59">
        <f ca="1">AVERAGE(OFFSET($BH$3,0,0,'Données projet'!$E$11+1,1))-AVERAGE(OFFSET($H$3,0,0,'Données projet'!$E$11+1,1))</f>
        <v>136.80149066064263</v>
      </c>
      <c r="BJ23" s="59">
        <f t="shared" si="38"/>
        <v>148.87330541103535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54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19.000800000000005</v>
      </c>
      <c r="D24" s="11">
        <f t="shared" si="32"/>
        <v>6.2154833000252001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194.65201143879105</v>
      </c>
      <c r="H24" s="66">
        <f t="shared" si="1"/>
        <v>337.25169341421054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10.6</v>
      </c>
      <c r="N24" s="13">
        <f>IF('Données projet'!$A$36&gt;35,N23+M24-V23,IF(A24&lt;'Données projet'!$A$36,$K$205^A24,IF(A24='Données projet'!$A$36,'Données projet'!$B$36,N23+M24-V23)))</f>
        <v>171.60000000000002</v>
      </c>
      <c r="O24" s="13">
        <f>N24*VLOOKUP('Données projet'!$B$9,Paramètres!$A$1:$I$89,3,0)*VLOOKUP('Données projet'!$B$9,Paramètres!$A$1:$I$89,5,0)</f>
        <v>155.26368000000002</v>
      </c>
      <c r="P24" s="13">
        <f t="shared" si="33"/>
        <v>39.77236412265178</v>
      </c>
      <c r="Q24" s="20">
        <f t="shared" si="2"/>
        <v>339.68777684695186</v>
      </c>
      <c r="R24" s="59">
        <f t="shared" si="0"/>
        <v>633.02111018028518</v>
      </c>
      <c r="S24" s="59">
        <f ca="1">AVERAGE(OFFSET($R$3,0,0,'Données projet'!$E$9+1,1))-AVERAGE(OFFSET($H$3,0,0,'Données projet'!$E$9+1,1))</f>
        <v>295.41366969872354</v>
      </c>
      <c r="T24" s="59">
        <f t="shared" si="34"/>
        <v>415.02188573182912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11</v>
      </c>
      <c r="AI24" s="13">
        <f>IF('Données projet'!$A$62&gt;35,AI23+AH24-AQ23,IF(A24&lt;'Données projet'!$A$62,$AF$205^A24,IF(A24='Données projet'!$A$62,'Données projet'!$B$62,AI23+AH24-AQ23)))</f>
        <v>116</v>
      </c>
      <c r="AJ24" s="13">
        <f>AI24*VLOOKUP('Données projet'!$B$10,Paramètres!$A$1:$I$89,3,0)*VLOOKUP('Données projet'!$B$10,Paramètres!$A$1:$I$89,5,0)</f>
        <v>76.003200000000007</v>
      </c>
      <c r="AK24" s="13">
        <f t="shared" si="35"/>
        <v>21.157049992000456</v>
      </c>
      <c r="AL24" s="20">
        <f t="shared" si="4"/>
        <v>169.22076873606747</v>
      </c>
      <c r="AM24" s="59">
        <f t="shared" si="5"/>
        <v>462.55410206940076</v>
      </c>
      <c r="AN24" s="59">
        <f ca="1">AVERAGE(OFFSET($AM$3,0,0,'Données projet'!$E$10+1,1))-AVERAGE(OFFSET($H$3,0,0,'Données projet'!$E$10+1,1))</f>
        <v>173.80737004674131</v>
      </c>
      <c r="AO24" s="59">
        <f t="shared" si="36"/>
        <v>206.06552061664968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10.199999999999999</v>
      </c>
      <c r="BD24" s="12">
        <f>IF('Données projet'!$A$88&gt;35,BD23+BC24-BL23,IF(A24&lt;'Données projet'!$A$88,$BA$205^A24,IF(A24='Données projet'!$A$88,'Données projet'!$B$88,BD23+BC24-BL23)))</f>
        <v>85.199999999999989</v>
      </c>
      <c r="BE24" s="13">
        <f>BD24*VLOOKUP('Données projet'!$B$11,Paramètres!$A$1:$I$89,3,0)*VLOOKUP('Données projet'!$B$11,Paramètres!$A$1:$I$89,5,0)</f>
        <v>54.493919999999996</v>
      </c>
      <c r="BF24" s="13">
        <f t="shared" si="37"/>
        <v>15.768457129679897</v>
      </c>
      <c r="BG24" s="20">
        <f t="shared" si="7"/>
        <v>122.37364016752581</v>
      </c>
      <c r="BH24" s="59">
        <f t="shared" si="8"/>
        <v>415.70697350085914</v>
      </c>
      <c r="BI24" s="59">
        <f ca="1">AVERAGE(OFFSET($BH$3,0,0,'Données projet'!$E$11+1,1))-AVERAGE(OFFSET($H$3,0,0,'Données projet'!$E$11+1,1))</f>
        <v>136.80149066064263</v>
      </c>
      <c r="BJ24" s="59">
        <f t="shared" si="38"/>
        <v>148.87330541103535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19.905600000000007</v>
      </c>
      <c r="D25" s="11">
        <f t="shared" si="32"/>
        <v>6.4762948940833889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203.64971497187184</v>
      </c>
      <c r="H25" s="66">
        <f t="shared" si="1"/>
        <v>339.2818002738619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10.6</v>
      </c>
      <c r="N25" s="13">
        <f>IF('Données projet'!$A$36&gt;35,N24+M25-V24,IF(A25&lt;'Données projet'!$A$36,$K$205^A25,IF(A25='Données projet'!$A$36,'Données projet'!$B$36,N24+M25-V24)))</f>
        <v>182.20000000000002</v>
      </c>
      <c r="O25" s="13">
        <f>N25*VLOOKUP('Données projet'!$B$9,Paramètres!$A$1:$I$89,3,0)*VLOOKUP('Données projet'!$B$9,Paramètres!$A$1:$I$89,5,0)</f>
        <v>164.85456000000002</v>
      </c>
      <c r="P25" s="13">
        <f t="shared" si="33"/>
        <v>41.935562922532533</v>
      </c>
      <c r="Q25" s="20">
        <f t="shared" si="2"/>
        <v>360.15946409007756</v>
      </c>
      <c r="R25" s="59">
        <f t="shared" si="0"/>
        <v>653.49279742341082</v>
      </c>
      <c r="S25" s="59">
        <f ca="1">AVERAGE(OFFSET($R$3,0,0,'Données projet'!$E$9+1,1))-AVERAGE(OFFSET($H$3,0,0,'Données projet'!$E$9+1,1))</f>
        <v>295.41366969872354</v>
      </c>
      <c r="T25" s="59">
        <f t="shared" si="34"/>
        <v>415.02188573182912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11</v>
      </c>
      <c r="AI25" s="13">
        <f>IF('Données projet'!$A$62&gt;35,AI24+AH25-AQ24,IF(A25&lt;'Données projet'!$A$62,$AF$205^A25,IF(A25='Données projet'!$A$62,'Données projet'!$B$62,AI24+AH25-AQ24)))</f>
        <v>127</v>
      </c>
      <c r="AJ25" s="13">
        <f>AI25*VLOOKUP('Données projet'!$B$10,Paramètres!$A$1:$I$89,3,0)*VLOOKUP('Données projet'!$B$10,Paramètres!$A$1:$I$89,5,0)</f>
        <v>83.210399999999993</v>
      </c>
      <c r="AK25" s="13">
        <f t="shared" si="35"/>
        <v>22.920337105048574</v>
      </c>
      <c r="AL25" s="20">
        <f t="shared" si="4"/>
        <v>184.84436712462625</v>
      </c>
      <c r="AM25" s="59">
        <f t="shared" si="5"/>
        <v>478.17770045795953</v>
      </c>
      <c r="AN25" s="59">
        <f ca="1">AVERAGE(OFFSET($AM$3,0,0,'Données projet'!$E$10+1,1))-AVERAGE(OFFSET($H$3,0,0,'Données projet'!$E$10+1,1))</f>
        <v>173.80737004674131</v>
      </c>
      <c r="AO25" s="59">
        <f t="shared" si="36"/>
        <v>206.06552061664968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10.199999999999999</v>
      </c>
      <c r="BD25" s="12">
        <f>IF('Données projet'!$A$88&gt;35,BD24+BC25-BL24,IF(A25&lt;'Données projet'!$A$88,$BA$205^A25,IF(A25='Données projet'!$A$88,'Données projet'!$B$88,BD24+BC25-BL24)))</f>
        <v>95.399999999999991</v>
      </c>
      <c r="BE25" s="13">
        <f>BD25*VLOOKUP('Données projet'!$B$11,Paramètres!$A$1:$I$89,3,0)*VLOOKUP('Données projet'!$B$11,Paramètres!$A$1:$I$89,5,0)</f>
        <v>61.01784</v>
      </c>
      <c r="BF25" s="13">
        <f t="shared" si="37"/>
        <v>17.425358414033564</v>
      </c>
      <c r="BG25" s="20">
        <f t="shared" si="7"/>
        <v>136.62190390444178</v>
      </c>
      <c r="BH25" s="59">
        <f t="shared" si="8"/>
        <v>429.95523723777512</v>
      </c>
      <c r="BI25" s="59">
        <f ca="1">AVERAGE(OFFSET($BH$3,0,0,'Données projet'!$E$11+1,1))-AVERAGE(OFFSET($H$3,0,0,'Données projet'!$E$11+1,1))</f>
        <v>136.80149066064263</v>
      </c>
      <c r="BJ25" s="59">
        <f t="shared" si="38"/>
        <v>148.87330541103535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20.810400000000008</v>
      </c>
      <c r="D26" s="11">
        <f t="shared" si="32"/>
        <v>6.7357297012034678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212.63679067595663</v>
      </c>
      <c r="H26" s="66">
        <f t="shared" si="1"/>
        <v>341.30950922959602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10.6</v>
      </c>
      <c r="N26" s="13">
        <f>IF('Données projet'!$A$36&gt;35,N25+M26-V25,IF(A26&lt;'Données projet'!$A$36,$K$205^A26,IF(A26='Données projet'!$A$36,'Données projet'!$B$36,N25+M26-V25)))</f>
        <v>192.8</v>
      </c>
      <c r="O26" s="13">
        <f>N26*VLOOKUP('Données projet'!$B$9,Paramètres!$A$1:$I$89,3,0)*VLOOKUP('Données projet'!$B$9,Paramètres!$A$1:$I$89,5,0)</f>
        <v>174.44543999999999</v>
      </c>
      <c r="P26" s="13">
        <f t="shared" si="33"/>
        <v>44.08415354960767</v>
      </c>
      <c r="Q26" s="20">
        <f t="shared" si="2"/>
        <v>380.6057087655667</v>
      </c>
      <c r="R26" s="59">
        <f t="shared" si="0"/>
        <v>673.93904209890002</v>
      </c>
      <c r="S26" s="59">
        <f ca="1">AVERAGE(OFFSET($R$3,0,0,'Données projet'!$E$9+1,1))-AVERAGE(OFFSET($H$3,0,0,'Données projet'!$E$9+1,1))</f>
        <v>295.41366969872354</v>
      </c>
      <c r="T26" s="59">
        <f t="shared" si="34"/>
        <v>415.02188573182912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11</v>
      </c>
      <c r="AI26" s="13">
        <f>IF('Données projet'!$A$62&gt;35,AI25+AH26-AQ25,IF(A26&lt;'Données projet'!$A$62,$AF$205^A26,IF(A26='Données projet'!$A$62,'Données projet'!$B$62,AI25+AH26-AQ25)))</f>
        <v>138</v>
      </c>
      <c r="AJ26" s="13">
        <f>AI26*VLOOKUP('Données projet'!$B$10,Paramètres!$A$1:$I$89,3,0)*VLOOKUP('Données projet'!$B$10,Paramètres!$A$1:$I$89,5,0)</f>
        <v>90.417600000000007</v>
      </c>
      <c r="AK26" s="13">
        <f t="shared" si="35"/>
        <v>24.665912907068826</v>
      </c>
      <c r="AL26" s="20">
        <f t="shared" si="4"/>
        <v>200.43711831314488</v>
      </c>
      <c r="AM26" s="59">
        <f t="shared" si="5"/>
        <v>493.77045164647819</v>
      </c>
      <c r="AN26" s="59">
        <f ca="1">AVERAGE(OFFSET($AM$3,0,0,'Données projet'!$E$10+1,1))-AVERAGE(OFFSET($H$3,0,0,'Données projet'!$E$10+1,1))</f>
        <v>173.80737004674131</v>
      </c>
      <c r="AO26" s="59">
        <f t="shared" si="36"/>
        <v>206.06552061664968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10.199999999999999</v>
      </c>
      <c r="BD26" s="12">
        <f>IF('Données projet'!$A$88&gt;35,BD25+BC26-BL25,IF(A26&lt;'Données projet'!$A$88,$BA$205^A26,IF(A26='Données projet'!$A$88,'Données projet'!$B$88,BD25+BC26-BL25)))</f>
        <v>105.6</v>
      </c>
      <c r="BE26" s="13">
        <f>BD26*VLOOKUP('Données projet'!$B$11,Paramètres!$A$1:$I$89,3,0)*VLOOKUP('Données projet'!$B$11,Paramètres!$A$1:$I$89,5,0)</f>
        <v>67.541759999999996</v>
      </c>
      <c r="BF26" s="13">
        <f t="shared" si="37"/>
        <v>19.061725619888932</v>
      </c>
      <c r="BG26" s="20">
        <f t="shared" si="7"/>
        <v>150.83440412130653</v>
      </c>
      <c r="BH26" s="59">
        <f t="shared" si="8"/>
        <v>444.16773745463985</v>
      </c>
      <c r="BI26" s="59">
        <f ca="1">AVERAGE(OFFSET($BH$3,0,0,'Données projet'!$E$11+1,1))-AVERAGE(OFFSET($H$3,0,0,'Données projet'!$E$11+1,1))</f>
        <v>136.80149066064263</v>
      </c>
      <c r="BJ26" s="59">
        <f t="shared" si="38"/>
        <v>148.87330541103535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21.71520000000001</v>
      </c>
      <c r="D27" s="11">
        <f t="shared" si="32"/>
        <v>6.9938544235075604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221.61375344461987</v>
      </c>
      <c r="H27" s="66">
        <f t="shared" si="1"/>
        <v>343.33493645427563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10.6</v>
      </c>
      <c r="N27" s="13">
        <f>IF('Données projet'!$A$36&gt;35,N26+M27-V26,IF(A27&lt;'Données projet'!$A$36,$K$205^A27,IF(A27='Données projet'!$A$36,'Données projet'!$B$36,N26+M27-V26)))</f>
        <v>203.4</v>
      </c>
      <c r="O27" s="13">
        <f>N27*VLOOKUP('Données projet'!$B$9,Paramètres!$A$1:$I$89,3,0)*VLOOKUP('Données projet'!$B$9,Paramètres!$A$1:$I$89,5,0)</f>
        <v>184.03631999999999</v>
      </c>
      <c r="P27" s="13">
        <f t="shared" si="33"/>
        <v>46.219030699200047</v>
      </c>
      <c r="Q27" s="20">
        <f t="shared" si="2"/>
        <v>401.0280691344401</v>
      </c>
      <c r="R27" s="59">
        <f t="shared" si="0"/>
        <v>694.36140246777336</v>
      </c>
      <c r="S27" s="59">
        <f ca="1">AVERAGE(OFFSET($R$3,0,0,'Données projet'!$E$9+1,1))-AVERAGE(OFFSET($H$3,0,0,'Données projet'!$E$9+1,1))</f>
        <v>295.41366969872354</v>
      </c>
      <c r="T27" s="59">
        <f t="shared" si="34"/>
        <v>415.02188573182912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11</v>
      </c>
      <c r="AI27" s="13">
        <f>IF('Données projet'!$A$62&gt;35,AI26+AH27-AQ26,IF(A27&lt;'Données projet'!$A$62,$AF$205^A27,IF(A27='Données projet'!$A$62,'Données projet'!$B$62,AI26+AH27-AQ26)))</f>
        <v>149</v>
      </c>
      <c r="AJ27" s="13">
        <f>AI27*VLOOKUP('Données projet'!$B$10,Paramètres!$A$1:$I$89,3,0)*VLOOKUP('Données projet'!$B$10,Paramètres!$A$1:$I$89,5,0)</f>
        <v>97.624800000000008</v>
      </c>
      <c r="AK27" s="13">
        <f t="shared" si="35"/>
        <v>26.395349675372152</v>
      </c>
      <c r="AL27" s="20">
        <f t="shared" si="4"/>
        <v>216.00176068460652</v>
      </c>
      <c r="AM27" s="59">
        <f t="shared" si="5"/>
        <v>509.33509401793981</v>
      </c>
      <c r="AN27" s="59">
        <f ca="1">AVERAGE(OFFSET($AM$3,0,0,'Données projet'!$E$10+1,1))-AVERAGE(OFFSET($H$3,0,0,'Données projet'!$E$10+1,1))</f>
        <v>173.80737004674131</v>
      </c>
      <c r="AO27" s="59">
        <f t="shared" si="36"/>
        <v>206.06552061664968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10.199999999999999</v>
      </c>
      <c r="BD27" s="12">
        <f>IF('Données projet'!$A$88&gt;35,BD26+BC27-BL26,IF(A27&lt;'Données projet'!$A$88,$BA$205^A27,IF(A27='Données projet'!$A$88,'Données projet'!$B$88,BD26+BC27-BL26)))</f>
        <v>115.8</v>
      </c>
      <c r="BE27" s="13">
        <f>BD27*VLOOKUP('Données projet'!$B$11,Paramètres!$A$1:$I$89,3,0)*VLOOKUP('Données projet'!$B$11,Paramètres!$A$1:$I$89,5,0)</f>
        <v>74.06568</v>
      </c>
      <c r="BF27" s="13">
        <f t="shared" si="37"/>
        <v>20.679767839019505</v>
      </c>
      <c r="BG27" s="20">
        <f t="shared" si="7"/>
        <v>165.01498831962564</v>
      </c>
      <c r="BH27" s="59">
        <f t="shared" si="8"/>
        <v>458.34832165295893</v>
      </c>
      <c r="BI27" s="59">
        <f ca="1">AVERAGE(OFFSET($BH$3,0,0,'Données projet'!$E$11+1,1))-AVERAGE(OFFSET($H$3,0,0,'Données projet'!$E$11+1,1))</f>
        <v>136.80149066064263</v>
      </c>
      <c r="BJ27" s="59">
        <f t="shared" si="38"/>
        <v>148.87330541103535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22.620000000000012</v>
      </c>
      <c r="D28" s="11">
        <f t="shared" si="32"/>
        <v>7.2507298901297039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230.58107283608908</v>
      </c>
      <c r="H28" s="66">
        <f t="shared" si="1"/>
        <v>345.35818789197589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214</v>
      </c>
      <c r="L28" s="12">
        <f>VLOOKUP(A28,'Données projet'!$A$35:$I$55,9,0)</f>
        <v>10.6</v>
      </c>
      <c r="M28" s="12">
        <f t="array" ref="M28">INDEX(L:L,MIN(IF(ISNUMBER(L28:L224),ROW(L28:L224),"")))</f>
        <v>10.6</v>
      </c>
      <c r="N28" s="13">
        <f>IF('Données projet'!$A$36&gt;35,N27+M28-V27,IF(A28&lt;'Données projet'!$A$36,$K$205^A28,IF(A28='Données projet'!$A$36,'Données projet'!$B$36,N27+M28-V27)))</f>
        <v>214</v>
      </c>
      <c r="O28" s="13">
        <f>N28*VLOOKUP('Données projet'!$B$9,Paramètres!$A$1:$I$89,3,0)*VLOOKUP('Données projet'!$B$9,Paramètres!$A$1:$I$89,5,0)</f>
        <v>193.62719999999999</v>
      </c>
      <c r="P28" s="13">
        <f t="shared" si="33"/>
        <v>48.340990547231193</v>
      </c>
      <c r="Q28" s="20">
        <f t="shared" si="2"/>
        <v>421.42793186976093</v>
      </c>
      <c r="R28" s="59">
        <f t="shared" si="0"/>
        <v>714.76126520309424</v>
      </c>
      <c r="S28" s="59">
        <f ca="1">AVERAGE(OFFSET($R$3,0,0,'Données projet'!$E$9+1,1))-AVERAGE(OFFSET($H$3,0,0,'Données projet'!$E$9+1,1))</f>
        <v>295.41366969872354</v>
      </c>
      <c r="T28" s="59">
        <f t="shared" si="34"/>
        <v>415.02188573182912</v>
      </c>
      <c r="U28" s="15">
        <f>IF(ISNA(VLOOKUP(A28,'Données projet'!$A$35:$I$55,3,0)),0,VLOOKUP(A28,'Données projet'!$A$35:$I$55,3,0))</f>
        <v>5</v>
      </c>
      <c r="V28" s="15">
        <f>IF(ISNA(VLOOKUP(A28,'Données projet'!$A$35:$I$55,4,0)),0,VLOOKUP(A28,'Données projet'!$A$35:$I$55,4,0))</f>
        <v>14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160</v>
      </c>
      <c r="AG28" s="12">
        <f>VLOOKUP(A28,'Données projet'!$A$61:$I$81,9,0)</f>
        <v>11</v>
      </c>
      <c r="AH28" s="12">
        <f t="array" ref="AH28">INDEX(AG:AG,MIN(IF(ISNUMBER(AG28:AG224),ROW(AG28:AG224),"")))</f>
        <v>11</v>
      </c>
      <c r="AI28" s="13">
        <f>IF('Données projet'!$A$62&gt;35,AI27+AH28-AQ27,IF(A28&lt;'Données projet'!$A$62,$AF$205^A28,IF(A28='Données projet'!$A$62,'Données projet'!$B$62,AI27+AH28-AQ27)))</f>
        <v>160</v>
      </c>
      <c r="AJ28" s="13">
        <f>AI28*VLOOKUP('Données projet'!$B$10,Paramètres!$A$1:$I$89,3,0)*VLOOKUP('Données projet'!$B$10,Paramètres!$A$1:$I$89,5,0)</f>
        <v>104.83200000000001</v>
      </c>
      <c r="AK28" s="13">
        <f t="shared" si="35"/>
        <v>28.109974371137717</v>
      </c>
      <c r="AL28" s="20">
        <f t="shared" si="4"/>
        <v>231.54060536306486</v>
      </c>
      <c r="AM28" s="59">
        <f t="shared" si="5"/>
        <v>524.87393869639823</v>
      </c>
      <c r="AN28" s="59">
        <f ca="1">AVERAGE(OFFSET($AM$3,0,0,'Données projet'!$E$10+1,1))-AVERAGE(OFFSET($H$3,0,0,'Données projet'!$E$10+1,1))</f>
        <v>173.80737004674131</v>
      </c>
      <c r="AO28" s="59">
        <f t="shared" si="36"/>
        <v>206.06552061664968</v>
      </c>
      <c r="AP28" s="15">
        <f>IF(ISNA(VLOOKUP(A28,'Données projet'!$A$61:$I$81,3,0)),0,VLOOKUP(A28,'Données projet'!$A$61:$I$81,3,0))</f>
        <v>4</v>
      </c>
      <c r="AQ28" s="15">
        <f>IF(ISNA(VLOOKUP(A28,'Données projet'!$A$61:$I$81,4,0)),0,VLOOKUP(A28,'Données projet'!$A$61:$I$81,4,0))</f>
        <v>24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126</v>
      </c>
      <c r="BB28" s="12">
        <f>VLOOKUP(A28,'Données projet'!$A$87:$I$107,9,0)</f>
        <v>10.199999999999999</v>
      </c>
      <c r="BC28" s="12">
        <f t="array" ref="BC28">INDEX(BB:BB,MIN(IF(ISNUMBER(BB28:BB224),ROW(BB28:BB224),"")))</f>
        <v>10.199999999999999</v>
      </c>
      <c r="BD28" s="12">
        <f>IF('Données projet'!$A$88&gt;35,BD27+BC28-BL27,IF(A28&lt;'Données projet'!$A$88,$BA$205^A28,IF(A28='Données projet'!$A$88,'Données projet'!$B$88,BD27+BC28-BL27)))</f>
        <v>126</v>
      </c>
      <c r="BE28" s="13">
        <f>BD28*VLOOKUP('Données projet'!$B$11,Paramètres!$A$1:$I$89,3,0)*VLOOKUP('Données projet'!$B$11,Paramètres!$A$1:$I$89,5,0)</f>
        <v>80.589600000000004</v>
      </c>
      <c r="BF28" s="13">
        <f t="shared" si="37"/>
        <v>22.281282727508763</v>
      </c>
      <c r="BG28" s="20">
        <f t="shared" si="7"/>
        <v>179.16678741707778</v>
      </c>
      <c r="BH28" s="59">
        <f t="shared" si="8"/>
        <v>472.5001207504111</v>
      </c>
      <c r="BI28" s="59">
        <f ca="1">AVERAGE(OFFSET($BH$3,0,0,'Données projet'!$E$11+1,1))-AVERAGE(OFFSET($H$3,0,0,'Données projet'!$E$11+1,1))</f>
        <v>136.80149066064263</v>
      </c>
      <c r="BJ28" s="59">
        <f t="shared" si="38"/>
        <v>148.87330541103535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26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23.524800000000013</v>
      </c>
      <c r="D29" s="11">
        <f t="shared" si="32"/>
        <v>7.5064117884233585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239.53917871765407</v>
      </c>
      <c r="H29" s="66">
        <f t="shared" si="1"/>
        <v>347.37936053150401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8.6</v>
      </c>
      <c r="N29" s="13">
        <f>IF('Données projet'!$A$36&gt;35,N28+M29-V28,IF(A29&lt;'Données projet'!$A$36,$K$205^A29,IF(A29='Données projet'!$A$36,'Données projet'!$B$36,N28+M29-V28)))</f>
        <v>208.6</v>
      </c>
      <c r="O29" s="13">
        <f>N29*VLOOKUP('Données projet'!$B$9,Paramètres!$A$1:$I$89,3,0)*VLOOKUP('Données projet'!$B$9,Paramètres!$A$1:$I$89,5,0)</f>
        <v>188.74127999999999</v>
      </c>
      <c r="P29" s="13">
        <f t="shared" si="33"/>
        <v>47.261560168122358</v>
      </c>
      <c r="Q29" s="20">
        <f t="shared" si="2"/>
        <v>411.03827995947972</v>
      </c>
      <c r="R29" s="59">
        <f t="shared" si="0"/>
        <v>704.37161329281298</v>
      </c>
      <c r="S29" s="59">
        <f ca="1">AVERAGE(OFFSET($R$3,0,0,'Données projet'!$E$9+1,1))-AVERAGE(OFFSET($H$3,0,0,'Données projet'!$E$9+1,1))</f>
        <v>295.41366969872354</v>
      </c>
      <c r="T29" s="59">
        <f t="shared" si="34"/>
        <v>415.02188573182912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10</v>
      </c>
      <c r="AI29" s="13">
        <f>IF('Données projet'!$A$62&gt;35,AI28+AH29-AQ28,IF(A29&lt;'Données projet'!$A$62,$AF$205^A29,IF(A29='Données projet'!$A$62,'Données projet'!$B$62,AI28+AH29-AQ28)))</f>
        <v>146</v>
      </c>
      <c r="AJ29" s="13">
        <f>AI29*VLOOKUP('Données projet'!$B$10,Paramètres!$A$1:$I$89,3,0)*VLOOKUP('Données projet'!$B$10,Paramètres!$A$1:$I$89,5,0)</f>
        <v>95.659199999999998</v>
      </c>
      <c r="AK29" s="13">
        <f t="shared" si="35"/>
        <v>25.92520602338745</v>
      </c>
      <c r="AL29" s="20">
        <f t="shared" si="4"/>
        <v>211.75950715739978</v>
      </c>
      <c r="AM29" s="59">
        <f t="shared" si="5"/>
        <v>505.09284049073312</v>
      </c>
      <c r="AN29" s="59">
        <f ca="1">AVERAGE(OFFSET($AM$3,0,0,'Données projet'!$E$10+1,1))-AVERAGE(OFFSET($H$3,0,0,'Données projet'!$E$10+1,1))</f>
        <v>173.80737004674131</v>
      </c>
      <c r="AO29" s="59">
        <f t="shared" si="36"/>
        <v>206.06552061664968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9.8000000000000007</v>
      </c>
      <c r="BD29" s="12">
        <f>IF('Données projet'!$A$88&gt;35,BD28+BC29-BL28,IF(A29&lt;'Données projet'!$A$88,$BA$205^A29,IF(A29='Données projet'!$A$88,'Données projet'!$B$88,BD28+BC29-BL28)))</f>
        <v>109.80000000000001</v>
      </c>
      <c r="BE29" s="13">
        <f>BD29*VLOOKUP('Données projet'!$B$11,Paramètres!$A$1:$I$89,3,0)*VLOOKUP('Données projet'!$B$11,Paramètres!$A$1:$I$89,5,0)</f>
        <v>70.228080000000006</v>
      </c>
      <c r="BF29" s="13">
        <f t="shared" si="37"/>
        <v>19.73008714610275</v>
      </c>
      <c r="BG29" s="20">
        <f t="shared" si="7"/>
        <v>156.67714111279562</v>
      </c>
      <c r="BH29" s="59">
        <f t="shared" si="8"/>
        <v>450.01047444612891</v>
      </c>
      <c r="BI29" s="59">
        <f ca="1">AVERAGE(OFFSET($BH$3,0,0,'Données projet'!$E$11+1,1))-AVERAGE(OFFSET($H$3,0,0,'Données projet'!$E$11+1,1))</f>
        <v>136.80149066064263</v>
      </c>
      <c r="BJ29" s="59">
        <f t="shared" si="38"/>
        <v>148.87330541103535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24.429600000000015</v>
      </c>
      <c r="D30" s="11">
        <f t="shared" si="32"/>
        <v>7.760951279511322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248.48846601728056</v>
      </c>
      <c r="H30" s="66">
        <f t="shared" si="1"/>
        <v>349.39854347848222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8.6</v>
      </c>
      <c r="N30" s="13">
        <f>IF('Données projet'!$A$36&gt;35,N29+M30-V29,IF(A30&lt;'Données projet'!$A$36,$K$205^A30,IF(A30='Données projet'!$A$36,'Données projet'!$B$36,N29+M30-V29)))</f>
        <v>217.2</v>
      </c>
      <c r="O30" s="13">
        <f>N30*VLOOKUP('Données projet'!$B$9,Paramètres!$A$1:$I$89,3,0)*VLOOKUP('Données projet'!$B$9,Paramètres!$A$1:$I$89,5,0)</f>
        <v>196.52255999999997</v>
      </c>
      <c r="P30" s="13">
        <f t="shared" si="33"/>
        <v>48.979153257338155</v>
      </c>
      <c r="Q30" s="20">
        <f t="shared" si="2"/>
        <v>427.58215058986383</v>
      </c>
      <c r="R30" s="59">
        <f t="shared" si="0"/>
        <v>720.91548392319714</v>
      </c>
      <c r="S30" s="59">
        <f ca="1">AVERAGE(OFFSET($R$3,0,0,'Données projet'!$E$9+1,1))-AVERAGE(OFFSET($H$3,0,0,'Données projet'!$E$9+1,1))</f>
        <v>295.41366969872354</v>
      </c>
      <c r="T30" s="59">
        <f t="shared" si="34"/>
        <v>415.02188573182912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10</v>
      </c>
      <c r="AI30" s="13">
        <f>IF('Données projet'!$A$62&gt;35,AI29+AH30-AQ29,IF(A30&lt;'Données projet'!$A$62,$AF$205^A30,IF(A30='Données projet'!$A$62,'Données projet'!$B$62,AI29+AH30-AQ29)))</f>
        <v>156</v>
      </c>
      <c r="AJ30" s="13">
        <f>AI30*VLOOKUP('Données projet'!$B$10,Paramètres!$A$1:$I$89,3,0)*VLOOKUP('Données projet'!$B$10,Paramètres!$A$1:$I$89,5,0)</f>
        <v>102.21119999999999</v>
      </c>
      <c r="AK30" s="13">
        <f t="shared" si="35"/>
        <v>27.488113037666018</v>
      </c>
      <c r="AL30" s="20">
        <f t="shared" si="4"/>
        <v>225.89297020726829</v>
      </c>
      <c r="AM30" s="59">
        <f t="shared" si="5"/>
        <v>519.22630354060163</v>
      </c>
      <c r="AN30" s="59">
        <f ca="1">AVERAGE(OFFSET($AM$3,0,0,'Données projet'!$E$10+1,1))-AVERAGE(OFFSET($H$3,0,0,'Données projet'!$E$10+1,1))</f>
        <v>173.80737004674131</v>
      </c>
      <c r="AO30" s="59">
        <f t="shared" si="36"/>
        <v>206.06552061664968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9.8000000000000007</v>
      </c>
      <c r="BD30" s="12">
        <f>IF('Données projet'!$A$88&gt;35,BD29+BC30-BL29,IF(A30&lt;'Données projet'!$A$88,$BA$205^A30,IF(A30='Données projet'!$A$88,'Données projet'!$B$88,BD29+BC30-BL29)))</f>
        <v>119.60000000000001</v>
      </c>
      <c r="BE30" s="13">
        <f>BD30*VLOOKUP('Données projet'!$B$11,Paramètres!$A$1:$I$89,3,0)*VLOOKUP('Données projet'!$B$11,Paramètres!$A$1:$I$89,5,0)</f>
        <v>76.496160000000003</v>
      </c>
      <c r="BF30" s="13">
        <f t="shared" si="37"/>
        <v>21.278256808653087</v>
      </c>
      <c r="BG30" s="20">
        <f t="shared" si="7"/>
        <v>170.29044260840411</v>
      </c>
      <c r="BH30" s="59">
        <f t="shared" si="8"/>
        <v>463.62377594173745</v>
      </c>
      <c r="BI30" s="59">
        <f ca="1">AVERAGE(OFFSET($BH$3,0,0,'Données projet'!$E$11+1,1))-AVERAGE(OFFSET($H$3,0,0,'Données projet'!$E$11+1,1))</f>
        <v>136.80149066064263</v>
      </c>
      <c r="BJ30" s="59">
        <f t="shared" si="38"/>
        <v>148.87330541103535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25.334400000000016</v>
      </c>
      <c r="D31" s="11">
        <f t="shared" si="32"/>
        <v>8.0143955200794608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257.42929875149071</v>
      </c>
      <c r="H31" s="66">
        <f t="shared" si="1"/>
        <v>351.41581886413837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8.6</v>
      </c>
      <c r="N31" s="13">
        <f>IF('Données projet'!$A$36&gt;35,N30+M31-V30,IF(A31&lt;'Données projet'!$A$36,$K$205^A31,IF(A31='Données projet'!$A$36,'Données projet'!$B$36,N30+M31-V30)))</f>
        <v>225.79999999999998</v>
      </c>
      <c r="O31" s="13">
        <f>N31*VLOOKUP('Données projet'!$B$9,Paramètres!$A$1:$I$89,3,0)*VLOOKUP('Données projet'!$B$9,Paramètres!$A$1:$I$89,5,0)</f>
        <v>204.30383999999995</v>
      </c>
      <c r="P31" s="13">
        <f t="shared" si="33"/>
        <v>50.688846269088558</v>
      </c>
      <c r="Q31" s="20">
        <f t="shared" si="2"/>
        <v>444.11226191866245</v>
      </c>
      <c r="R31" s="59">
        <f t="shared" si="0"/>
        <v>737.44559525199577</v>
      </c>
      <c r="S31" s="59">
        <f ca="1">AVERAGE(OFFSET($R$3,0,0,'Données projet'!$E$9+1,1))-AVERAGE(OFFSET($H$3,0,0,'Données projet'!$E$9+1,1))</f>
        <v>295.41366969872354</v>
      </c>
      <c r="T31" s="59">
        <f t="shared" si="34"/>
        <v>415.02188573182912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10</v>
      </c>
      <c r="AI31" s="13">
        <f>IF('Données projet'!$A$62&gt;35,AI30+AH31-AQ30,IF(A31&lt;'Données projet'!$A$62,$AF$205^A31,IF(A31='Données projet'!$A$62,'Données projet'!$B$62,AI30+AH31-AQ30)))</f>
        <v>166</v>
      </c>
      <c r="AJ31" s="13">
        <f>AI31*VLOOKUP('Données projet'!$B$10,Paramètres!$A$1:$I$89,3,0)*VLOOKUP('Données projet'!$B$10,Paramètres!$A$1:$I$89,5,0)</f>
        <v>108.7632</v>
      </c>
      <c r="AK31" s="13">
        <f t="shared" si="35"/>
        <v>29.039393357192587</v>
      </c>
      <c r="AL31" s="20">
        <f t="shared" si="4"/>
        <v>240.00618343044377</v>
      </c>
      <c r="AM31" s="59">
        <f t="shared" si="5"/>
        <v>533.33951676377706</v>
      </c>
      <c r="AN31" s="59">
        <f ca="1">AVERAGE(OFFSET($AM$3,0,0,'Données projet'!$E$10+1,1))-AVERAGE(OFFSET($H$3,0,0,'Données projet'!$E$10+1,1))</f>
        <v>173.80737004674131</v>
      </c>
      <c r="AO31" s="59">
        <f t="shared" si="36"/>
        <v>206.06552061664968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9.8000000000000007</v>
      </c>
      <c r="BD31" s="12">
        <f>IF('Données projet'!$A$88&gt;35,BD30+BC31-BL30,IF(A31&lt;'Données projet'!$A$88,$BA$205^A31,IF(A31='Données projet'!$A$88,'Données projet'!$B$88,BD30+BC31-BL30)))</f>
        <v>129.4</v>
      </c>
      <c r="BE31" s="13">
        <f>BD31*VLOOKUP('Données projet'!$B$11,Paramètres!$A$1:$I$89,3,0)*VLOOKUP('Données projet'!$B$11,Paramètres!$A$1:$I$89,5,0)</f>
        <v>82.764240000000001</v>
      </c>
      <c r="BF31" s="13">
        <f t="shared" si="37"/>
        <v>22.811713176658596</v>
      </c>
      <c r="BG31" s="20">
        <f t="shared" si="7"/>
        <v>183.87811844934708</v>
      </c>
      <c r="BH31" s="59">
        <f t="shared" si="8"/>
        <v>477.2114517826804</v>
      </c>
      <c r="BI31" s="59">
        <f ca="1">AVERAGE(OFFSET($BH$3,0,0,'Données projet'!$E$11+1,1))-AVERAGE(OFFSET($H$3,0,0,'Données projet'!$E$11+1,1))</f>
        <v>136.80149066064263</v>
      </c>
      <c r="BJ31" s="59">
        <f t="shared" si="38"/>
        <v>148.87330541103535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26.239200000000018</v>
      </c>
      <c r="D32" s="11">
        <f t="shared" si="32"/>
        <v>8.2667881075338148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266.36201346166467</v>
      </c>
      <c r="H32" s="66">
        <f t="shared" si="1"/>
        <v>353.4312626206214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8.6</v>
      </c>
      <c r="N32" s="13">
        <f>IF('Données projet'!$A$36&gt;35,N31+M32-V31,IF(A32&lt;'Données projet'!$A$36,$K$205^A32,IF(A32='Données projet'!$A$36,'Données projet'!$B$36,N31+M32-V31)))</f>
        <v>234.39999999999998</v>
      </c>
      <c r="O32" s="13">
        <f>N32*VLOOKUP('Données projet'!$B$9,Paramètres!$A$1:$I$89,3,0)*VLOOKUP('Données projet'!$B$9,Paramètres!$A$1:$I$89,5,0)</f>
        <v>212.08511999999996</v>
      </c>
      <c r="P32" s="13">
        <f t="shared" si="33"/>
        <v>52.390974537063087</v>
      </c>
      <c r="Q32" s="20">
        <f t="shared" si="2"/>
        <v>460.62919798538474</v>
      </c>
      <c r="R32" s="59">
        <f t="shared" si="0"/>
        <v>753.96253131871799</v>
      </c>
      <c r="S32" s="59">
        <f ca="1">AVERAGE(OFFSET($R$3,0,0,'Données projet'!$E$9+1,1))-AVERAGE(OFFSET($H$3,0,0,'Données projet'!$E$9+1,1))</f>
        <v>295.41366969872354</v>
      </c>
      <c r="T32" s="59">
        <f t="shared" si="34"/>
        <v>415.02188573182912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10</v>
      </c>
      <c r="AI32" s="13">
        <f>IF('Données projet'!$A$62&gt;35,AI31+AH32-AQ31,IF(A32&lt;'Données projet'!$A$62,$AF$205^A32,IF(A32='Données projet'!$A$62,'Données projet'!$B$62,AI31+AH32-AQ31)))</f>
        <v>176</v>
      </c>
      <c r="AJ32" s="13">
        <f>AI32*VLOOKUP('Données projet'!$B$10,Paramètres!$A$1:$I$89,3,0)*VLOOKUP('Données projet'!$B$10,Paramètres!$A$1:$I$89,5,0)</f>
        <v>115.3152</v>
      </c>
      <c r="AK32" s="13">
        <f t="shared" si="35"/>
        <v>30.579827148797317</v>
      </c>
      <c r="AL32" s="20">
        <f t="shared" si="4"/>
        <v>254.10050561748861</v>
      </c>
      <c r="AM32" s="59">
        <f t="shared" si="5"/>
        <v>547.43383895082195</v>
      </c>
      <c r="AN32" s="59">
        <f ca="1">AVERAGE(OFFSET($AM$3,0,0,'Données projet'!$E$10+1,1))-AVERAGE(OFFSET($H$3,0,0,'Données projet'!$E$10+1,1))</f>
        <v>173.80737004674131</v>
      </c>
      <c r="AO32" s="59">
        <f t="shared" si="36"/>
        <v>206.06552061664968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9.8000000000000007</v>
      </c>
      <c r="BD32" s="12">
        <f>IF('Données projet'!$A$88&gt;35,BD31+BC32-BL31,IF(A32&lt;'Données projet'!$A$88,$BA$205^A32,IF(A32='Données projet'!$A$88,'Données projet'!$B$88,BD31+BC32-BL31)))</f>
        <v>139.20000000000002</v>
      </c>
      <c r="BE32" s="13">
        <f>BD32*VLOOKUP('Données projet'!$B$11,Paramètres!$A$1:$I$89,3,0)*VLOOKUP('Données projet'!$B$11,Paramètres!$A$1:$I$89,5,0)</f>
        <v>89.032320000000013</v>
      </c>
      <c r="BF32" s="13">
        <f t="shared" si="37"/>
        <v>24.331697249847547</v>
      </c>
      <c r="BG32" s="20">
        <f t="shared" si="7"/>
        <v>197.4423300434845</v>
      </c>
      <c r="BH32" s="59">
        <f t="shared" si="8"/>
        <v>490.77566337681782</v>
      </c>
      <c r="BI32" s="59">
        <f ca="1">AVERAGE(OFFSET($BH$3,0,0,'Données projet'!$E$11+1,1))-AVERAGE(OFFSET($H$3,0,0,'Données projet'!$E$11+1,1))</f>
        <v>136.80149066064263</v>
      </c>
      <c r="BJ32" s="59">
        <f t="shared" si="38"/>
        <v>148.87330541103535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27.14400000000002</v>
      </c>
      <c r="D33" s="11">
        <f t="shared" si="32"/>
        <v>8.5181694620316382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275.28692216305143</v>
      </c>
      <c r="H33" s="66">
        <f t="shared" si="1"/>
        <v>355.44494514637177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243</v>
      </c>
      <c r="L33" s="12">
        <f>VLOOKUP(A33,'Données projet'!$A$35:$I$55,9,0)</f>
        <v>8.6</v>
      </c>
      <c r="M33" s="12">
        <f t="array" ref="M33">INDEX(L:L,MIN(IF(ISNUMBER(L33:L229),ROW(L33:L229),"")))</f>
        <v>8.6</v>
      </c>
      <c r="N33" s="13">
        <f>IF('Données projet'!$A$36&gt;35,N32+M33-V32,IF(A33&lt;'Données projet'!$A$36,$K$205^A33,IF(A33='Données projet'!$A$36,'Données projet'!$B$36,N32+M33-V32)))</f>
        <v>242.99999999999997</v>
      </c>
      <c r="O33" s="13">
        <f>N33*VLOOKUP('Données projet'!$B$9,Paramètres!$A$1:$I$89,3,0)*VLOOKUP('Données projet'!$B$9,Paramètres!$A$1:$I$89,5,0)</f>
        <v>219.86639999999997</v>
      </c>
      <c r="P33" s="13">
        <f t="shared" si="33"/>
        <v>54.085847394182416</v>
      </c>
      <c r="Q33" s="20">
        <f t="shared" si="2"/>
        <v>477.13349754486762</v>
      </c>
      <c r="R33" s="59">
        <f t="shared" si="0"/>
        <v>770.46683087820088</v>
      </c>
      <c r="S33" s="59">
        <f ca="1">AVERAGE(OFFSET($R$3,0,0,'Données projet'!$E$9+1,1))-AVERAGE(OFFSET($H$3,0,0,'Données projet'!$E$9+1,1))</f>
        <v>295.41366969872354</v>
      </c>
      <c r="T33" s="59">
        <f t="shared" si="34"/>
        <v>415.02188573182912</v>
      </c>
      <c r="U33" s="15">
        <f>IF(ISNA(VLOOKUP(A33,'Données projet'!$A$35:$I$55,3,0)),0,VLOOKUP(A33,'Données projet'!$A$35:$I$55,3,0))</f>
        <v>6</v>
      </c>
      <c r="V33" s="15">
        <f>IF(ISNA(VLOOKUP(A33,'Données projet'!$A$35:$I$55,4,0)),0,VLOOKUP(A33,'Données projet'!$A$35:$I$55,4,0))</f>
        <v>11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186</v>
      </c>
      <c r="AG33" s="12">
        <f>VLOOKUP(A33,'Données projet'!$A$61:$I$81,9,0)</f>
        <v>10</v>
      </c>
      <c r="AH33" s="12">
        <f t="array" ref="AH33">INDEX(AG:AG,MIN(IF(ISNUMBER(AG33:AG229),ROW(AG33:AG229),"")))</f>
        <v>10</v>
      </c>
      <c r="AI33" s="13">
        <f>IF('Données projet'!$A$62&gt;35,AI32+AH33-AQ32,IF(A33&lt;'Données projet'!$A$62,$AF$205^A33,IF(A33='Données projet'!$A$62,'Données projet'!$B$62,AI32+AH33-AQ32)))</f>
        <v>186</v>
      </c>
      <c r="AJ33" s="13">
        <f>AI33*VLOOKUP('Données projet'!$B$10,Paramètres!$A$1:$I$89,3,0)*VLOOKUP('Données projet'!$B$10,Paramètres!$A$1:$I$89,5,0)</f>
        <v>121.86719999999998</v>
      </c>
      <c r="AK33" s="13">
        <f t="shared" si="35"/>
        <v>32.110100916567376</v>
      </c>
      <c r="AL33" s="20">
        <f t="shared" si="4"/>
        <v>268.17713242968813</v>
      </c>
      <c r="AM33" s="59">
        <f t="shared" si="5"/>
        <v>561.51046576302144</v>
      </c>
      <c r="AN33" s="59">
        <f ca="1">AVERAGE(OFFSET($AM$3,0,0,'Données projet'!$E$10+1,1))-AVERAGE(OFFSET($H$3,0,0,'Données projet'!$E$10+1,1))</f>
        <v>173.80737004674131</v>
      </c>
      <c r="AO33" s="59">
        <f t="shared" si="36"/>
        <v>206.06552061664968</v>
      </c>
      <c r="AP33" s="15">
        <f>IF(ISNA(VLOOKUP(A33,'Données projet'!$A$61:$I$81,3,0)),0,VLOOKUP(A33,'Données projet'!$A$61:$I$81,3,0))</f>
        <v>5</v>
      </c>
      <c r="AQ33" s="15">
        <f>IF(ISNA(VLOOKUP(A33,'Données projet'!$A$61:$I$81,4,0)),0,VLOOKUP(A33,'Données projet'!$A$61:$I$81,4,0))</f>
        <v>26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149</v>
      </c>
      <c r="BB33" s="12">
        <f>VLOOKUP(A33,'Données projet'!$A$87:$I$107,9,0)</f>
        <v>9.8000000000000007</v>
      </c>
      <c r="BC33" s="12">
        <f t="array" ref="BC33">INDEX(BB:BB,MIN(IF(ISNUMBER(BB33:BB229),ROW(BB33:BB229),"")))</f>
        <v>9.8000000000000007</v>
      </c>
      <c r="BD33" s="12">
        <f>IF('Données projet'!$A$88&gt;35,BD32+BC33-BL32,IF(A33&lt;'Données projet'!$A$88,$BA$205^A33,IF(A33='Données projet'!$A$88,'Données projet'!$B$88,BD32+BC33-BL32)))</f>
        <v>149.00000000000003</v>
      </c>
      <c r="BE33" s="13">
        <f>BD33*VLOOKUP('Données projet'!$B$11,Paramètres!$A$1:$I$89,3,0)*VLOOKUP('Données projet'!$B$11,Paramètres!$A$1:$I$89,5,0)</f>
        <v>95.300400000000025</v>
      </c>
      <c r="BF33" s="13">
        <f t="shared" si="37"/>
        <v>25.839265391812681</v>
      </c>
      <c r="BG33" s="20">
        <f t="shared" si="7"/>
        <v>210.9849172240738</v>
      </c>
      <c r="BH33" s="59">
        <f t="shared" si="8"/>
        <v>504.31825055740711</v>
      </c>
      <c r="BI33" s="59">
        <f ca="1">AVERAGE(OFFSET($BH$3,0,0,'Données projet'!$E$11+1,1))-AVERAGE(OFFSET($H$3,0,0,'Données projet'!$E$11+1,1))</f>
        <v>136.80149066064263</v>
      </c>
      <c r="BJ33" s="59">
        <f t="shared" si="38"/>
        <v>148.87330541103535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27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28.048800000000021</v>
      </c>
      <c r="D34" s="11">
        <f t="shared" si="32"/>
        <v>8.7685771561441008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284.20431488953358</v>
      </c>
      <c r="H34" s="66">
        <f t="shared" si="1"/>
        <v>357.45693188028429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7</v>
      </c>
      <c r="N34" s="13">
        <f>IF('Données projet'!$A$36&gt;35,N33+M34-V33,IF(A34&lt;'Données projet'!$A$36,$K$205^A34,IF(A34='Données projet'!$A$36,'Données projet'!$B$36,N33+M34-V33)))</f>
        <v>238.99999999999997</v>
      </c>
      <c r="O34" s="13">
        <f>N34*VLOOKUP('Données projet'!$B$9,Paramètres!$A$1:$I$89,3,0)*VLOOKUP('Données projet'!$B$9,Paramètres!$A$1:$I$89,5,0)</f>
        <v>216.24719999999996</v>
      </c>
      <c r="P34" s="13">
        <f t="shared" si="33"/>
        <v>53.298418226645332</v>
      </c>
      <c r="Q34" s="20">
        <f t="shared" si="2"/>
        <v>469.45861841140714</v>
      </c>
      <c r="R34" s="59">
        <f t="shared" si="0"/>
        <v>762.79195174474046</v>
      </c>
      <c r="S34" s="59">
        <f ca="1">AVERAGE(OFFSET($R$3,0,0,'Données projet'!$E$9+1,1))-AVERAGE(OFFSET($H$3,0,0,'Données projet'!$E$9+1,1))</f>
        <v>295.41366969872354</v>
      </c>
      <c r="T34" s="59">
        <f t="shared" si="34"/>
        <v>415.02188573182912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9.6</v>
      </c>
      <c r="AI34" s="13">
        <f>IF('Données projet'!$A$62&gt;35,AI33+AH34-AQ33,IF(A34&lt;'Données projet'!$A$62,$AF$205^A34,IF(A34='Données projet'!$A$62,'Données projet'!$B$62,AI33+AH34-AQ33)))</f>
        <v>169.6</v>
      </c>
      <c r="AJ34" s="13">
        <f>AI34*VLOOKUP('Données projet'!$B$10,Paramètres!$A$1:$I$89,3,0)*VLOOKUP('Données projet'!$B$10,Paramètres!$A$1:$I$89,5,0)</f>
        <v>111.12192</v>
      </c>
      <c r="AK34" s="13">
        <f t="shared" si="35"/>
        <v>29.595161360044589</v>
      </c>
      <c r="AL34" s="20">
        <f t="shared" si="4"/>
        <v>245.08225003541099</v>
      </c>
      <c r="AM34" s="59">
        <f t="shared" si="5"/>
        <v>538.41558336874436</v>
      </c>
      <c r="AN34" s="59">
        <f ca="1">AVERAGE(OFFSET($AM$3,0,0,'Données projet'!$E$10+1,1))-AVERAGE(OFFSET($H$3,0,0,'Données projet'!$E$10+1,1))</f>
        <v>173.80737004674131</v>
      </c>
      <c r="AO34" s="59">
        <f t="shared" si="36"/>
        <v>206.06552061664968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9.1999999999999993</v>
      </c>
      <c r="BD34" s="12">
        <f>IF('Données projet'!$A$88&gt;35,BD33+BC34-BL33,IF(A34&lt;'Données projet'!$A$88,$BA$205^A34,IF(A34='Données projet'!$A$88,'Données projet'!$B$88,BD33+BC34-BL33)))</f>
        <v>131.20000000000002</v>
      </c>
      <c r="BE34" s="13">
        <f>BD34*VLOOKUP('Données projet'!$B$11,Paramètres!$A$1:$I$89,3,0)*VLOOKUP('Données projet'!$B$11,Paramètres!$A$1:$I$89,5,0)</f>
        <v>83.915520000000001</v>
      </c>
      <c r="BF34" s="13">
        <f t="shared" si="37"/>
        <v>23.091870453158084</v>
      </c>
      <c r="BG34" s="20">
        <f t="shared" si="7"/>
        <v>186.3712050392503</v>
      </c>
      <c r="BH34" s="59">
        <f t="shared" si="8"/>
        <v>479.70453837258361</v>
      </c>
      <c r="BI34" s="59">
        <f ca="1">AVERAGE(OFFSET($BH$3,0,0,'Données projet'!$E$11+1,1))-AVERAGE(OFFSET($H$3,0,0,'Données projet'!$E$11+1,1))</f>
        <v>136.80149066064263</v>
      </c>
      <c r="BJ34" s="59">
        <f t="shared" si="38"/>
        <v>148.87330541103535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28.953600000000023</v>
      </c>
      <c r="D35" s="11">
        <f t="shared" si="32"/>
        <v>9.0180462007869373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293.11446190081165</v>
      </c>
      <c r="H35" s="66">
        <f t="shared" si="1"/>
        <v>359.46728379970392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7</v>
      </c>
      <c r="N35" s="13">
        <f>IF('Données projet'!$A$36&gt;35,N34+M35-V34,IF(A35&lt;'Données projet'!$A$36,$K$205^A35,IF(A35='Données projet'!$A$36,'Données projet'!$B$36,N34+M35-V34)))</f>
        <v>245.99999999999997</v>
      </c>
      <c r="O35" s="13">
        <f>N35*VLOOKUP('Données projet'!$B$9,Paramètres!$A$1:$I$89,3,0)*VLOOKUP('Données projet'!$B$9,Paramètres!$A$1:$I$89,5,0)</f>
        <v>222.58079999999998</v>
      </c>
      <c r="P35" s="13">
        <f t="shared" si="33"/>
        <v>54.675428546153199</v>
      </c>
      <c r="Q35" s="20">
        <f t="shared" ref="Q35:Q66" si="53">(O35+P35)*0.475*44/12</f>
        <v>482.88793138455003</v>
      </c>
      <c r="R35" s="59">
        <f t="shared" si="0"/>
        <v>776.22126471788329</v>
      </c>
      <c r="S35" s="59">
        <f ca="1">AVERAGE(OFFSET($R$3,0,0,'Données projet'!$E$9+1,1))-AVERAGE(OFFSET($H$3,0,0,'Données projet'!$E$9+1,1))</f>
        <v>295.41366969872354</v>
      </c>
      <c r="T35" s="59">
        <f t="shared" si="34"/>
        <v>415.02188573182912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9.6</v>
      </c>
      <c r="AI35" s="13">
        <f>IF('Données projet'!$A$62&gt;35,AI34+AH35-AQ34,IF(A35&lt;'Données projet'!$A$62,$AF$205^A35,IF(A35='Données projet'!$A$62,'Données projet'!$B$62,AI34+AH35-AQ34)))</f>
        <v>179.2</v>
      </c>
      <c r="AJ35" s="13">
        <f>AI35*VLOOKUP('Données projet'!$B$10,Paramètres!$A$1:$I$89,3,0)*VLOOKUP('Données projet'!$B$10,Paramètres!$A$1:$I$89,5,0)</f>
        <v>117.41184</v>
      </c>
      <c r="AK35" s="13">
        <f t="shared" si="35"/>
        <v>31.070589593507073</v>
      </c>
      <c r="AL35" s="20">
        <f t="shared" si="4"/>
        <v>258.60689820869146</v>
      </c>
      <c r="AM35" s="59">
        <f t="shared" si="5"/>
        <v>551.94023154202478</v>
      </c>
      <c r="AN35" s="59">
        <f ca="1">AVERAGE(OFFSET($AM$3,0,0,'Données projet'!$E$10+1,1))-AVERAGE(OFFSET($H$3,0,0,'Données projet'!$E$10+1,1))</f>
        <v>173.80737004674131</v>
      </c>
      <c r="AO35" s="59">
        <f t="shared" si="36"/>
        <v>206.06552061664968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9.1999999999999993</v>
      </c>
      <c r="BD35" s="12">
        <f>IF('Données projet'!$A$88&gt;35,BD34+BC35-BL34,IF(A35&lt;'Données projet'!$A$88,$BA$205^A35,IF(A35='Données projet'!$A$88,'Données projet'!$B$88,BD34+BC35-BL34)))</f>
        <v>140.4</v>
      </c>
      <c r="BE35" s="13">
        <f>BD35*VLOOKUP('Données projet'!$B$11,Paramètres!$A$1:$I$89,3,0)*VLOOKUP('Données projet'!$B$11,Paramètres!$A$1:$I$89,5,0)</f>
        <v>89.799840000000003</v>
      </c>
      <c r="BF35" s="13">
        <f t="shared" si="37"/>
        <v>24.516944968171948</v>
      </c>
      <c r="BG35" s="20">
        <f t="shared" si="7"/>
        <v>199.10173381956614</v>
      </c>
      <c r="BH35" s="59">
        <f t="shared" si="8"/>
        <v>492.43506715289948</v>
      </c>
      <c r="BI35" s="59">
        <f ca="1">AVERAGE(OFFSET($BH$3,0,0,'Données projet'!$E$11+1,1))-AVERAGE(OFFSET($H$3,0,0,'Données projet'!$E$11+1,1))</f>
        <v>136.80149066064263</v>
      </c>
      <c r="BJ35" s="59">
        <f t="shared" si="38"/>
        <v>148.87330541103535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29.858400000000024</v>
      </c>
      <c r="D36" s="11">
        <f t="shared" si="32"/>
        <v>9.2666092944057183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302.01761560593906</v>
      </c>
      <c r="H36" s="66">
        <f t="shared" si="1"/>
        <v>361.47605785442329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7</v>
      </c>
      <c r="N36" s="13">
        <f>IF('Données projet'!$A$36&gt;35,N35+M36-V35,IF(A36&lt;'Données projet'!$A$36,$K$205^A36,IF(A36='Données projet'!$A$36,'Données projet'!$B$36,N35+M36-V35)))</f>
        <v>252.99999999999997</v>
      </c>
      <c r="O36" s="13">
        <f>N36*VLOOKUP('Données projet'!$B$9,Paramètres!$A$1:$I$89,3,0)*VLOOKUP('Données projet'!$B$9,Paramètres!$A$1:$I$89,5,0)</f>
        <v>228.91439999999997</v>
      </c>
      <c r="P36" s="13">
        <f t="shared" si="33"/>
        <v>56.047884834417424</v>
      </c>
      <c r="Q36" s="20">
        <f t="shared" si="53"/>
        <v>496.30931275327697</v>
      </c>
      <c r="R36" s="59">
        <f t="shared" si="0"/>
        <v>789.64264608661028</v>
      </c>
      <c r="S36" s="59">
        <f ca="1">AVERAGE(OFFSET($R$3,0,0,'Données projet'!$E$9+1,1))-AVERAGE(OFFSET($H$3,0,0,'Données projet'!$E$9+1,1))</f>
        <v>295.41366969872354</v>
      </c>
      <c r="T36" s="59">
        <f t="shared" si="34"/>
        <v>415.02188573182912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9.6</v>
      </c>
      <c r="AI36" s="13">
        <f>IF('Données projet'!$A$62&gt;35,AI35+AH36-AQ35,IF(A36&lt;'Données projet'!$A$62,$AF$205^A36,IF(A36='Données projet'!$A$62,'Données projet'!$B$62,AI35+AH36-AQ35)))</f>
        <v>188.79999999999998</v>
      </c>
      <c r="AJ36" s="13">
        <f>AI36*VLOOKUP('Données projet'!$B$10,Paramètres!$A$1:$I$89,3,0)*VLOOKUP('Données projet'!$B$10,Paramètres!$A$1:$I$89,5,0)</f>
        <v>123.70175999999999</v>
      </c>
      <c r="AK36" s="13">
        <f t="shared" si="35"/>
        <v>32.536841470486884</v>
      </c>
      <c r="AL36" s="20">
        <f t="shared" si="4"/>
        <v>272.11556422776465</v>
      </c>
      <c r="AM36" s="59">
        <f t="shared" si="5"/>
        <v>565.44889756109797</v>
      </c>
      <c r="AN36" s="59">
        <f ca="1">AVERAGE(OFFSET($AM$3,0,0,'Données projet'!$E$10+1,1))-AVERAGE(OFFSET($H$3,0,0,'Données projet'!$E$10+1,1))</f>
        <v>173.80737004674131</v>
      </c>
      <c r="AO36" s="59">
        <f t="shared" si="36"/>
        <v>206.06552061664968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9.1999999999999993</v>
      </c>
      <c r="BD36" s="12">
        <f>IF('Données projet'!$A$88&gt;35,BD35+BC36-BL35,IF(A36&lt;'Données projet'!$A$88,$BA$205^A36,IF(A36='Données projet'!$A$88,'Données projet'!$B$88,BD35+BC36-BL35)))</f>
        <v>149.6</v>
      </c>
      <c r="BE36" s="13">
        <f>BD36*VLOOKUP('Données projet'!$B$11,Paramètres!$A$1:$I$89,3,0)*VLOOKUP('Données projet'!$B$11,Paramètres!$A$1:$I$89,5,0)</f>
        <v>95.684159999999991</v>
      </c>
      <c r="BF36" s="13">
        <f t="shared" si="37"/>
        <v>25.931183104719384</v>
      </c>
      <c r="BG36" s="20">
        <f t="shared" si="7"/>
        <v>211.81338924071954</v>
      </c>
      <c r="BH36" s="59">
        <f t="shared" si="8"/>
        <v>505.14672257405289</v>
      </c>
      <c r="BI36" s="59">
        <f ca="1">AVERAGE(OFFSET($BH$3,0,0,'Données projet'!$E$11+1,1))-AVERAGE(OFFSET($H$3,0,0,'Données projet'!$E$11+1,1))</f>
        <v>136.80149066064263</v>
      </c>
      <c r="BJ36" s="59">
        <f t="shared" si="38"/>
        <v>148.87330541103535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30.763200000000026</v>
      </c>
      <c r="D37" s="11">
        <f t="shared" si="32"/>
        <v>9.5142970411082342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310.9140122471515</v>
      </c>
      <c r="H37" s="66">
        <f t="shared" si="1"/>
        <v>363.48330734659686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7</v>
      </c>
      <c r="N37" s="13">
        <f>IF('Données projet'!$A$36&gt;35,N36+M37-V36,IF(A37&lt;'Données projet'!$A$36,$K$205^A37,IF(A37='Données projet'!$A$36,'Données projet'!$B$36,N36+M37-V36)))</f>
        <v>260</v>
      </c>
      <c r="O37" s="13">
        <f>N37*VLOOKUP('Données projet'!$B$9,Paramètres!$A$1:$I$89,3,0)*VLOOKUP('Données projet'!$B$9,Paramètres!$A$1:$I$89,5,0)</f>
        <v>235.24799999999999</v>
      </c>
      <c r="P37" s="13">
        <f t="shared" si="33"/>
        <v>57.41592756883739</v>
      </c>
      <c r="Q37" s="20">
        <f t="shared" si="53"/>
        <v>509.72300718239177</v>
      </c>
      <c r="R37" s="59">
        <f t="shared" si="0"/>
        <v>803.05634051572508</v>
      </c>
      <c r="S37" s="59">
        <f ca="1">AVERAGE(OFFSET($R$3,0,0,'Données projet'!$E$9+1,1))-AVERAGE(OFFSET($H$3,0,0,'Données projet'!$E$9+1,1))</f>
        <v>295.41366969872354</v>
      </c>
      <c r="T37" s="59">
        <f t="shared" si="34"/>
        <v>415.02188573182912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9.6</v>
      </c>
      <c r="AI37" s="13">
        <f>IF('Données projet'!$A$62&gt;35,AI36+AH37-AQ36,IF(A37&lt;'Données projet'!$A$62,$AF$205^A37,IF(A37='Données projet'!$A$62,'Données projet'!$B$62,AI36+AH37-AQ36)))</f>
        <v>198.39999999999998</v>
      </c>
      <c r="AJ37" s="13">
        <f>AI37*VLOOKUP('Données projet'!$B$10,Paramètres!$A$1:$I$89,3,0)*VLOOKUP('Données projet'!$B$10,Paramètres!$A$1:$I$89,5,0)</f>
        <v>129.99167999999997</v>
      </c>
      <c r="AK37" s="13">
        <f t="shared" si="35"/>
        <v>33.994436817469854</v>
      </c>
      <c r="AL37" s="20">
        <f t="shared" si="4"/>
        <v>285.60915345709321</v>
      </c>
      <c r="AM37" s="59">
        <f t="shared" si="5"/>
        <v>578.94248679042653</v>
      </c>
      <c r="AN37" s="59">
        <f ca="1">AVERAGE(OFFSET($AM$3,0,0,'Données projet'!$E$10+1,1))-AVERAGE(OFFSET($H$3,0,0,'Données projet'!$E$10+1,1))</f>
        <v>173.80737004674131</v>
      </c>
      <c r="AO37" s="59">
        <f t="shared" si="36"/>
        <v>206.06552061664968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9.1999999999999993</v>
      </c>
      <c r="BD37" s="12">
        <f>IF('Données projet'!$A$88&gt;35,BD36+BC37-BL36,IF(A37&lt;'Données projet'!$A$88,$BA$205^A37,IF(A37='Données projet'!$A$88,'Données projet'!$B$88,BD36+BC37-BL36)))</f>
        <v>158.79999999999998</v>
      </c>
      <c r="BE37" s="13">
        <f>BD37*VLOOKUP('Données projet'!$B$11,Paramètres!$A$1:$I$89,3,0)*VLOOKUP('Données projet'!$B$11,Paramètres!$A$1:$I$89,5,0)</f>
        <v>101.56847999999999</v>
      </c>
      <c r="BF37" s="13">
        <f t="shared" si="37"/>
        <v>27.335327148650801</v>
      </c>
      <c r="BG37" s="20">
        <f t="shared" si="7"/>
        <v>224.50746411723344</v>
      </c>
      <c r="BH37" s="59">
        <f t="shared" si="8"/>
        <v>517.8407974505667</v>
      </c>
      <c r="BI37" s="59">
        <f ca="1">AVERAGE(OFFSET($BH$3,0,0,'Données projet'!$E$11+1,1))-AVERAGE(OFFSET($H$3,0,0,'Données projet'!$E$11+1,1))</f>
        <v>136.80149066064263</v>
      </c>
      <c r="BJ37" s="59">
        <f t="shared" si="38"/>
        <v>148.87330541103535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31.668000000000028</v>
      </c>
      <c r="D38" s="11">
        <f t="shared" si="32"/>
        <v>9.7611381424130741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319.80387338003095</v>
      </c>
      <c r="H38" s="66">
        <f t="shared" si="1"/>
        <v>365.4890822647028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267</v>
      </c>
      <c r="L38" s="12">
        <f>VLOOKUP(A38,'Données projet'!$A$35:$I$55,9,0)</f>
        <v>7</v>
      </c>
      <c r="M38" s="12">
        <f t="array" ref="M38">INDEX(L:L,MIN(IF(ISNUMBER(L38:L234),ROW(L38:L234),"")))</f>
        <v>7</v>
      </c>
      <c r="N38" s="13">
        <f>IF('Données projet'!$A$36&gt;35,N37+M38-V37,IF(A38&lt;'Données projet'!$A$36,$K$205^A38,IF(A38='Données projet'!$A$36,'Données projet'!$B$36,N37+M38-V37)))</f>
        <v>267</v>
      </c>
      <c r="O38" s="13">
        <f>N38*VLOOKUP('Données projet'!$B$9,Paramètres!$A$1:$I$89,3,0)*VLOOKUP('Données projet'!$B$9,Paramètres!$A$1:$I$89,5,0)</f>
        <v>241.58159999999998</v>
      </c>
      <c r="P38" s="13">
        <f t="shared" si="33"/>
        <v>58.779689232021951</v>
      </c>
      <c r="Q38" s="20">
        <f t="shared" si="53"/>
        <v>523.12924541243819</v>
      </c>
      <c r="R38" s="59">
        <f t="shared" si="0"/>
        <v>816.46257874577145</v>
      </c>
      <c r="S38" s="59">
        <f ca="1">AVERAGE(OFFSET($R$3,0,0,'Données projet'!$E$9+1,1))-AVERAGE(OFFSET($H$3,0,0,'Données projet'!$E$9+1,1))</f>
        <v>295.41366969872354</v>
      </c>
      <c r="T38" s="59">
        <f t="shared" si="34"/>
        <v>415.02188573182912</v>
      </c>
      <c r="U38" s="15">
        <f>IF(ISNA(VLOOKUP(A38,'Données projet'!$A$35:$I$55,3,0)),0,VLOOKUP(A38,'Données projet'!$A$35:$I$55,3,0))</f>
        <v>7</v>
      </c>
      <c r="V38" s="15">
        <f>IF(ISNA(VLOOKUP(A38,'Données projet'!$A$35:$I$55,4,0)),0,VLOOKUP(A38,'Données projet'!$A$35:$I$55,4,0))</f>
        <v>9</v>
      </c>
      <c r="W38" s="16">
        <f>IF(ISNA(VLOOKUP(A38,'Données projet'!$A$35:$I$55,5,0)),0%,VLOOKUP(A38,'Données projet'!$A$35:$I$55,5,0)*VLOOKUP('Données projet'!$B$9,Paramètres!$A$1:$I$89,7,0))</f>
        <v>0.3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2.7006199183838153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2.7006199183838153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208</v>
      </c>
      <c r="AG38" s="12">
        <f>VLOOKUP(A38,'Données projet'!$A$61:$I$81,9,0)</f>
        <v>9.6</v>
      </c>
      <c r="AH38" s="12">
        <f t="array" ref="AH38">INDEX(AG:AG,MIN(IF(ISNUMBER(AG38:AG234),ROW(AG38:AG234),"")))</f>
        <v>9.6</v>
      </c>
      <c r="AI38" s="13">
        <f>IF('Données projet'!$A$62&gt;35,AI37+AH38-AQ37,IF(A38&lt;'Données projet'!$A$62,$AF$205^A38,IF(A38='Données projet'!$A$62,'Données projet'!$B$62,AI37+AH38-AQ37)))</f>
        <v>207.99999999999997</v>
      </c>
      <c r="AJ38" s="13">
        <f>AI38*VLOOKUP('Données projet'!$B$10,Paramètres!$A$1:$I$89,3,0)*VLOOKUP('Données projet'!$B$10,Paramètres!$A$1:$I$89,5,0)</f>
        <v>136.28159999999997</v>
      </c>
      <c r="AK38" s="13">
        <f t="shared" si="35"/>
        <v>35.443842312892279</v>
      </c>
      <c r="AL38" s="20">
        <f t="shared" si="4"/>
        <v>299.08847869495401</v>
      </c>
      <c r="AM38" s="59">
        <f t="shared" si="5"/>
        <v>592.42181202828738</v>
      </c>
      <c r="AN38" s="59">
        <f ca="1">AVERAGE(OFFSET($AM$3,0,0,'Données projet'!$E$10+1,1))-AVERAGE(OFFSET($H$3,0,0,'Données projet'!$E$10+1,1))</f>
        <v>173.80737004674131</v>
      </c>
      <c r="AO38" s="59">
        <f t="shared" si="36"/>
        <v>206.06552061664968</v>
      </c>
      <c r="AP38" s="15">
        <f>IF(ISNA(VLOOKUP(A38,'Données projet'!$A$61:$I$81,3,0)),0,VLOOKUP(A38,'Données projet'!$A$61:$I$81,3,0))</f>
        <v>6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0.43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8.720622479746666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8.720622479746666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168</v>
      </c>
      <c r="BB38" s="12">
        <f>VLOOKUP(A38,'Données projet'!$A$87:$I$107,9,0)</f>
        <v>9.1999999999999993</v>
      </c>
      <c r="BC38" s="12">
        <f t="array" ref="BC38">INDEX(BB:BB,MIN(IF(ISNUMBER(BB38:BB234),ROW(BB38:BB234),"")))</f>
        <v>9.1999999999999993</v>
      </c>
      <c r="BD38" s="12">
        <f>IF('Données projet'!$A$88&gt;35,BD37+BC38-BL37,IF(A38&lt;'Données projet'!$A$88,$BA$205^A38,IF(A38='Données projet'!$A$88,'Données projet'!$B$88,BD37+BC38-BL37)))</f>
        <v>167.99999999999997</v>
      </c>
      <c r="BE38" s="13">
        <f>BD38*VLOOKUP('Données projet'!$B$11,Paramètres!$A$1:$I$89,3,0)*VLOOKUP('Données projet'!$B$11,Paramètres!$A$1:$I$89,5,0)</f>
        <v>107.45279999999997</v>
      </c>
      <c r="BF38" s="13">
        <f t="shared" si="37"/>
        <v>28.7300285196239</v>
      </c>
      <c r="BG38" s="20">
        <f t="shared" si="7"/>
        <v>237.18509300501151</v>
      </c>
      <c r="BH38" s="59">
        <f t="shared" si="8"/>
        <v>530.51842633834485</v>
      </c>
      <c r="BI38" s="59">
        <f ca="1">AVERAGE(OFFSET($BH$3,0,0,'Données projet'!$E$11+1,1))-AVERAGE(OFFSET($H$3,0,0,'Données projet'!$E$11+1,1))</f>
        <v>136.80149066064263</v>
      </c>
      <c r="BJ38" s="59">
        <f t="shared" si="38"/>
        <v>148.87330541103535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27</v>
      </c>
      <c r="BM38" s="16">
        <f>IF(ISNA(VLOOKUP(A38,'Données projet'!$A$87:$I$107,5,0)),0%,VLOOKUP(A38,'Données projet'!$A$87:$I$107,5,0)*VLOOKUP('Données projet'!$B$11,Paramètres!$A$1:$I$89,7,0))</f>
        <v>0.43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8.2089533036390812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8.2089533036390812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32.572800000000029</v>
      </c>
      <c r="D39" s="11">
        <f t="shared" si="32"/>
        <v>10.007159566468198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328.68740717975476</v>
      </c>
      <c r="H39" s="66">
        <f t="shared" si="1"/>
        <v>367.49342957826548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6.2</v>
      </c>
      <c r="N39" s="13">
        <f>IF('Données projet'!$A$36&gt;35,N38+M39-V38,IF(A39&lt;'Données projet'!$A$36,$K$205^A39,IF(A39='Données projet'!$A$36,'Données projet'!$B$36,N38+M39-V38)))</f>
        <v>264.2</v>
      </c>
      <c r="O39" s="13">
        <f>N39*VLOOKUP('Données projet'!$B$9,Paramètres!$A$1:$I$89,3,0)*VLOOKUP('Données projet'!$B$9,Paramètres!$A$1:$I$89,5,0)</f>
        <v>239.04816</v>
      </c>
      <c r="P39" s="13">
        <f t="shared" si="33"/>
        <v>58.234690128947292</v>
      </c>
      <c r="Q39" s="20">
        <f t="shared" si="53"/>
        <v>517.76763064124987</v>
      </c>
      <c r="R39" s="59">
        <f t="shared" si="0"/>
        <v>811.10096397458324</v>
      </c>
      <c r="S39" s="59">
        <f ca="1">AVERAGE(OFFSET($R$3,0,0,'Données projet'!$E$9+1,1))-AVERAGE(OFFSET($H$3,0,0,'Données projet'!$E$9+1,1))</f>
        <v>295.41366969872354</v>
      </c>
      <c r="T39" s="59">
        <f t="shared" si="34"/>
        <v>415.02188573182912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2.64766240899981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2.64766240899981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8.8000000000000007</v>
      </c>
      <c r="AI39" s="13">
        <f>IF('Données projet'!$A$62&gt;35,AI38+AH39-AQ38,IF(A39&lt;'Données projet'!$A$62,$AF$205^A39,IF(A39='Données projet'!$A$62,'Données projet'!$B$62,AI38+AH39-AQ38)))</f>
        <v>188.79999999999998</v>
      </c>
      <c r="AJ39" s="13">
        <f>AI39*VLOOKUP('Données projet'!$B$10,Paramètres!$A$1:$I$89,3,0)*VLOOKUP('Données projet'!$B$10,Paramètres!$A$1:$I$89,5,0)</f>
        <v>123.70175999999999</v>
      </c>
      <c r="AK39" s="13">
        <f t="shared" si="35"/>
        <v>32.536841470486884</v>
      </c>
      <c r="AL39" s="20">
        <f t="shared" si="4"/>
        <v>272.11556422776465</v>
      </c>
      <c r="AM39" s="59">
        <f t="shared" si="5"/>
        <v>565.44889756109797</v>
      </c>
      <c r="AN39" s="59">
        <f ca="1">AVERAGE(OFFSET($AM$3,0,0,'Données projet'!$E$10+1,1))-AVERAGE(OFFSET($H$3,0,0,'Données projet'!$E$10+1,1))</f>
        <v>173.80737004674131</v>
      </c>
      <c r="AO39" s="59">
        <f t="shared" si="36"/>
        <v>206.06552061664968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8.5496163919733341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8.5496163919733341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8.8000000000000007</v>
      </c>
      <c r="BD39" s="12">
        <f>IF('Données projet'!$A$88&gt;35,BD38+BC39-BL38,IF(A39&lt;'Données projet'!$A$88,$BA$205^A39,IF(A39='Données projet'!$A$88,'Données projet'!$B$88,BD38+BC39-BL38)))</f>
        <v>149.79999999999998</v>
      </c>
      <c r="BE39" s="13">
        <f>BD39*VLOOKUP('Données projet'!$B$11,Paramètres!$A$1:$I$89,3,0)*VLOOKUP('Données projet'!$B$11,Paramètres!$A$1:$I$89,5,0)</f>
        <v>95.812079999999995</v>
      </c>
      <c r="BF39" s="13">
        <f t="shared" si="37"/>
        <v>25.9618127992258</v>
      </c>
      <c r="BG39" s="20">
        <f t="shared" si="7"/>
        <v>212.08952995865158</v>
      </c>
      <c r="BH39" s="59">
        <f t="shared" si="8"/>
        <v>505.42286329198487</v>
      </c>
      <c r="BI39" s="59">
        <f ca="1">AVERAGE(OFFSET($BH$3,0,0,'Données projet'!$E$11+1,1))-AVERAGE(OFFSET($H$3,0,0,'Données projet'!$E$11+1,1))</f>
        <v>136.80149066064263</v>
      </c>
      <c r="BJ39" s="59">
        <f t="shared" si="38"/>
        <v>148.87330541103535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8.0479807363218363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8.0479807363218363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33.477600000000031</v>
      </c>
      <c r="D40" s="11">
        <f t="shared" si="32"/>
        <v>10.252386697938803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337.56480959812433</v>
      </c>
      <c r="H40" s="66">
        <f t="shared" si="1"/>
        <v>369.49639349891009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6.2</v>
      </c>
      <c r="N40" s="13">
        <f>IF('Données projet'!$A$36&gt;35,N39+M40-V39,IF(A40&lt;'Données projet'!$A$36,$K$205^A40,IF(A40='Données projet'!$A$36,'Données projet'!$B$36,N39+M40-V39)))</f>
        <v>270.39999999999998</v>
      </c>
      <c r="O40" s="13">
        <f>N40*VLOOKUP('Données projet'!$B$9,Paramètres!$A$1:$I$89,3,0)*VLOOKUP('Données projet'!$B$9,Paramètres!$A$1:$I$89,5,0)</f>
        <v>244.65791999999996</v>
      </c>
      <c r="P40" s="13">
        <f t="shared" si="33"/>
        <v>59.44058075210868</v>
      </c>
      <c r="Q40" s="20">
        <f t="shared" si="53"/>
        <v>529.6382221432558</v>
      </c>
      <c r="R40" s="59">
        <f t="shared" si="0"/>
        <v>822.97155547658917</v>
      </c>
      <c r="S40" s="59">
        <f ca="1">AVERAGE(OFFSET($R$3,0,0,'Données projet'!$E$9+1,1))-AVERAGE(OFFSET($H$3,0,0,'Données projet'!$E$9+1,1))</f>
        <v>295.41366969872354</v>
      </c>
      <c r="T40" s="59">
        <f t="shared" si="34"/>
        <v>415.02188573182912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2.5957433640739338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2.5957433640739338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8.8000000000000007</v>
      </c>
      <c r="AI40" s="13">
        <f>IF('Données projet'!$A$62&gt;35,AI39+AH40-AQ39,IF(A40&lt;'Données projet'!$A$62,$AF$205^A40,IF(A40='Données projet'!$A$62,'Données projet'!$B$62,AI39+AH40-AQ39)))</f>
        <v>197.6</v>
      </c>
      <c r="AJ40" s="13">
        <f>AI40*VLOOKUP('Données projet'!$B$10,Paramètres!$A$1:$I$89,3,0)*VLOOKUP('Données projet'!$B$10,Paramètres!$A$1:$I$89,5,0)</f>
        <v>129.46751999999998</v>
      </c>
      <c r="AK40" s="13">
        <f t="shared" si="35"/>
        <v>33.873289462262882</v>
      </c>
      <c r="AL40" s="20">
        <f t="shared" si="4"/>
        <v>284.48524314677445</v>
      </c>
      <c r="AM40" s="59">
        <f t="shared" si="5"/>
        <v>577.81857648010782</v>
      </c>
      <c r="AN40" s="59">
        <f ca="1">AVERAGE(OFFSET($AM$3,0,0,'Données projet'!$E$10+1,1))-AVERAGE(OFFSET($H$3,0,0,'Données projet'!$E$10+1,1))</f>
        <v>173.80737004674131</v>
      </c>
      <c r="AO40" s="59">
        <f t="shared" si="36"/>
        <v>206.06552061664968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8.3819636292778217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8.3819636292778217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8.8000000000000007</v>
      </c>
      <c r="BD40" s="12">
        <f>IF('Données projet'!$A$88&gt;35,BD39+BC40-BL39,IF(A40&lt;'Données projet'!$A$88,$BA$205^A40,IF(A40='Données projet'!$A$88,'Données projet'!$B$88,BD39+BC40-BL39)))</f>
        <v>158.6</v>
      </c>
      <c r="BE40" s="13">
        <f>BD40*VLOOKUP('Données projet'!$B$11,Paramètres!$A$1:$I$89,3,0)*VLOOKUP('Données projet'!$B$11,Paramètres!$A$1:$I$89,5,0)</f>
        <v>101.44055999999999</v>
      </c>
      <c r="BF40" s="13">
        <f t="shared" si="37"/>
        <v>27.304904898847315</v>
      </c>
      <c r="BG40" s="20">
        <f t="shared" si="7"/>
        <v>224.23168469882569</v>
      </c>
      <c r="BH40" s="59">
        <f t="shared" si="8"/>
        <v>517.56501803215906</v>
      </c>
      <c r="BI40" s="59">
        <f ca="1">AVERAGE(OFFSET($BH$3,0,0,'Données projet'!$E$11+1,1))-AVERAGE(OFFSET($H$3,0,0,'Données projet'!$E$11+1,1))</f>
        <v>136.80149066064263</v>
      </c>
      <c r="BJ40" s="59">
        <f t="shared" si="38"/>
        <v>148.87330541103535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7.8901647428661121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7.8901647428661121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34.382400000000032</v>
      </c>
      <c r="D41" s="11">
        <f t="shared" si="32"/>
        <v>10.496843471235424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346.43626539199295</v>
      </c>
      <c r="H41" s="66">
        <f t="shared" si="1"/>
        <v>371.49801571240175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6.2</v>
      </c>
      <c r="N41" s="13">
        <f>IF('Données projet'!$A$36&gt;35,N40+M41-V40,IF(A41&lt;'Données projet'!$A$36,$K$205^A41,IF(A41='Données projet'!$A$36,'Données projet'!$B$36,N40+M41-V40)))</f>
        <v>276.59999999999997</v>
      </c>
      <c r="O41" s="13">
        <f>N41*VLOOKUP('Données projet'!$B$9,Paramètres!$A$1:$I$89,3,0)*VLOOKUP('Données projet'!$B$9,Paramètres!$A$1:$I$89,5,0)</f>
        <v>250.26767999999996</v>
      </c>
      <c r="P41" s="13">
        <f t="shared" si="33"/>
        <v>60.643256925083442</v>
      </c>
      <c r="Q41" s="20">
        <f t="shared" si="53"/>
        <v>541.50321514452014</v>
      </c>
      <c r="R41" s="59">
        <f t="shared" si="0"/>
        <v>834.83654847785351</v>
      </c>
      <c r="S41" s="59">
        <f ca="1">AVERAGE(OFFSET($R$3,0,0,'Données projet'!$E$9+1,1))-AVERAGE(OFFSET($H$3,0,0,'Données projet'!$E$9+1,1))</f>
        <v>295.41366969872354</v>
      </c>
      <c r="T41" s="59">
        <f t="shared" si="34"/>
        <v>415.02188573182912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2.5448424199515634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2.5448424199515634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8.8000000000000007</v>
      </c>
      <c r="AI41" s="13">
        <f>IF('Données projet'!$A$62&gt;35,AI40+AH41-AQ40,IF(A41&lt;'Données projet'!$A$62,$AF$205^A41,IF(A41='Données projet'!$A$62,'Données projet'!$B$62,AI40+AH41-AQ40)))</f>
        <v>206.4</v>
      </c>
      <c r="AJ41" s="13">
        <f>AI41*VLOOKUP('Données projet'!$B$10,Paramètres!$A$1:$I$89,3,0)*VLOOKUP('Données projet'!$B$10,Paramètres!$A$1:$I$89,5,0)</f>
        <v>135.23328000000001</v>
      </c>
      <c r="AK41" s="13">
        <f t="shared" si="35"/>
        <v>35.202825080004438</v>
      </c>
      <c r="AL41" s="20">
        <f t="shared" si="4"/>
        <v>296.842883014341</v>
      </c>
      <c r="AM41" s="59">
        <f t="shared" si="5"/>
        <v>590.17621634767431</v>
      </c>
      <c r="AN41" s="59">
        <f ca="1">AVERAGE(OFFSET($AM$3,0,0,'Données projet'!$E$10+1,1))-AVERAGE(OFFSET($H$3,0,0,'Données projet'!$E$10+1,1))</f>
        <v>173.80737004674131</v>
      </c>
      <c r="AO41" s="59">
        <f t="shared" si="36"/>
        <v>206.06552061664968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8.2175984350006814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8.2175984350006814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8.8000000000000007</v>
      </c>
      <c r="BD41" s="12">
        <f>IF('Données projet'!$A$88&gt;35,BD40+BC41-BL40,IF(A41&lt;'Données projet'!$A$88,$BA$205^A41,IF(A41='Données projet'!$A$88,'Données projet'!$B$88,BD40+BC41-BL40)))</f>
        <v>167.4</v>
      </c>
      <c r="BE41" s="13">
        <f>BD41*VLOOKUP('Données projet'!$B$11,Paramètres!$A$1:$I$89,3,0)*VLOOKUP('Données projet'!$B$11,Paramètres!$A$1:$I$89,5,0)</f>
        <v>107.06904</v>
      </c>
      <c r="BF41" s="13">
        <f t="shared" si="37"/>
        <v>28.639345887991663</v>
      </c>
      <c r="BG41" s="20">
        <f t="shared" si="7"/>
        <v>236.3587720882521</v>
      </c>
      <c r="BH41" s="59">
        <f t="shared" si="8"/>
        <v>529.69210542158544</v>
      </c>
      <c r="BI41" s="59">
        <f ca="1">AVERAGE(OFFSET($BH$3,0,0,'Données projet'!$E$11+1,1))-AVERAGE(OFFSET($H$3,0,0,'Données projet'!$E$11+1,1))</f>
        <v>136.80149066064263</v>
      </c>
      <c r="BJ41" s="59">
        <f t="shared" si="38"/>
        <v>148.87330541103535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7.7354434247838038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7.7354434247838038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35.287200000000034</v>
      </c>
      <c r="D42" s="11">
        <f t="shared" si="32"/>
        <v>10.740552489323534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355.30194904039246</v>
      </c>
      <c r="H42" s="66">
        <f t="shared" si="1"/>
        <v>373.49833558557185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6.2</v>
      </c>
      <c r="N42" s="13">
        <f>IF('Données projet'!$A$36&gt;35,N41+M42-V41,IF(A42&lt;'Données projet'!$A$36,$K$205^A42,IF(A42='Données projet'!$A$36,'Données projet'!$B$36,N41+M42-V41)))</f>
        <v>282.79999999999995</v>
      </c>
      <c r="O42" s="13">
        <f>N42*VLOOKUP('Données projet'!$B$9,Paramètres!$A$1:$I$89,3,0)*VLOOKUP('Données projet'!$B$9,Paramètres!$A$1:$I$89,5,0)</f>
        <v>255.87743999999998</v>
      </c>
      <c r="P42" s="13">
        <f t="shared" si="33"/>
        <v>61.842798995505326</v>
      </c>
      <c r="Q42" s="20">
        <f t="shared" si="53"/>
        <v>553.36274958383854</v>
      </c>
      <c r="R42" s="59">
        <f t="shared" si="0"/>
        <v>846.69608291717191</v>
      </c>
      <c r="S42" s="59">
        <f ca="1">AVERAGE(OFFSET($R$3,0,0,'Données projet'!$E$9+1,1))-AVERAGE(OFFSET($H$3,0,0,'Données projet'!$E$9+1,1))</f>
        <v>295.41366969872354</v>
      </c>
      <c r="T42" s="59">
        <f t="shared" si="34"/>
        <v>415.02188573182912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2.4949396122969221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2.4949396122969221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8.8000000000000007</v>
      </c>
      <c r="AI42" s="13">
        <f>IF('Données projet'!$A$62&gt;35,AI41+AH42-AQ41,IF(A42&lt;'Données projet'!$A$62,$AF$205^A42,IF(A42='Données projet'!$A$62,'Données projet'!$B$62,AI41+AH42-AQ41)))</f>
        <v>215.20000000000002</v>
      </c>
      <c r="AJ42" s="13">
        <f>AI42*VLOOKUP('Données projet'!$B$10,Paramètres!$A$1:$I$89,3,0)*VLOOKUP('Données projet'!$B$10,Paramètres!$A$1:$I$89,5,0)</f>
        <v>140.99904000000001</v>
      </c>
      <c r="AK42" s="13">
        <f t="shared" si="35"/>
        <v>36.525776729948824</v>
      </c>
      <c r="AL42" s="20">
        <f t="shared" si="4"/>
        <v>309.18905580466088</v>
      </c>
      <c r="AM42" s="59">
        <f t="shared" si="5"/>
        <v>602.5223891379942</v>
      </c>
      <c r="AN42" s="59">
        <f ca="1">AVERAGE(OFFSET($AM$3,0,0,'Données projet'!$E$10+1,1))-AVERAGE(OFFSET($H$3,0,0,'Données projet'!$E$10+1,1))</f>
        <v>173.80737004674131</v>
      </c>
      <c r="AO42" s="59">
        <f t="shared" si="36"/>
        <v>206.06552061664968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8.0564563419304456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8.0564563419304456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8.8000000000000007</v>
      </c>
      <c r="BD42" s="12">
        <f>IF('Données projet'!$A$88&gt;35,BD41+BC42-BL41,IF(A42&lt;'Données projet'!$A$88,$BA$205^A42,IF(A42='Données projet'!$A$88,'Données projet'!$B$88,BD41+BC42-BL41)))</f>
        <v>176.20000000000002</v>
      </c>
      <c r="BE42" s="13">
        <f>BD42*VLOOKUP('Données projet'!$B$11,Paramètres!$A$1:$I$89,3,0)*VLOOKUP('Données projet'!$B$11,Paramètres!$A$1:$I$89,5,0)</f>
        <v>112.69752000000001</v>
      </c>
      <c r="BF42" s="13">
        <f t="shared" si="37"/>
        <v>29.965642408774354</v>
      </c>
      <c r="BG42" s="20">
        <f t="shared" si="7"/>
        <v>248.4716745286153</v>
      </c>
      <c r="BH42" s="59">
        <f t="shared" si="8"/>
        <v>541.80500786194864</v>
      </c>
      <c r="BI42" s="59">
        <f ca="1">AVERAGE(OFFSET($BH$3,0,0,'Données projet'!$E$11+1,1))-AVERAGE(OFFSET($H$3,0,0,'Données projet'!$E$11+1,1))</f>
        <v>136.80149066064263</v>
      </c>
      <c r="BJ42" s="59">
        <f t="shared" si="38"/>
        <v>148.87330541103535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7.5837560973784033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7.5837560973784033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36.192000000000036</v>
      </c>
      <c r="D43" s="11">
        <f t="shared" si="32"/>
        <v>10.983535130004659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364.16202556494858</v>
      </c>
      <c r="H43" s="66">
        <f t="shared" si="1"/>
        <v>375.49739035142483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289</v>
      </c>
      <c r="L43" s="12">
        <f>VLOOKUP(A43,'Données projet'!$A$35:$I$55,9,0)</f>
        <v>6.2</v>
      </c>
      <c r="M43" s="12">
        <f t="array" ref="M43">INDEX(L:L,MIN(IF(ISNUMBER(L43:L239),ROW(L43:L239),"")))</f>
        <v>6.2</v>
      </c>
      <c r="N43" s="13">
        <f>IF('Données projet'!$A$36&gt;35,N42+M43-V42,IF(A43&lt;'Données projet'!$A$36,$K$205^A43,IF(A43='Données projet'!$A$36,'Données projet'!$B$36,N42+M43-V42)))</f>
        <v>288.99999999999994</v>
      </c>
      <c r="O43" s="13">
        <f>N43*VLOOKUP('Données projet'!$B$9,Paramètres!$A$1:$I$89,3,0)*VLOOKUP('Données projet'!$B$9,Paramètres!$A$1:$I$89,5,0)</f>
        <v>261.48719999999992</v>
      </c>
      <c r="P43" s="13">
        <f t="shared" si="33"/>
        <v>63.039283586802391</v>
      </c>
      <c r="Q43" s="20">
        <f t="shared" si="53"/>
        <v>565.21695891368074</v>
      </c>
      <c r="R43" s="59">
        <f t="shared" si="0"/>
        <v>858.55029224701411</v>
      </c>
      <c r="S43" s="59">
        <f ca="1">AVERAGE(OFFSET($R$3,0,0,'Données projet'!$E$9+1,1))-AVERAGE(OFFSET($H$3,0,0,'Données projet'!$E$9+1,1))</f>
        <v>295.41366969872354</v>
      </c>
      <c r="T43" s="59">
        <f t="shared" si="34"/>
        <v>415.02188573182912</v>
      </c>
      <c r="U43" s="15">
        <f>IF(ISNA(VLOOKUP(A43,'Données projet'!$A$35:$I$55,3,0)),0,VLOOKUP(A43,'Données projet'!$A$35:$I$55,3,0))</f>
        <v>8</v>
      </c>
      <c r="V43" s="15">
        <f>IF(ISNA(VLOOKUP(A43,'Données projet'!$A$35:$I$55,4,0)),0,VLOOKUP(A43,'Données projet'!$A$35:$I$55,4,0))</f>
        <v>7</v>
      </c>
      <c r="W43" s="16">
        <f>IF(ISNA(VLOOKUP(A43,'Données projet'!$A$35:$I$55,5,0)),0%,VLOOKUP(A43,'Données projet'!$A$35:$I$55,5,0)*VLOOKUP('Données projet'!$B$9,Paramètres!$A$1:$I$89,7,0))</f>
        <v>0.3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4.5464975270056485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4.5464975270056485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224</v>
      </c>
      <c r="AG43" s="12">
        <f>VLOOKUP(A43,'Données projet'!$A$61:$I$81,9,0)</f>
        <v>8.8000000000000007</v>
      </c>
      <c r="AH43" s="12">
        <f t="array" ref="AH43">INDEX(AG:AG,MIN(IF(ISNUMBER(AG43:AG239),ROW(AG43:AG239),"")))</f>
        <v>8.8000000000000007</v>
      </c>
      <c r="AI43" s="13">
        <f>IF('Données projet'!$A$62&gt;35,AI42+AH43-AQ42,IF(A43&lt;'Données projet'!$A$62,$AF$205^A43,IF(A43='Données projet'!$A$62,'Données projet'!$B$62,AI42+AH43-AQ42)))</f>
        <v>224.00000000000003</v>
      </c>
      <c r="AJ43" s="13">
        <f>AI43*VLOOKUP('Données projet'!$B$10,Paramètres!$A$1:$I$89,3,0)*VLOOKUP('Données projet'!$B$10,Paramètres!$A$1:$I$89,5,0)</f>
        <v>146.76480000000004</v>
      </c>
      <c r="AK43" s="13">
        <f t="shared" si="35"/>
        <v>37.842444439956665</v>
      </c>
      <c r="AL43" s="20">
        <f t="shared" si="4"/>
        <v>321.52428406625791</v>
      </c>
      <c r="AM43" s="59">
        <f t="shared" si="5"/>
        <v>614.85761739959116</v>
      </c>
      <c r="AN43" s="59">
        <f ca="1">AVERAGE(OFFSET($AM$3,0,0,'Données projet'!$E$10+1,1))-AVERAGE(OFFSET($H$3,0,0,'Données projet'!$E$10+1,1))</f>
        <v>173.80737004674131</v>
      </c>
      <c r="AO43" s="59">
        <f t="shared" si="36"/>
        <v>206.06552061664968</v>
      </c>
      <c r="AP43" s="15">
        <f>IF(ISNA(VLOOKUP(A43,'Données projet'!$A$61:$I$81,3,0)),0,VLOOKUP(A43,'Données projet'!$A$61:$I$81,3,0))</f>
        <v>7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0.43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16.61909662676501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16.61909662676501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185</v>
      </c>
      <c r="BB43" s="12">
        <f>VLOOKUP(A43,'Données projet'!$A$87:$I$107,9,0)</f>
        <v>8.8000000000000007</v>
      </c>
      <c r="BC43" s="12">
        <f t="array" ref="BC43">INDEX(BB:BB,MIN(IF(ISNUMBER(BB43:BB239),ROW(BB43:BB239),"")))</f>
        <v>8.8000000000000007</v>
      </c>
      <c r="BD43" s="12">
        <f>IF('Données projet'!$A$88&gt;35,BD42+BC43-BL42,IF(A43&lt;'Données projet'!$A$88,$BA$205^A43,IF(A43='Données projet'!$A$88,'Données projet'!$B$88,BD42+BC43-BL42)))</f>
        <v>185.00000000000003</v>
      </c>
      <c r="BE43" s="13">
        <f>BD43*VLOOKUP('Données projet'!$B$11,Paramètres!$A$1:$I$89,3,0)*VLOOKUP('Données projet'!$B$11,Paramètres!$A$1:$I$89,5,0)</f>
        <v>118.32600000000002</v>
      </c>
      <c r="BF43" s="13">
        <f t="shared" si="37"/>
        <v>31.284247637844491</v>
      </c>
      <c r="BG43" s="20">
        <f t="shared" si="7"/>
        <v>260.57118130257919</v>
      </c>
      <c r="BH43" s="59">
        <f t="shared" si="8"/>
        <v>553.90451463591251</v>
      </c>
      <c r="BI43" s="59">
        <f ca="1">AVERAGE(OFFSET($BH$3,0,0,'Données projet'!$E$11+1,1))-AVERAGE(OFFSET($H$3,0,0,'Données projet'!$E$11+1,1))</f>
        <v>136.80149066064263</v>
      </c>
      <c r="BJ43" s="59">
        <f t="shared" si="38"/>
        <v>148.87330541103535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27</v>
      </c>
      <c r="BM43" s="16">
        <f>IF(ISNA(VLOOKUP(A43,'Données projet'!$A$87:$I$107,5,0)),0%,VLOOKUP(A43,'Données projet'!$A$87:$I$107,5,0)*VLOOKUP('Données projet'!$B$11,Paramètres!$A$1:$I$89,7,0))</f>
        <v>0.43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15.64399656958237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15.64399656958237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37.096800000000037</v>
      </c>
      <c r="D44" s="11">
        <f t="shared" si="32"/>
        <v>11.225811641270198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373.01665126594571</v>
      </c>
      <c r="H44" s="66">
        <f t="shared" si="1"/>
        <v>377.49521527521233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6</v>
      </c>
      <c r="N44" s="13">
        <f>IF('Données projet'!$A$36&gt;35,N43+M44-V43,IF(A44&lt;'Données projet'!$A$36,$K$205^A44,IF(A44='Données projet'!$A$36,'Données projet'!$B$36,N43+M44-V43)))</f>
        <v>287.99999999999994</v>
      </c>
      <c r="O44" s="13">
        <f>N44*VLOOKUP('Données projet'!$B$9,Paramètres!$A$1:$I$89,3,0)*VLOOKUP('Données projet'!$B$9,Paramètres!$A$1:$I$89,5,0)</f>
        <v>260.58239999999995</v>
      </c>
      <c r="P44" s="13">
        <f t="shared" si="33"/>
        <v>62.846505929896907</v>
      </c>
      <c r="Q44" s="20">
        <f t="shared" si="53"/>
        <v>563.30534449457025</v>
      </c>
      <c r="R44" s="59">
        <f t="shared" si="0"/>
        <v>856.63867782790362</v>
      </c>
      <c r="S44" s="59">
        <f ca="1">AVERAGE(OFFSET($R$3,0,0,'Données projet'!$E$9+1,1))-AVERAGE(OFFSET($H$3,0,0,'Données projet'!$E$9+1,1))</f>
        <v>295.41366969872354</v>
      </c>
      <c r="T44" s="59">
        <f t="shared" si="34"/>
        <v>415.02188573182912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4.4573434835907397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4.4573434835907397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8.1999999999999993</v>
      </c>
      <c r="AI44" s="13">
        <f>IF('Données projet'!$A$62&gt;35,AI43+AH44-AQ43,IF(A44&lt;'Données projet'!$A$62,$AF$205^A44,IF(A44='Données projet'!$A$62,'Données projet'!$B$62,AI43+AH44-AQ43)))</f>
        <v>204.20000000000002</v>
      </c>
      <c r="AJ44" s="13">
        <f>AI44*VLOOKUP('Données projet'!$B$10,Paramètres!$A$1:$I$89,3,0)*VLOOKUP('Données projet'!$B$10,Paramètres!$A$1:$I$89,5,0)</f>
        <v>133.79184000000001</v>
      </c>
      <c r="AK44" s="13">
        <f t="shared" si="35"/>
        <v>34.87107073670542</v>
      </c>
      <c r="AL44" s="20">
        <f t="shared" si="4"/>
        <v>293.75456953309532</v>
      </c>
      <c r="AM44" s="59">
        <f t="shared" si="5"/>
        <v>587.08790286642864</v>
      </c>
      <c r="AN44" s="59">
        <f ca="1">AVERAGE(OFFSET($AM$3,0,0,'Données projet'!$E$10+1,1))-AVERAGE(OFFSET($H$3,0,0,'Données projet'!$E$10+1,1))</f>
        <v>173.80737004674131</v>
      </c>
      <c r="AO44" s="59">
        <f t="shared" si="36"/>
        <v>206.06552061664968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16.293206278562181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16.293206278562181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</v>
      </c>
      <c r="BD44" s="12">
        <f>IF('Données projet'!$A$88&gt;35,BD43+BC44-BL43,IF(A44&lt;'Données projet'!$A$88,$BA$205^A44,IF(A44='Données projet'!$A$88,'Données projet'!$B$88,BD43+BC44-BL43)))</f>
        <v>166.00000000000003</v>
      </c>
      <c r="BE44" s="13">
        <f>BD44*VLOOKUP('Données projet'!$B$11,Paramètres!$A$1:$I$89,3,0)*VLOOKUP('Données projet'!$B$11,Paramètres!$A$1:$I$89,5,0)</f>
        <v>106.17360000000001</v>
      </c>
      <c r="BF44" s="13">
        <f t="shared" si="37"/>
        <v>28.427605657895548</v>
      </c>
      <c r="BG44" s="20">
        <f t="shared" si="7"/>
        <v>234.43043318750142</v>
      </c>
      <c r="BH44" s="59">
        <f t="shared" si="8"/>
        <v>527.76376652083468</v>
      </c>
      <c r="BI44" s="59">
        <f ca="1">AVERAGE(OFFSET($BH$3,0,0,'Données projet'!$E$11+1,1))-AVERAGE(OFFSET($H$3,0,0,'Données projet'!$E$11+1,1))</f>
        <v>136.80149066064263</v>
      </c>
      <c r="BJ44" s="59">
        <f t="shared" si="38"/>
        <v>148.87330541103535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15.337227338748583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15.337227338748583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38.001600000000039</v>
      </c>
      <c r="D45" s="11">
        <f t="shared" si="32"/>
        <v>11.467401227090523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381.86597438455874</v>
      </c>
      <c r="H45" s="66">
        <f t="shared" si="1"/>
        <v>379.49184380384935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6</v>
      </c>
      <c r="N45" s="13">
        <f>IF('Données projet'!$A$36&gt;35,N44+M45-V44,IF(A45&lt;'Données projet'!$A$36,$K$205^A45,IF(A45='Données projet'!$A$36,'Données projet'!$B$36,N44+M45-V44)))</f>
        <v>293.99999999999994</v>
      </c>
      <c r="O45" s="13">
        <f>N45*VLOOKUP('Données projet'!$B$9,Paramètres!$A$1:$I$89,3,0)*VLOOKUP('Données projet'!$B$9,Paramètres!$A$1:$I$89,5,0)</f>
        <v>266.01119999999992</v>
      </c>
      <c r="P45" s="13">
        <f t="shared" si="33"/>
        <v>64.00201337612566</v>
      </c>
      <c r="Q45" s="20">
        <f t="shared" si="53"/>
        <v>574.77301329675208</v>
      </c>
      <c r="R45" s="59">
        <f t="shared" si="0"/>
        <v>868.10634663008545</v>
      </c>
      <c r="S45" s="59">
        <f ca="1">AVERAGE(OFFSET($R$3,0,0,'Données projet'!$E$9+1,1))-AVERAGE(OFFSET($H$3,0,0,'Données projet'!$E$9+1,1))</f>
        <v>295.41366969872354</v>
      </c>
      <c r="T45" s="59">
        <f t="shared" si="34"/>
        <v>415.02188573182912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4.3699376965886003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4.3699376965886003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8.1999999999999993</v>
      </c>
      <c r="AI45" s="13">
        <f>IF('Données projet'!$A$62&gt;35,AI44+AH45-AQ44,IF(A45&lt;'Données projet'!$A$62,$AF$205^A45,IF(A45='Données projet'!$A$62,'Données projet'!$B$62,AI44+AH45-AQ44)))</f>
        <v>212.4</v>
      </c>
      <c r="AJ45" s="13">
        <f>AI45*VLOOKUP('Données projet'!$B$10,Paramètres!$A$1:$I$89,3,0)*VLOOKUP('Données projet'!$B$10,Paramètres!$A$1:$I$89,5,0)</f>
        <v>139.16448</v>
      </c>
      <c r="AK45" s="13">
        <f t="shared" si="35"/>
        <v>36.105532965181432</v>
      </c>
      <c r="AL45" s="20">
        <f t="shared" si="4"/>
        <v>305.26193924769092</v>
      </c>
      <c r="AM45" s="59">
        <f t="shared" si="5"/>
        <v>598.59527258102423</v>
      </c>
      <c r="AN45" s="59">
        <f ca="1">AVERAGE(OFFSET($AM$3,0,0,'Données projet'!$E$10+1,1))-AVERAGE(OFFSET($H$3,0,0,'Données projet'!$E$10+1,1))</f>
        <v>173.80737004674131</v>
      </c>
      <c r="AO45" s="59">
        <f t="shared" si="36"/>
        <v>206.06552061664968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15.973706441314123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15.973706441314123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</v>
      </c>
      <c r="BD45" s="12">
        <f>IF('Données projet'!$A$88&gt;35,BD44+BC45-BL44,IF(A45&lt;'Données projet'!$A$88,$BA$205^A45,IF(A45='Données projet'!$A$88,'Données projet'!$B$88,BD44+BC45-BL44)))</f>
        <v>174.00000000000003</v>
      </c>
      <c r="BE45" s="13">
        <f>BD45*VLOOKUP('Données projet'!$B$11,Paramètres!$A$1:$I$89,3,0)*VLOOKUP('Données projet'!$B$11,Paramètres!$A$1:$I$89,5,0)</f>
        <v>111.29040000000001</v>
      </c>
      <c r="BF45" s="13">
        <f t="shared" si="37"/>
        <v>29.634806205918245</v>
      </c>
      <c r="BG45" s="20">
        <f t="shared" si="7"/>
        <v>245.44473414197429</v>
      </c>
      <c r="BH45" s="59">
        <f t="shared" si="8"/>
        <v>538.77806747530758</v>
      </c>
      <c r="BI45" s="59">
        <f ca="1">AVERAGE(OFFSET($BH$3,0,0,'Données projet'!$E$11+1,1))-AVERAGE(OFFSET($H$3,0,0,'Données projet'!$E$11+1,1))</f>
        <v>136.80149066064263</v>
      </c>
      <c r="BJ45" s="59">
        <f t="shared" si="38"/>
        <v>148.87330541103535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15.036473665420692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15.036473665420692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38.906400000000041</v>
      </c>
      <c r="D46" s="11">
        <f t="shared" si="32"/>
        <v>11.708322124803493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390.7101357002378</v>
      </c>
      <c r="H46" s="66">
        <f t="shared" si="1"/>
        <v>381.48730770069949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6</v>
      </c>
      <c r="N46" s="13">
        <f>IF('Données projet'!$A$36&gt;35,N45+M46-V45,IF(A46&lt;'Données projet'!$A$36,$K$205^A46,IF(A46='Données projet'!$A$36,'Données projet'!$B$36,N45+M46-V45)))</f>
        <v>299.99999999999994</v>
      </c>
      <c r="O46" s="13">
        <f>N46*VLOOKUP('Données projet'!$B$9,Paramètres!$A$1:$I$89,3,0)*VLOOKUP('Données projet'!$B$9,Paramètres!$A$1:$I$89,5,0)</f>
        <v>271.43999999999994</v>
      </c>
      <c r="P46" s="13">
        <f t="shared" si="33"/>
        <v>65.154778959151173</v>
      </c>
      <c r="Q46" s="20">
        <f t="shared" si="53"/>
        <v>586.23590668718805</v>
      </c>
      <c r="R46" s="59">
        <f t="shared" si="0"/>
        <v>879.56924002052142</v>
      </c>
      <c r="S46" s="59">
        <f ca="1">AVERAGE(OFFSET($R$3,0,0,'Données projet'!$E$9+1,1))-AVERAGE(OFFSET($H$3,0,0,'Données projet'!$E$9+1,1))</f>
        <v>295.41366969872354</v>
      </c>
      <c r="T46" s="59">
        <f t="shared" si="34"/>
        <v>415.02188573182912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4.2842458837573067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4.2842458837573067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8.1999999999999993</v>
      </c>
      <c r="AI46" s="13">
        <f>IF('Données projet'!$A$62&gt;35,AI45+AH46-AQ45,IF(A46&lt;'Données projet'!$A$62,$AF$205^A46,IF(A46='Données projet'!$A$62,'Données projet'!$B$62,AI45+AH46-AQ45)))</f>
        <v>220.6</v>
      </c>
      <c r="AJ46" s="13">
        <f>AI46*VLOOKUP('Données projet'!$B$10,Paramètres!$A$1:$I$89,3,0)*VLOOKUP('Données projet'!$B$10,Paramètres!$A$1:$I$89,5,0)</f>
        <v>144.53712000000002</v>
      </c>
      <c r="AK46" s="13">
        <f t="shared" si="35"/>
        <v>37.334458778614163</v>
      </c>
      <c r="AL46" s="20">
        <f t="shared" si="4"/>
        <v>316.75966637275303</v>
      </c>
      <c r="AM46" s="59">
        <f t="shared" si="5"/>
        <v>610.0929997060864</v>
      </c>
      <c r="AN46" s="59">
        <f ca="1">AVERAGE(OFFSET($AM$3,0,0,'Données projet'!$E$10+1,1))-AVERAGE(OFFSET($H$3,0,0,'Données projet'!$E$10+1,1))</f>
        <v>173.80737004674131</v>
      </c>
      <c r="AO46" s="59">
        <f t="shared" si="36"/>
        <v>206.06552061664968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15.660471800998842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15.660471800998842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</v>
      </c>
      <c r="BD46" s="12">
        <f>IF('Données projet'!$A$88&gt;35,BD45+BC46-BL45,IF(A46&lt;'Données projet'!$A$88,$BA$205^A46,IF(A46='Données projet'!$A$88,'Données projet'!$B$88,BD45+BC46-BL45)))</f>
        <v>182.00000000000003</v>
      </c>
      <c r="BE46" s="13">
        <f>BD46*VLOOKUP('Données projet'!$B$11,Paramètres!$A$1:$I$89,3,0)*VLOOKUP('Données projet'!$B$11,Paramètres!$A$1:$I$89,5,0)</f>
        <v>116.40720000000002</v>
      </c>
      <c r="BF46" s="13">
        <f t="shared" si="37"/>
        <v>30.835561008615706</v>
      </c>
      <c r="BG46" s="20">
        <f t="shared" si="7"/>
        <v>256.44780875667237</v>
      </c>
      <c r="BH46" s="59">
        <f t="shared" si="8"/>
        <v>549.78114209000569</v>
      </c>
      <c r="BI46" s="59">
        <f ca="1">AVERAGE(OFFSET($BH$3,0,0,'Données projet'!$E$11+1,1))-AVERAGE(OFFSET($H$3,0,0,'Données projet'!$E$11+1,1))</f>
        <v>136.80149066064263</v>
      </c>
      <c r="BJ46" s="59">
        <f t="shared" si="38"/>
        <v>148.87330541103535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14.741617588185132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14.741617588185132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39.811200000000042</v>
      </c>
      <c r="D47" s="11">
        <f t="shared" si="32"/>
        <v>11.948591675101248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399.54926907095734</v>
      </c>
      <c r="H47" s="66">
        <f t="shared" si="1"/>
        <v>383.48163716746808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6</v>
      </c>
      <c r="N47" s="13">
        <f>IF('Données projet'!$A$36&gt;35,N46+M47-V46,IF(A47&lt;'Données projet'!$A$36,$K$205^A47,IF(A47='Données projet'!$A$36,'Données projet'!$B$36,N46+M47-V46)))</f>
        <v>305.99999999999994</v>
      </c>
      <c r="O47" s="13">
        <f>N47*VLOOKUP('Données projet'!$B$9,Paramètres!$A$1:$I$89,3,0)*VLOOKUP('Données projet'!$B$9,Paramètres!$A$1:$I$89,5,0)</f>
        <v>276.86879999999996</v>
      </c>
      <c r="P47" s="13">
        <f t="shared" si="33"/>
        <v>66.30486383631866</v>
      </c>
      <c r="Q47" s="20">
        <f t="shared" si="53"/>
        <v>597.6941311815882</v>
      </c>
      <c r="R47" s="59">
        <f t="shared" si="0"/>
        <v>891.02746451492158</v>
      </c>
      <c r="S47" s="59">
        <f ca="1">AVERAGE(OFFSET($R$3,0,0,'Données projet'!$E$9+1,1))-AVERAGE(OFFSET($H$3,0,0,'Données projet'!$E$9+1,1))</f>
        <v>295.41366969872354</v>
      </c>
      <c r="T47" s="59">
        <f t="shared" si="34"/>
        <v>415.02188573182912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4.2002344351087899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4.2002344351087899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8.1999999999999993</v>
      </c>
      <c r="AI47" s="13">
        <f>IF('Données projet'!$A$62&gt;35,AI46+AH47-AQ46,IF(A47&lt;'Données projet'!$A$62,$AF$205^A47,IF(A47='Données projet'!$A$62,'Données projet'!$B$62,AI46+AH47-AQ46)))</f>
        <v>228.79999999999998</v>
      </c>
      <c r="AJ47" s="13">
        <f>AI47*VLOOKUP('Données projet'!$B$10,Paramètres!$A$1:$I$89,3,0)*VLOOKUP('Données projet'!$B$10,Paramètres!$A$1:$I$89,5,0)</f>
        <v>149.90975999999998</v>
      </c>
      <c r="AK47" s="13">
        <f t="shared" si="35"/>
        <v>38.558077538852132</v>
      </c>
      <c r="AL47" s="20">
        <f t="shared" si="4"/>
        <v>328.24815038016737</v>
      </c>
      <c r="AM47" s="59">
        <f t="shared" si="5"/>
        <v>621.58148371350069</v>
      </c>
      <c r="AN47" s="59">
        <f ca="1">AVERAGE(OFFSET($AM$3,0,0,'Données projet'!$E$10+1,1))-AVERAGE(OFFSET($H$3,0,0,'Données projet'!$E$10+1,1))</f>
        <v>173.80737004674131</v>
      </c>
      <c r="AO47" s="59">
        <f t="shared" si="36"/>
        <v>206.06552061664968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15.353379500925877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15.353379500925877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</v>
      </c>
      <c r="BD47" s="12">
        <f>IF('Données projet'!$A$88&gt;35,BD46+BC47-BL46,IF(A47&lt;'Données projet'!$A$88,$BA$205^A47,IF(A47='Données projet'!$A$88,'Données projet'!$B$88,BD46+BC47-BL46)))</f>
        <v>190.00000000000003</v>
      </c>
      <c r="BE47" s="13">
        <f>BD47*VLOOKUP('Données projet'!$B$11,Paramètres!$A$1:$I$89,3,0)*VLOOKUP('Données projet'!$B$11,Paramètres!$A$1:$I$89,5,0)</f>
        <v>121.52400000000002</v>
      </c>
      <c r="BF47" s="13">
        <f t="shared" si="37"/>
        <v>32.030185774775809</v>
      </c>
      <c r="BG47" s="20">
        <f t="shared" si="7"/>
        <v>267.44020689106782</v>
      </c>
      <c r="BH47" s="59">
        <f t="shared" si="8"/>
        <v>560.77354022440113</v>
      </c>
      <c r="BI47" s="59">
        <f ca="1">AVERAGE(OFFSET($BH$3,0,0,'Données projet'!$E$11+1,1))-AVERAGE(OFFSET($H$3,0,0,'Données projet'!$E$11+1,1))</f>
        <v>136.80149066064263</v>
      </c>
      <c r="BJ47" s="59">
        <f t="shared" si="38"/>
        <v>148.87330541103535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14.452543458779713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14.452543458779713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40.716000000000044</v>
      </c>
      <c r="D48" s="11">
        <f t="shared" si="32"/>
        <v>12.188226385475186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408.38350192296667</v>
      </c>
      <c r="H48" s="66">
        <f t="shared" si="1"/>
        <v>385.47486095470265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312</v>
      </c>
      <c r="L48" s="12">
        <f>VLOOKUP(A48,'Données projet'!$A$35:$I$55,9,0)</f>
        <v>6</v>
      </c>
      <c r="M48" s="12">
        <f t="array" ref="M48">INDEX(L:L,MIN(IF(ISNUMBER(L48:L244),ROW(L48:L244),"")))</f>
        <v>6</v>
      </c>
      <c r="N48" s="13">
        <f>IF('Données projet'!$A$36&gt;35,N47+M48-V47,IF(A48&lt;'Données projet'!$A$36,$K$205^A48,IF(A48='Données projet'!$A$36,'Données projet'!$B$36,N47+M48-V47)))</f>
        <v>311.99999999999994</v>
      </c>
      <c r="O48" s="13">
        <f>N48*VLOOKUP('Données projet'!$B$9,Paramètres!$A$1:$I$89,3,0)*VLOOKUP('Données projet'!$B$9,Paramètres!$A$1:$I$89,5,0)</f>
        <v>282.29759999999993</v>
      </c>
      <c r="P48" s="13">
        <f t="shared" si="33"/>
        <v>67.452326629470178</v>
      </c>
      <c r="Q48" s="20">
        <f t="shared" si="53"/>
        <v>609.14778887966042</v>
      </c>
      <c r="R48" s="59">
        <f t="shared" si="0"/>
        <v>902.4811222129938</v>
      </c>
      <c r="S48" s="59">
        <f ca="1">AVERAGE(OFFSET($R$3,0,0,'Données projet'!$E$9+1,1))-AVERAGE(OFFSET($H$3,0,0,'Données projet'!$E$9+1,1))</f>
        <v>295.41366969872354</v>
      </c>
      <c r="T48" s="59">
        <f t="shared" si="34"/>
        <v>415.02188573182912</v>
      </c>
      <c r="U48" s="15">
        <f>IF(ISNA(VLOOKUP(A48,'Données projet'!$A$35:$I$55,3,0)),0,VLOOKUP(A48,'Données projet'!$A$35:$I$55,3,0))</f>
        <v>9</v>
      </c>
      <c r="V48" s="15">
        <f>IF(ISNA(VLOOKUP(A48,'Données projet'!$A$35:$I$55,4,0)),0,VLOOKUP(A48,'Données projet'!$A$35:$I$55,4,0))</f>
        <v>7</v>
      </c>
      <c r="W48" s="16">
        <f>IF(ISNA(VLOOKUP(A48,'Données projet'!$A$35:$I$55,5,0)),0%,VLOOKUP(A48,'Données projet'!$A$35:$I$55,5,0)*VLOOKUP('Données projet'!$B$9,Paramètres!$A$1:$I$89,7,0))</f>
        <v>0.3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6.2183525584693138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6.2183525584693138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237</v>
      </c>
      <c r="AG48" s="12">
        <f>VLOOKUP(A48,'Données projet'!$A$61:$I$81,9,0)</f>
        <v>8.1999999999999993</v>
      </c>
      <c r="AH48" s="12">
        <f t="array" ref="AH48">INDEX(AG:AG,MIN(IF(ISNUMBER(AG48:AG244),ROW(AG48:AG244),"")))</f>
        <v>8.1999999999999993</v>
      </c>
      <c r="AI48" s="13">
        <f>IF('Données projet'!$A$62&gt;35,AI47+AH48-AQ47,IF(A48&lt;'Données projet'!$A$62,$AF$205^A48,IF(A48='Données projet'!$A$62,'Données projet'!$B$62,AI47+AH48-AQ47)))</f>
        <v>236.99999999999997</v>
      </c>
      <c r="AJ48" s="13">
        <f>AI48*VLOOKUP('Données projet'!$B$10,Paramètres!$A$1:$I$89,3,0)*VLOOKUP('Données projet'!$B$10,Paramètres!$A$1:$I$89,5,0)</f>
        <v>155.28239999999997</v>
      </c>
      <c r="AK48" s="13">
        <f t="shared" si="35"/>
        <v>39.776601235546408</v>
      </c>
      <c r="AL48" s="20">
        <f t="shared" si="4"/>
        <v>339.72776048524321</v>
      </c>
      <c r="AM48" s="59">
        <f t="shared" si="5"/>
        <v>633.06109381857652</v>
      </c>
      <c r="AN48" s="59">
        <f ca="1">AVERAGE(OFFSET($AM$3,0,0,'Données projet'!$E$10+1,1))-AVERAGE(OFFSET($H$3,0,0,'Données projet'!$E$10+1,1))</f>
        <v>173.80737004674131</v>
      </c>
      <c r="AO48" s="59">
        <f t="shared" si="36"/>
        <v>206.06552061664968</v>
      </c>
      <c r="AP48" s="15">
        <f>IF(ISNA(VLOOKUP(A48,'Données projet'!$A$61:$I$81,3,0)),0,VLOOKUP(A48,'Données projet'!$A$61:$I$81,3,0))</f>
        <v>8</v>
      </c>
      <c r="AQ48" s="15">
        <f>IF(ISNA(VLOOKUP(A48,'Données projet'!$A$61:$I$81,4,0)),0,VLOOKUP(A48,'Données projet'!$A$61:$I$81,4,0))</f>
        <v>28</v>
      </c>
      <c r="AR48" s="16">
        <f>IF(ISNA(VLOOKUP(A48,'Données projet'!$A$61:$I$81,5,0)),0%,VLOOKUP(A48,'Données projet'!$A$61:$I$81,5,0)*VLOOKUP('Données projet'!$B$10,Paramètres!$A$1:$I$89,7,0))</f>
        <v>0.43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23.772931573296201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23.772931573296201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198</v>
      </c>
      <c r="BB48" s="12">
        <f>VLOOKUP(A48,'Données projet'!$A$87:$I$107,9,0)</f>
        <v>8</v>
      </c>
      <c r="BC48" s="12">
        <f t="array" ref="BC48">INDEX(BB:BB,MIN(IF(ISNUMBER(BB48:BB244),ROW(BB48:BB244),"")))</f>
        <v>8</v>
      </c>
      <c r="BD48" s="12">
        <f>IF('Données projet'!$A$88&gt;35,BD47+BC48-BL47,IF(A48&lt;'Données projet'!$A$88,$BA$205^A48,IF(A48='Données projet'!$A$88,'Données projet'!$B$88,BD47+BC48-BL47)))</f>
        <v>198.00000000000003</v>
      </c>
      <c r="BE48" s="13">
        <f>BD48*VLOOKUP('Données projet'!$B$11,Paramètres!$A$1:$I$89,3,0)*VLOOKUP('Données projet'!$B$11,Paramètres!$A$1:$I$89,5,0)</f>
        <v>126.64080000000001</v>
      </c>
      <c r="BF48" s="13">
        <f t="shared" si="37"/>
        <v>33.218968123231406</v>
      </c>
      <c r="BG48" s="20">
        <f t="shared" si="7"/>
        <v>278.42242948129473</v>
      </c>
      <c r="BH48" s="59">
        <f t="shared" si="8"/>
        <v>571.75576281462804</v>
      </c>
      <c r="BI48" s="59">
        <f ca="1">AVERAGE(OFFSET($BH$3,0,0,'Données projet'!$E$11+1,1))-AVERAGE(OFFSET($H$3,0,0,'Données projet'!$E$11+1,1))</f>
        <v>136.80149066064263</v>
      </c>
      <c r="BJ48" s="59">
        <f t="shared" si="38"/>
        <v>148.87330541103535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26</v>
      </c>
      <c r="BM48" s="16">
        <f>IF(ISNA(VLOOKUP(A48,'Données projet'!$A$87:$I$107,5,0)),0%,VLOOKUP(A48,'Données projet'!$A$87:$I$107,5,0)*VLOOKUP('Données projet'!$B$11,Paramètres!$A$1:$I$89,7,0))</f>
        <v>0.43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22.074055892831019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22.074055892831019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41.620800000000045</v>
      </c>
      <c r="D49" s="11">
        <f t="shared" si="32"/>
        <v>12.427241987862402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417.21295569578029</v>
      </c>
      <c r="H49" s="66">
        <f t="shared" si="1"/>
        <v>387.46700646219375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304.99999999999994</v>
      </c>
      <c r="O49" s="13">
        <f>N49*VLOOKUP('Données projet'!$B$9,Paramètres!$A$1:$I$89,3,0)*VLOOKUP('Données projet'!$B$9,Paramètres!$A$1:$I$89,5,0)</f>
        <v>275.96399999999994</v>
      </c>
      <c r="P49" s="13">
        <f t="shared" si="33"/>
        <v>66.113366665488911</v>
      </c>
      <c r="Q49" s="20">
        <f t="shared" si="53"/>
        <v>595.7847469423931</v>
      </c>
      <c r="R49" s="59">
        <f t="shared" si="0"/>
        <v>889.11808027572647</v>
      </c>
      <c r="S49" s="59">
        <f ca="1">AVERAGE(OFFSET($R$3,0,0,'Données projet'!$E$9+1,1))-AVERAGE(OFFSET($H$3,0,0,'Données projet'!$E$9+1,1))</f>
        <v>295.41366969872354</v>
      </c>
      <c r="T49" s="59">
        <f t="shared" si="34"/>
        <v>415.02188573182912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6.0964144576182813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6.0964144576182813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7.4</v>
      </c>
      <c r="AI49" s="13">
        <f>IF('Données projet'!$A$62&gt;35,AI48+AH49-AQ48,IF(A49&lt;'Données projet'!$A$62,$AF$205^A49,IF(A49='Données projet'!$A$62,'Données projet'!$B$62,AI48+AH49-AQ48)))</f>
        <v>216.39999999999998</v>
      </c>
      <c r="AJ49" s="13">
        <f>AI49*VLOOKUP('Données projet'!$B$10,Paramètres!$A$1:$I$89,3,0)*VLOOKUP('Données projet'!$B$10,Paramètres!$A$1:$I$89,5,0)</f>
        <v>141.78528</v>
      </c>
      <c r="AK49" s="13">
        <f t="shared" si="35"/>
        <v>36.705685970912178</v>
      </c>
      <c r="AL49" s="20">
        <f t="shared" si="4"/>
        <v>310.87176573267203</v>
      </c>
      <c r="AM49" s="59">
        <f t="shared" si="5"/>
        <v>604.20509906600535</v>
      </c>
      <c r="AN49" s="59">
        <f ca="1">AVERAGE(OFFSET($AM$3,0,0,'Données projet'!$E$10+1,1))-AVERAGE(OFFSET($H$3,0,0,'Données projet'!$E$10+1,1))</f>
        <v>173.80737004674131</v>
      </c>
      <c r="AO49" s="59">
        <f t="shared" si="36"/>
        <v>206.06552061664968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23.30675888520036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23.30675888520036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7.4</v>
      </c>
      <c r="BD49" s="12">
        <f>IF('Données projet'!$A$88&gt;35,BD48+BC49-BL48,IF(A49&lt;'Données projet'!$A$88,$BA$205^A49,IF(A49='Données projet'!$A$88,'Données projet'!$B$88,BD48+BC49-BL48)))</f>
        <v>179.40000000000003</v>
      </c>
      <c r="BE49" s="13">
        <f>BD49*VLOOKUP('Données projet'!$B$11,Paramètres!$A$1:$I$89,3,0)*VLOOKUP('Données projet'!$B$11,Paramètres!$A$1:$I$89,5,0)</f>
        <v>114.74424000000003</v>
      </c>
      <c r="BF49" s="13">
        <f t="shared" si="37"/>
        <v>30.446002774202523</v>
      </c>
      <c r="BG49" s="20">
        <f t="shared" si="7"/>
        <v>252.87300616506943</v>
      </c>
      <c r="BH49" s="59">
        <f t="shared" si="8"/>
        <v>546.20633949840271</v>
      </c>
      <c r="BI49" s="59">
        <f ca="1">AVERAGE(OFFSET($BH$3,0,0,'Données projet'!$E$11+1,1))-AVERAGE(OFFSET($H$3,0,0,'Données projet'!$E$11+1,1))</f>
        <v>136.80149066064263</v>
      </c>
      <c r="BJ49" s="59">
        <f t="shared" si="38"/>
        <v>148.87330541103535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21.641197120617253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21.641197120617253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42.525600000000047</v>
      </c>
      <c r="D50" s="11">
        <f t="shared" si="32"/>
        <v>12.665653491137942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426.03774624738094</v>
      </c>
      <c r="H50" s="66">
        <f t="shared" si="1"/>
        <v>389.45809983039862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304.99999999999994</v>
      </c>
      <c r="O50" s="13">
        <f>N50*VLOOKUP('Données projet'!$B$9,Paramètres!$A$1:$I$89,3,0)*VLOOKUP('Données projet'!$B$9,Paramètres!$A$1:$I$89,5,0)</f>
        <v>275.96399999999994</v>
      </c>
      <c r="P50" s="13">
        <f t="shared" si="33"/>
        <v>66.113366665488911</v>
      </c>
      <c r="Q50" s="20">
        <f t="shared" si="53"/>
        <v>595.7847469423931</v>
      </c>
      <c r="R50" s="59">
        <f t="shared" si="0"/>
        <v>889.11808027572647</v>
      </c>
      <c r="S50" s="59">
        <f ca="1">AVERAGE(OFFSET($R$3,0,0,'Données projet'!$E$9+1,1))-AVERAGE(OFFSET($H$3,0,0,'Données projet'!$E$9+1,1))</f>
        <v>295.41366969872354</v>
      </c>
      <c r="T50" s="59">
        <f t="shared" si="34"/>
        <v>415.02188573182912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5.9768674885500399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5.9768674885500399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7.4</v>
      </c>
      <c r="AI50" s="13">
        <f>IF('Données projet'!$A$62&gt;35,AI49+AH50-AQ49,IF(A50&lt;'Données projet'!$A$62,$AF$205^A50,IF(A50='Données projet'!$A$62,'Données projet'!$B$62,AI49+AH50-AQ49)))</f>
        <v>223.79999999999998</v>
      </c>
      <c r="AJ50" s="13">
        <f>AI50*VLOOKUP('Données projet'!$B$10,Paramètres!$A$1:$I$89,3,0)*VLOOKUP('Données projet'!$B$10,Paramètres!$A$1:$I$89,5,0)</f>
        <v>146.63376</v>
      </c>
      <c r="AK50" s="13">
        <f t="shared" si="35"/>
        <v>37.812587902416553</v>
      </c>
      <c r="AL50" s="20">
        <f t="shared" si="4"/>
        <v>321.24405593004218</v>
      </c>
      <c r="AM50" s="59">
        <f t="shared" si="5"/>
        <v>614.57738926337549</v>
      </c>
      <c r="AN50" s="59">
        <f ca="1">AVERAGE(OFFSET($AM$3,0,0,'Données projet'!$E$10+1,1))-AVERAGE(OFFSET($H$3,0,0,'Données projet'!$E$10+1,1))</f>
        <v>173.80737004674131</v>
      </c>
      <c r="AO50" s="59">
        <f t="shared" si="36"/>
        <v>206.06552061664968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22.849727559180813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22.849727559180813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7.4</v>
      </c>
      <c r="BD50" s="12">
        <f>IF('Données projet'!$A$88&gt;35,BD49+BC50-BL49,IF(A50&lt;'Données projet'!$A$88,$BA$205^A50,IF(A50='Données projet'!$A$88,'Données projet'!$B$88,BD49+BC50-BL49)))</f>
        <v>186.80000000000004</v>
      </c>
      <c r="BE50" s="13">
        <f>BD50*VLOOKUP('Données projet'!$B$11,Paramètres!$A$1:$I$89,3,0)*VLOOKUP('Données projet'!$B$11,Paramètres!$A$1:$I$89,5,0)</f>
        <v>119.47728000000002</v>
      </c>
      <c r="BF50" s="13">
        <f t="shared" si="37"/>
        <v>31.553052479931626</v>
      </c>
      <c r="BG50" s="20">
        <f t="shared" si="7"/>
        <v>263.04449573588096</v>
      </c>
      <c r="BH50" s="59">
        <f t="shared" si="8"/>
        <v>556.37782906921427</v>
      </c>
      <c r="BI50" s="59">
        <f ca="1">AVERAGE(OFFSET($BH$3,0,0,'Données projet'!$E$11+1,1))-AVERAGE(OFFSET($H$3,0,0,'Données projet'!$E$11+1,1))</f>
        <v>136.80149066064263</v>
      </c>
      <c r="BJ50" s="59">
        <f t="shared" si="38"/>
        <v>148.87330541103535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21.216826444908818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21.216826444908818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43.430400000000049</v>
      </c>
      <c r="D51" s="11">
        <f t="shared" si="32"/>
        <v>12.903475229013631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434.85798422396527</v>
      </c>
      <c r="H51" s="66">
        <f t="shared" si="1"/>
        <v>391.44816602386544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304.99999999999994</v>
      </c>
      <c r="O51" s="13">
        <f>N51*VLOOKUP('Données projet'!$B$9,Paramètres!$A$1:$I$89,3,0)*VLOOKUP('Données projet'!$B$9,Paramètres!$A$1:$I$89,5,0)</f>
        <v>275.96399999999994</v>
      </c>
      <c r="P51" s="13">
        <f t="shared" si="33"/>
        <v>66.113366665488911</v>
      </c>
      <c r="Q51" s="20">
        <f t="shared" si="53"/>
        <v>595.7847469423931</v>
      </c>
      <c r="R51" s="59">
        <f t="shared" si="0"/>
        <v>889.11808027572647</v>
      </c>
      <c r="S51" s="59">
        <f ca="1">AVERAGE(OFFSET($R$3,0,0,'Données projet'!$E$9+1,1))-AVERAGE(OFFSET($H$3,0,0,'Données projet'!$E$9+1,1))</f>
        <v>295.41366969872354</v>
      </c>
      <c r="T51" s="59">
        <f t="shared" si="34"/>
        <v>415.02188573182912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5.8596647626287757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5.8596647626287757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7.4</v>
      </c>
      <c r="AI51" s="13">
        <f>IF('Données projet'!$A$62&gt;35,AI50+AH51-AQ50,IF(A51&lt;'Données projet'!$A$62,$AF$205^A51,IF(A51='Données projet'!$A$62,'Données projet'!$B$62,AI50+AH51-AQ50)))</f>
        <v>231.2</v>
      </c>
      <c r="AJ51" s="13">
        <f>AI51*VLOOKUP('Données projet'!$B$10,Paramètres!$A$1:$I$89,3,0)*VLOOKUP('Données projet'!$B$10,Paramètres!$A$1:$I$89,5,0)</f>
        <v>151.48223999999999</v>
      </c>
      <c r="AK51" s="13">
        <f t="shared" si="35"/>
        <v>38.915236966075291</v>
      </c>
      <c r="AL51" s="20">
        <f t="shared" si="4"/>
        <v>331.60893904924779</v>
      </c>
      <c r="AM51" s="59">
        <f t="shared" si="5"/>
        <v>624.94227238258111</v>
      </c>
      <c r="AN51" s="59">
        <f ca="1">AVERAGE(OFFSET($AM$3,0,0,'Données projet'!$E$10+1,1))-AVERAGE(OFFSET($H$3,0,0,'Données projet'!$E$10+1,1))</f>
        <v>173.80737004674131</v>
      </c>
      <c r="AO51" s="59">
        <f t="shared" si="36"/>
        <v>206.06552061664968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22.40165833870293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22.40165833870293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7.4</v>
      </c>
      <c r="BD51" s="12">
        <f>IF('Données projet'!$A$88&gt;35,BD50+BC51-BL50,IF(A51&lt;'Données projet'!$A$88,$BA$205^A51,IF(A51='Données projet'!$A$88,'Données projet'!$B$88,BD50+BC51-BL50)))</f>
        <v>194.20000000000005</v>
      </c>
      <c r="BE51" s="13">
        <f>BD51*VLOOKUP('Données projet'!$B$11,Paramètres!$A$1:$I$89,3,0)*VLOOKUP('Données projet'!$B$11,Paramètres!$A$1:$I$89,5,0)</f>
        <v>124.21032000000002</v>
      </c>
      <c r="BF51" s="13">
        <f t="shared" si="37"/>
        <v>32.655007774120797</v>
      </c>
      <c r="BG51" s="20">
        <f t="shared" si="7"/>
        <v>273.2071125399271</v>
      </c>
      <c r="BH51" s="59">
        <f t="shared" si="8"/>
        <v>566.54044587326041</v>
      </c>
      <c r="BI51" s="59">
        <f ca="1">AVERAGE(OFFSET($BH$3,0,0,'Données projet'!$E$11+1,1))-AVERAGE(OFFSET($H$3,0,0,'Données projet'!$E$11+1,1))</f>
        <v>136.80149066064263</v>
      </c>
      <c r="BJ51" s="59">
        <f t="shared" si="38"/>
        <v>148.87330541103535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20.800777419310471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20.800777419310471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44.33520000000005</v>
      </c>
      <c r="D52" s="11">
        <f t="shared" si="32"/>
        <v>13.140720903832619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443.67377539800663</v>
      </c>
      <c r="H52" s="66">
        <f t="shared" si="1"/>
        <v>393.43722890750854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304.99999999999994</v>
      </c>
      <c r="O52" s="13">
        <f>N52*VLOOKUP('Données projet'!$B$9,Paramètres!$A$1:$I$89,3,0)*VLOOKUP('Données projet'!$B$9,Paramètres!$A$1:$I$89,5,0)</f>
        <v>275.96399999999994</v>
      </c>
      <c r="P52" s="13">
        <f t="shared" si="33"/>
        <v>66.113366665488911</v>
      </c>
      <c r="Q52" s="20">
        <f t="shared" si="53"/>
        <v>595.7847469423931</v>
      </c>
      <c r="R52" s="59">
        <f t="shared" si="0"/>
        <v>889.11808027572647</v>
      </c>
      <c r="S52" s="59">
        <f ca="1">AVERAGE(OFFSET($R$3,0,0,'Données projet'!$E$9+1,1))-AVERAGE(OFFSET($H$3,0,0,'Données projet'!$E$9+1,1))</f>
        <v>295.41366969872354</v>
      </c>
      <c r="T52" s="59">
        <f t="shared" si="34"/>
        <v>415.02188573182912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5.7447603106762228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5.7447603106762228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7.4</v>
      </c>
      <c r="AI52" s="13">
        <f>IF('Données projet'!$A$62&gt;35,AI51+AH52-AQ51,IF(A52&lt;'Données projet'!$A$62,$AF$205^A52,IF(A52='Données projet'!$A$62,'Données projet'!$B$62,AI51+AH52-AQ51)))</f>
        <v>238.6</v>
      </c>
      <c r="AJ52" s="13">
        <f>AI52*VLOOKUP('Données projet'!$B$10,Paramètres!$A$1:$I$89,3,0)*VLOOKUP('Données projet'!$B$10,Paramètres!$A$1:$I$89,5,0)</f>
        <v>156.33071999999999</v>
      </c>
      <c r="AK52" s="13">
        <f t="shared" si="35"/>
        <v>40.013784897456162</v>
      </c>
      <c r="AL52" s="20">
        <f t="shared" si="4"/>
        <v>341.96667936306943</v>
      </c>
      <c r="AM52" s="59">
        <f t="shared" si="5"/>
        <v>635.30001269640275</v>
      </c>
      <c r="AN52" s="59">
        <f ca="1">AVERAGE(OFFSET($AM$3,0,0,'Données projet'!$E$10+1,1))-AVERAGE(OFFSET($H$3,0,0,'Données projet'!$E$10+1,1))</f>
        <v>173.80737004674131</v>
      </c>
      <c r="AO52" s="59">
        <f t="shared" si="36"/>
        <v>206.06552061664968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21.962375482343379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21.962375482343379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7.4</v>
      </c>
      <c r="BD52" s="12">
        <f>IF('Données projet'!$A$88&gt;35,BD51+BC52-BL51,IF(A52&lt;'Données projet'!$A$88,$BA$205^A52,IF(A52='Données projet'!$A$88,'Données projet'!$B$88,BD51+BC52-BL51)))</f>
        <v>201.60000000000005</v>
      </c>
      <c r="BE52" s="13">
        <f>BD52*VLOOKUP('Données projet'!$B$11,Paramètres!$A$1:$I$89,3,0)*VLOOKUP('Données projet'!$B$11,Paramètres!$A$1:$I$89,5,0)</f>
        <v>128.94336000000004</v>
      </c>
      <c r="BF52" s="13">
        <f t="shared" si="37"/>
        <v>33.752085002132198</v>
      </c>
      <c r="BG52" s="20">
        <f t="shared" si="7"/>
        <v>283.36123337871362</v>
      </c>
      <c r="BH52" s="59">
        <f t="shared" si="8"/>
        <v>576.69456671204694</v>
      </c>
      <c r="BI52" s="59">
        <f ca="1">AVERAGE(OFFSET($BH$3,0,0,'Données projet'!$E$11+1,1))-AVERAGE(OFFSET($H$3,0,0,'Données projet'!$E$11+1,1))</f>
        <v>136.80149066064263</v>
      </c>
      <c r="BJ52" s="59">
        <f t="shared" si="38"/>
        <v>148.87330541103535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20.39288686133926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20.39288686133926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45.240000000000052</v>
      </c>
      <c r="D53" s="11">
        <f t="shared" si="32"/>
        <v>13.377403626687917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452.48522097794222</v>
      </c>
      <c r="H53" s="66">
        <f t="shared" si="1"/>
        <v>395.4253113164815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304.99999999999994</v>
      </c>
      <c r="O53" s="13">
        <f>N53*VLOOKUP('Données projet'!$B$9,Paramètres!$A$1:$I$89,3,0)*VLOOKUP('Données projet'!$B$9,Paramètres!$A$1:$I$89,5,0)</f>
        <v>275.96399999999994</v>
      </c>
      <c r="P53" s="13">
        <f t="shared" si="33"/>
        <v>66.113366665488911</v>
      </c>
      <c r="Q53" s="20">
        <f t="shared" si="53"/>
        <v>595.7847469423931</v>
      </c>
      <c r="R53" s="59">
        <f t="shared" si="0"/>
        <v>889.11808027572647</v>
      </c>
      <c r="S53" s="59">
        <f ca="1">AVERAGE(OFFSET($R$3,0,0,'Données projet'!$E$9+1,1))-AVERAGE(OFFSET($H$3,0,0,'Données projet'!$E$9+1,1))</f>
        <v>295.41366969872354</v>
      </c>
      <c r="T53" s="59">
        <f t="shared" si="34"/>
        <v>415.02188573182912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5.6321090649416643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5.6321090649416643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246</v>
      </c>
      <c r="AG53" s="12">
        <f>VLOOKUP(A53,'Données projet'!$A$61:$I$81,9,0)</f>
        <v>7.4</v>
      </c>
      <c r="AH53" s="12">
        <f t="array" ref="AH53">INDEX(AG:AG,MIN(IF(ISNUMBER(AG53:AG249),ROW(AG53:AG249),"")))</f>
        <v>7.4</v>
      </c>
      <c r="AI53" s="13">
        <f>IF('Données projet'!$A$62&gt;35,AI52+AH53-AQ52,IF(A53&lt;'Données projet'!$A$62,$AF$205^A53,IF(A53='Données projet'!$A$62,'Données projet'!$B$62,AI52+AH53-AQ52)))</f>
        <v>246</v>
      </c>
      <c r="AJ53" s="13">
        <f>AI53*VLOOKUP('Données projet'!$B$10,Paramètres!$A$1:$I$89,3,0)*VLOOKUP('Données projet'!$B$10,Paramètres!$A$1:$I$89,5,0)</f>
        <v>161.17920000000001</v>
      </c>
      <c r="AK53" s="13">
        <f t="shared" si="35"/>
        <v>41.108373485541968</v>
      </c>
      <c r="AL53" s="20">
        <f t="shared" si="4"/>
        <v>352.31752382065224</v>
      </c>
      <c r="AM53" s="59">
        <f t="shared" si="5"/>
        <v>645.6508571539855</v>
      </c>
      <c r="AN53" s="59">
        <f ca="1">AVERAGE(OFFSET($AM$3,0,0,'Données projet'!$E$10+1,1))-AVERAGE(OFFSET($H$3,0,0,'Données projet'!$E$10+1,1))</f>
        <v>173.80737004674131</v>
      </c>
      <c r="AO53" s="59">
        <f t="shared" si="36"/>
        <v>206.06552061664968</v>
      </c>
      <c r="AP53" s="15">
        <f>IF(ISNA(VLOOKUP(A53,'Données projet'!$A$61:$I$81,3,0)),0,VLOOKUP(A53,'Données projet'!$A$61:$I$81,3,0))</f>
        <v>9</v>
      </c>
      <c r="AQ53" s="15">
        <f>IF(ISNA(VLOOKUP(A53,'Données projet'!$A$61:$I$81,4,0)),0,VLOOKUP(A53,'Données projet'!$A$61:$I$81,4,0))</f>
        <v>27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29.940878371759521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29.940878371759521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209</v>
      </c>
      <c r="BB53" s="12">
        <f>VLOOKUP(A53,'Données projet'!$A$87:$I$107,9,0)</f>
        <v>7.4</v>
      </c>
      <c r="BC53" s="12">
        <f t="array" ref="BC53">INDEX(BB:BB,MIN(IF(ISNUMBER(BB53:BB249),ROW(BB53:BB249),"")))</f>
        <v>7.4</v>
      </c>
      <c r="BD53" s="12">
        <f>IF('Données projet'!$A$88&gt;35,BD52+BC53-BL52,IF(A53&lt;'Données projet'!$A$88,$BA$205^A53,IF(A53='Données projet'!$A$88,'Données projet'!$B$88,BD52+BC53-BL52)))</f>
        <v>209.00000000000006</v>
      </c>
      <c r="BE53" s="13">
        <f>BD53*VLOOKUP('Données projet'!$B$11,Paramètres!$A$1:$I$89,3,0)*VLOOKUP('Données projet'!$B$11,Paramètres!$A$1:$I$89,5,0)</f>
        <v>133.67640000000003</v>
      </c>
      <c r="BF53" s="13">
        <f t="shared" si="37"/>
        <v>34.844483726822681</v>
      </c>
      <c r="BG53" s="20">
        <f t="shared" si="7"/>
        <v>293.50720582421621</v>
      </c>
      <c r="BH53" s="59">
        <f t="shared" si="8"/>
        <v>586.84053915754953</v>
      </c>
      <c r="BI53" s="59">
        <f ca="1">AVERAGE(OFFSET($BH$3,0,0,'Données projet'!$E$11+1,1))-AVERAGE(OFFSET($H$3,0,0,'Données projet'!$E$11+1,1))</f>
        <v>136.80149066064263</v>
      </c>
      <c r="BJ53" s="59">
        <f t="shared" si="38"/>
        <v>148.87330541103535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24</v>
      </c>
      <c r="BM53" s="16">
        <f>IF(ISNA(VLOOKUP(A53,'Données projet'!$A$87:$I$107,5,0)),0%,VLOOKUP(A53,'Données projet'!$A$87:$I$107,5,0)*VLOOKUP('Données projet'!$B$11,Paramètres!$A$1:$I$89,7,0))</f>
        <v>0.43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27.289842169433708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27.289842169433708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46.144800000000053</v>
      </c>
      <c r="D54" s="11">
        <f t="shared" si="32"/>
        <v>13.613535954240819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461.29241789238569</v>
      </c>
      <c r="H54" s="66">
        <f t="shared" si="1"/>
        <v>397.4124351203028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304.99999999999994</v>
      </c>
      <c r="O54" s="13">
        <f>N54*VLOOKUP('Données projet'!$B$9,Paramètres!$A$1:$I$89,3,0)*VLOOKUP('Données projet'!$B$9,Paramètres!$A$1:$I$89,5,0)</f>
        <v>275.96399999999994</v>
      </c>
      <c r="P54" s="13">
        <f t="shared" si="33"/>
        <v>66.113366665488911</v>
      </c>
      <c r="Q54" s="20">
        <f t="shared" si="53"/>
        <v>595.7847469423931</v>
      </c>
      <c r="R54" s="59">
        <f t="shared" si="0"/>
        <v>889.11808027572647</v>
      </c>
      <c r="S54" s="59">
        <f ca="1">AVERAGE(OFFSET($R$3,0,0,'Données projet'!$E$9+1,1))-AVERAGE(OFFSET($H$3,0,0,'Données projet'!$E$9+1,1))</f>
        <v>295.41366969872354</v>
      </c>
      <c r="T54" s="59">
        <f t="shared" si="34"/>
        <v>415.02188573182912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5.5216668414254855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5.5216668414254855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6.8</v>
      </c>
      <c r="AI54" s="13">
        <f>IF('Données projet'!$A$62&gt;35,AI53+AH54-AQ53,IF(A54&lt;'Données projet'!$A$62,$AF$205^A54,IF(A54='Données projet'!$A$62,'Données projet'!$B$62,AI53+AH54-AQ53)))</f>
        <v>225.8</v>
      </c>
      <c r="AJ54" s="13">
        <f>AI54*VLOOKUP('Données projet'!$B$10,Paramètres!$A$1:$I$89,3,0)*VLOOKUP('Données projet'!$B$10,Paramètres!$A$1:$I$89,5,0)</f>
        <v>147.94416000000001</v>
      </c>
      <c r="AK54" s="13">
        <f t="shared" si="35"/>
        <v>38.111014021992816</v>
      </c>
      <c r="AL54" s="20">
        <f t="shared" si="4"/>
        <v>324.0460947549708</v>
      </c>
      <c r="AM54" s="59">
        <f t="shared" si="5"/>
        <v>617.37942808830417</v>
      </c>
      <c r="AN54" s="59">
        <f ca="1">AVERAGE(OFFSET($AM$3,0,0,'Données projet'!$E$10+1,1))-AVERAGE(OFFSET($H$3,0,0,'Données projet'!$E$10+1,1))</f>
        <v>173.80737004674131</v>
      </c>
      <c r="AO54" s="59">
        <f t="shared" si="36"/>
        <v>206.06552061664968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29.353756009021886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29.353756009021886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6.6</v>
      </c>
      <c r="BD54" s="12">
        <f>IF('Données projet'!$A$88&gt;35,BD53+BC54-BL53,IF(A54&lt;'Données projet'!$A$88,$BA$205^A54,IF(A54='Données projet'!$A$88,'Données projet'!$B$88,BD53+BC54-BL53)))</f>
        <v>191.60000000000005</v>
      </c>
      <c r="BE54" s="13">
        <f>BD54*VLOOKUP('Données projet'!$B$11,Paramètres!$A$1:$I$89,3,0)*VLOOKUP('Données projet'!$B$11,Paramètres!$A$1:$I$89,5,0)</f>
        <v>122.54736000000003</v>
      </c>
      <c r="BF54" s="13">
        <f t="shared" si="37"/>
        <v>32.268400886602443</v>
      </c>
      <c r="BG54" s="20">
        <f t="shared" si="7"/>
        <v>269.63745021083264</v>
      </c>
      <c r="BH54" s="59">
        <f t="shared" si="8"/>
        <v>562.9707835441659</v>
      </c>
      <c r="BI54" s="59">
        <f ca="1">AVERAGE(OFFSET($BH$3,0,0,'Données projet'!$E$11+1,1))-AVERAGE(OFFSET($H$3,0,0,'Données projet'!$E$11+1,1))</f>
        <v>136.80149066064263</v>
      </c>
      <c r="BJ54" s="59">
        <f t="shared" si="38"/>
        <v>148.87330541103535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26.754705009651264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26.754705009651264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47.049600000000055</v>
      </c>
      <c r="D55" s="11">
        <f t="shared" si="32"/>
        <v>13.849129922569954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470.09545905141772</v>
      </c>
      <c r="H55" s="66">
        <f t="shared" si="1"/>
        <v>399.39862128180943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304.99999999999994</v>
      </c>
      <c r="O55" s="13">
        <f>N55*VLOOKUP('Données projet'!$B$9,Paramètres!$A$1:$I$89,3,0)*VLOOKUP('Données projet'!$B$9,Paramètres!$A$1:$I$89,5,0)</f>
        <v>275.96399999999994</v>
      </c>
      <c r="P55" s="13">
        <f t="shared" si="33"/>
        <v>66.113366665488911</v>
      </c>
      <c r="Q55" s="20">
        <f t="shared" si="53"/>
        <v>595.7847469423931</v>
      </c>
      <c r="R55" s="59">
        <f t="shared" si="0"/>
        <v>889.11808027572647</v>
      </c>
      <c r="S55" s="59">
        <f ca="1">AVERAGE(OFFSET($R$3,0,0,'Données projet'!$E$9+1,1))-AVERAGE(OFFSET($H$3,0,0,'Données projet'!$E$9+1,1))</f>
        <v>295.41366969872354</v>
      </c>
      <c r="T55" s="59">
        <f t="shared" si="34"/>
        <v>415.02188573182912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5.413390322549354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5.413390322549354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6.8</v>
      </c>
      <c r="AI55" s="13">
        <f>IF('Données projet'!$A$62&gt;35,AI54+AH55-AQ54,IF(A55&lt;'Données projet'!$A$62,$AF$205^A55,IF(A55='Données projet'!$A$62,'Données projet'!$B$62,AI54+AH55-AQ54)))</f>
        <v>232.60000000000002</v>
      </c>
      <c r="AJ55" s="13">
        <f>AI55*VLOOKUP('Données projet'!$B$10,Paramètres!$A$1:$I$89,3,0)*VLOOKUP('Données projet'!$B$10,Paramètres!$A$1:$I$89,5,0)</f>
        <v>152.39952000000002</v>
      </c>
      <c r="AK55" s="13">
        <f t="shared" si="35"/>
        <v>39.123380466709264</v>
      </c>
      <c r="AL55" s="20">
        <f t="shared" si="4"/>
        <v>333.56905164618536</v>
      </c>
      <c r="AM55" s="59">
        <f t="shared" si="5"/>
        <v>626.90238497951873</v>
      </c>
      <c r="AN55" s="59">
        <f ca="1">AVERAGE(OFFSET($AM$3,0,0,'Données projet'!$E$10+1,1))-AVERAGE(OFFSET($H$3,0,0,'Données projet'!$E$10+1,1))</f>
        <v>173.80737004674131</v>
      </c>
      <c r="AO55" s="59">
        <f t="shared" si="36"/>
        <v>206.06552061664968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28.778146757708257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28.778146757708257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6.6</v>
      </c>
      <c r="BD55" s="12">
        <f>IF('Données projet'!$A$88&gt;35,BD54+BC55-BL54,IF(A55&lt;'Données projet'!$A$88,$BA$205^A55,IF(A55='Données projet'!$A$88,'Données projet'!$B$88,BD54+BC55-BL54)))</f>
        <v>198.20000000000005</v>
      </c>
      <c r="BE55" s="13">
        <f>BD55*VLOOKUP('Données projet'!$B$11,Paramètres!$A$1:$I$89,3,0)*VLOOKUP('Données projet'!$B$11,Paramètres!$A$1:$I$89,5,0)</f>
        <v>126.76872000000003</v>
      </c>
      <c r="BF55" s="13">
        <f t="shared" si="37"/>
        <v>33.24861514881087</v>
      </c>
      <c r="BG55" s="20">
        <f t="shared" si="7"/>
        <v>278.69685871751233</v>
      </c>
      <c r="BH55" s="59">
        <f t="shared" si="8"/>
        <v>572.0301920508457</v>
      </c>
      <c r="BI55" s="59">
        <f ca="1">AVERAGE(OFFSET($BH$3,0,0,'Données projet'!$E$11+1,1))-AVERAGE(OFFSET($H$3,0,0,'Données projet'!$E$11+1,1))</f>
        <v>136.80149066064263</v>
      </c>
      <c r="BJ55" s="59">
        <f t="shared" si="38"/>
        <v>148.87330541103535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26.230061563170715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26.230061563170715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47.954400000000057</v>
      </c>
      <c r="D56" s="11">
        <f t="shared" si="32"/>
        <v>14.08419707834301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478.89443358720968</v>
      </c>
      <c r="H56" s="66">
        <f t="shared" si="1"/>
        <v>401.38388991144751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304.99999999999994</v>
      </c>
      <c r="O56" s="13">
        <f>N56*VLOOKUP('Données projet'!$B$9,Paramètres!$A$1:$I$89,3,0)*VLOOKUP('Données projet'!$B$9,Paramètres!$A$1:$I$89,5,0)</f>
        <v>275.96399999999994</v>
      </c>
      <c r="P56" s="13">
        <f t="shared" si="33"/>
        <v>66.113366665488911</v>
      </c>
      <c r="Q56" s="20">
        <f t="shared" si="53"/>
        <v>595.7847469423931</v>
      </c>
      <c r="R56" s="59">
        <f t="shared" si="0"/>
        <v>889.11808027572647</v>
      </c>
      <c r="S56" s="59">
        <f ca="1">AVERAGE(OFFSET($R$3,0,0,'Données projet'!$E$9+1,1))-AVERAGE(OFFSET($H$3,0,0,'Données projet'!$E$9+1,1))</f>
        <v>295.41366969872354</v>
      </c>
      <c r="T56" s="59">
        <f t="shared" si="34"/>
        <v>415.02188573182912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5.3072370401662283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5.3072370401662283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6.8</v>
      </c>
      <c r="AI56" s="13">
        <f>IF('Données projet'!$A$62&gt;35,AI55+AH56-AQ55,IF(A56&lt;'Données projet'!$A$62,$AF$205^A56,IF(A56='Données projet'!$A$62,'Données projet'!$B$62,AI55+AH56-AQ55)))</f>
        <v>239.40000000000003</v>
      </c>
      <c r="AJ56" s="13">
        <f>AI56*VLOOKUP('Données projet'!$B$10,Paramètres!$A$1:$I$89,3,0)*VLOOKUP('Données projet'!$B$10,Paramètres!$A$1:$I$89,5,0)</f>
        <v>156.85488000000004</v>
      </c>
      <c r="AK56" s="13">
        <f t="shared" si="35"/>
        <v>40.132307243083858</v>
      </c>
      <c r="AL56" s="20">
        <f t="shared" si="4"/>
        <v>343.08601778170441</v>
      </c>
      <c r="AM56" s="59">
        <f t="shared" si="5"/>
        <v>636.41935111503767</v>
      </c>
      <c r="AN56" s="59">
        <f ca="1">AVERAGE(OFFSET($AM$3,0,0,'Données projet'!$E$10+1,1))-AVERAGE(OFFSET($H$3,0,0,'Données projet'!$E$10+1,1))</f>
        <v>173.80737004674131</v>
      </c>
      <c r="AO56" s="59">
        <f t="shared" si="36"/>
        <v>206.06552061664968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28.21382485272591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28.21382485272591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6.6</v>
      </c>
      <c r="BD56" s="12">
        <f>IF('Données projet'!$A$88&gt;35,BD55+BC56-BL55,IF(A56&lt;'Données projet'!$A$88,$BA$205^A56,IF(A56='Données projet'!$A$88,'Données projet'!$B$88,BD55+BC56-BL55)))</f>
        <v>204.80000000000004</v>
      </c>
      <c r="BE56" s="13">
        <f>BD56*VLOOKUP('Données projet'!$B$11,Paramètres!$A$1:$I$89,3,0)*VLOOKUP('Données projet'!$B$11,Paramètres!$A$1:$I$89,5,0)</f>
        <v>130.99008000000003</v>
      </c>
      <c r="BF56" s="13">
        <f t="shared" si="37"/>
        <v>34.225036630826814</v>
      </c>
      <c r="BG56" s="20">
        <f t="shared" si="7"/>
        <v>287.74966146535672</v>
      </c>
      <c r="BH56" s="59">
        <f t="shared" si="8"/>
        <v>581.08299479869004</v>
      </c>
      <c r="BI56" s="59">
        <f ca="1">AVERAGE(OFFSET($BH$3,0,0,'Données projet'!$E$11+1,1))-AVERAGE(OFFSET($H$3,0,0,'Données projet'!$E$11+1,1))</f>
        <v>136.80149066064263</v>
      </c>
      <c r="BJ56" s="59">
        <f t="shared" si="38"/>
        <v>148.87330541103535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25.715706054674744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25.715706054674744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48.859200000000058</v>
      </c>
      <c r="D57" s="11">
        <f t="shared" si="32"/>
        <v>14.318748507569328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487.68942707597421</v>
      </c>
      <c r="H57" s="66">
        <f t="shared" si="1"/>
        <v>403.36826031735001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304.99999999999994</v>
      </c>
      <c r="O57" s="13">
        <f>N57*VLOOKUP('Données projet'!$B$9,Paramètres!$A$1:$I$89,3,0)*VLOOKUP('Données projet'!$B$9,Paramètres!$A$1:$I$89,5,0)</f>
        <v>275.96399999999994</v>
      </c>
      <c r="P57" s="13">
        <f t="shared" si="33"/>
        <v>66.113366665488911</v>
      </c>
      <c r="Q57" s="20">
        <f t="shared" si="53"/>
        <v>595.7847469423931</v>
      </c>
      <c r="R57" s="59">
        <f t="shared" si="0"/>
        <v>889.11808027572647</v>
      </c>
      <c r="S57" s="59">
        <f ca="1">AVERAGE(OFFSET($R$3,0,0,'Données projet'!$E$9+1,1))-AVERAGE(OFFSET($H$3,0,0,'Données projet'!$E$9+1,1))</f>
        <v>295.41366969872354</v>
      </c>
      <c r="T57" s="59">
        <f t="shared" si="34"/>
        <v>415.02188573182912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5.2031653589035267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5.2031653589035267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6.8</v>
      </c>
      <c r="AI57" s="13">
        <f>IF('Données projet'!$A$62&gt;35,AI56+AH57-AQ56,IF(A57&lt;'Données projet'!$A$62,$AF$205^A57,IF(A57='Données projet'!$A$62,'Données projet'!$B$62,AI56+AH57-AQ56)))</f>
        <v>246.20000000000005</v>
      </c>
      <c r="AJ57" s="13">
        <f>AI57*VLOOKUP('Données projet'!$B$10,Paramètres!$A$1:$I$89,3,0)*VLOOKUP('Données projet'!$B$10,Paramètres!$A$1:$I$89,5,0)</f>
        <v>161.31024000000002</v>
      </c>
      <c r="AK57" s="13">
        <f t="shared" si="35"/>
        <v>41.137903274661106</v>
      </c>
      <c r="AL57" s="20">
        <f t="shared" si="4"/>
        <v>352.59718287003483</v>
      </c>
      <c r="AM57" s="59">
        <f t="shared" si="5"/>
        <v>645.93051620336814</v>
      </c>
      <c r="AN57" s="59">
        <f ca="1">AVERAGE(OFFSET($AM$3,0,0,'Données projet'!$E$10+1,1))-AVERAGE(OFFSET($H$3,0,0,'Données projet'!$E$10+1,1))</f>
        <v>173.80737004674131</v>
      </c>
      <c r="AO57" s="59">
        <f t="shared" si="36"/>
        <v>206.06552061664968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27.660568956097894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27.660568956097894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6.6</v>
      </c>
      <c r="BD57" s="12">
        <f>IF('Données projet'!$A$88&gt;35,BD56+BC57-BL56,IF(A57&lt;'Données projet'!$A$88,$BA$205^A57,IF(A57='Données projet'!$A$88,'Données projet'!$B$88,BD56+BC57-BL56)))</f>
        <v>211.40000000000003</v>
      </c>
      <c r="BE57" s="13">
        <f>BD57*VLOOKUP('Données projet'!$B$11,Paramètres!$A$1:$I$89,3,0)*VLOOKUP('Données projet'!$B$11,Paramètres!$A$1:$I$89,5,0)</f>
        <v>135.21144000000001</v>
      </c>
      <c r="BF57" s="13">
        <f t="shared" si="37"/>
        <v>35.197801580549793</v>
      </c>
      <c r="BG57" s="20">
        <f t="shared" si="7"/>
        <v>296.7960957527909</v>
      </c>
      <c r="BH57" s="59">
        <f t="shared" si="8"/>
        <v>590.12942908612422</v>
      </c>
      <c r="BI57" s="59">
        <f ca="1">AVERAGE(OFFSET($BH$3,0,0,'Données projet'!$E$11+1,1))-AVERAGE(OFFSET($H$3,0,0,'Données projet'!$E$11+1,1))</f>
        <v>136.80149066064263</v>
      </c>
      <c r="BJ57" s="59">
        <f t="shared" si="38"/>
        <v>148.87330541103535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25.211436743974499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25.211436743974499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49.76400000000006</v>
      </c>
      <c r="D58" s="11">
        <f t="shared" si="32"/>
        <v>14.552794862162447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496.48052174300886</v>
      </c>
      <c r="H58" s="66">
        <f t="shared" si="1"/>
        <v>405.35175105159971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304.99999999999994</v>
      </c>
      <c r="O58" s="13">
        <f>N58*VLOOKUP('Données projet'!$B$9,Paramètres!$A$1:$I$89,3,0)*VLOOKUP('Données projet'!$B$9,Paramètres!$A$1:$I$89,5,0)</f>
        <v>275.96399999999994</v>
      </c>
      <c r="P58" s="13">
        <f t="shared" si="33"/>
        <v>66.113366665488911</v>
      </c>
      <c r="Q58" s="20">
        <f t="shared" si="53"/>
        <v>595.7847469423931</v>
      </c>
      <c r="R58" s="59">
        <f t="shared" si="0"/>
        <v>889.11808027572647</v>
      </c>
      <c r="S58" s="59">
        <f ca="1">AVERAGE(OFFSET($R$3,0,0,'Données projet'!$E$9+1,1))-AVERAGE(OFFSET($H$3,0,0,'Données projet'!$E$9+1,1))</f>
        <v>295.41366969872354</v>
      </c>
      <c r="T58" s="59">
        <f t="shared" si="34"/>
        <v>415.02188573182912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5.1011344598329291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5.1011344598329291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253</v>
      </c>
      <c r="AG58" s="12">
        <f>VLOOKUP(A58,'Données projet'!$A$61:$I$81,9,0)</f>
        <v>6.8</v>
      </c>
      <c r="AH58" s="12">
        <f t="array" ref="AH58">INDEX(AG:AG,MIN(IF(ISNUMBER(AG58:AG254),ROW(AG58:AG254),"")))</f>
        <v>6.8</v>
      </c>
      <c r="AI58" s="13">
        <f>IF('Données projet'!$A$62&gt;35,AI57+AH58-AQ57,IF(A58&lt;'Données projet'!$A$62,$AF$205^A58,IF(A58='Données projet'!$A$62,'Données projet'!$B$62,AI57+AH58-AQ57)))</f>
        <v>253.00000000000006</v>
      </c>
      <c r="AJ58" s="13">
        <f>AI58*VLOOKUP('Données projet'!$B$10,Paramètres!$A$1:$I$89,3,0)*VLOOKUP('Données projet'!$B$10,Paramètres!$A$1:$I$89,5,0)</f>
        <v>165.76560000000003</v>
      </c>
      <c r="AK58" s="13">
        <f t="shared" si="35"/>
        <v>42.140271125684265</v>
      </c>
      <c r="AL58" s="20">
        <f t="shared" si="4"/>
        <v>362.10272554390014</v>
      </c>
      <c r="AM58" s="59">
        <f t="shared" si="5"/>
        <v>655.43605887723345</v>
      </c>
      <c r="AN58" s="59">
        <f ca="1">AVERAGE(OFFSET($AM$3,0,0,'Données projet'!$E$10+1,1))-AVERAGE(OFFSET($H$3,0,0,'Données projet'!$E$10+1,1))</f>
        <v>173.80737004674131</v>
      </c>
      <c r="AO58" s="59">
        <f t="shared" si="36"/>
        <v>206.06552061664968</v>
      </c>
      <c r="AP58" s="15">
        <f>IF(ISNA(VLOOKUP(A58,'Données projet'!$A$61:$I$81,3,0)),0,VLOOKUP(A58,'Données projet'!$A$61:$I$81,3,0))</f>
        <v>10</v>
      </c>
      <c r="AQ58" s="15">
        <f>IF(ISNA(VLOOKUP(A58,'Données projet'!$A$61:$I$81,4,0)),0,VLOOKUP(A58,'Données projet'!$A$61:$I$81,4,0))</f>
        <v>25</v>
      </c>
      <c r="AR58" s="16">
        <f>IF(ISNA(VLOOKUP(A58,'Données projet'!$A$61:$I$81,5,0)),0%,VLOOKUP(A58,'Données projet'!$A$61:$I$81,5,0)*VLOOKUP('Données projet'!$B$10,Paramètres!$A$1:$I$89,7,0))</f>
        <v>0.43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34.904432141352359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34.904432141352359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218</v>
      </c>
      <c r="BB58" s="12">
        <f>VLOOKUP(A58,'Données projet'!$A$87:$I$107,9,0)</f>
        <v>6.6</v>
      </c>
      <c r="BC58" s="12">
        <f t="array" ref="BC58">INDEX(BB:BB,MIN(IF(ISNUMBER(BB58:BB254),ROW(BB58:BB254),"")))</f>
        <v>6.6</v>
      </c>
      <c r="BD58" s="12">
        <f>IF('Données projet'!$A$88&gt;35,BD57+BC58-BL57,IF(A58&lt;'Données projet'!$A$88,$BA$205^A58,IF(A58='Données projet'!$A$88,'Données projet'!$B$88,BD57+BC58-BL57)))</f>
        <v>218.00000000000003</v>
      </c>
      <c r="BE58" s="13">
        <f>BD58*VLOOKUP('Données projet'!$B$11,Paramètres!$A$1:$I$89,3,0)*VLOOKUP('Données projet'!$B$11,Paramètres!$A$1:$I$89,5,0)</f>
        <v>139.43280000000001</v>
      </c>
      <c r="BF58" s="13">
        <f t="shared" si="37"/>
        <v>36.167037255215789</v>
      </c>
      <c r="BG58" s="20">
        <f t="shared" si="7"/>
        <v>305.83638321950082</v>
      </c>
      <c r="BH58" s="59">
        <f t="shared" si="8"/>
        <v>599.16971655283419</v>
      </c>
      <c r="BI58" s="59">
        <f ca="1">AVERAGE(OFFSET($BH$3,0,0,'Données projet'!$E$11+1,1))-AVERAGE(OFFSET($H$3,0,0,'Données projet'!$E$11+1,1))</f>
        <v>136.80149066064263</v>
      </c>
      <c r="BJ58" s="59">
        <f t="shared" si="38"/>
        <v>148.87330541103535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23</v>
      </c>
      <c r="BM58" s="16">
        <f>IF(ISNA(VLOOKUP(A58,'Données projet'!$A$87:$I$107,5,0)),0%,VLOOKUP(A58,'Données projet'!$A$87:$I$107,5,0)*VLOOKUP('Données projet'!$B$11,Paramètres!$A$1:$I$89,7,0))</f>
        <v>0.43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31.709867920353503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31.709867920353503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50.668800000000061</v>
      </c>
      <c r="D59" s="11">
        <f t="shared" si="32"/>
        <v>14.786346384516133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505.26779665240582</v>
      </c>
      <c r="H59" s="66">
        <f t="shared" si="1"/>
        <v>407.33437995303234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304.99999999999994</v>
      </c>
      <c r="O59" s="13">
        <f>N59*VLOOKUP('Données projet'!$B$9,Paramètres!$A$1:$I$89,3,0)*VLOOKUP('Données projet'!$B$9,Paramètres!$A$1:$I$89,5,0)</f>
        <v>275.96399999999994</v>
      </c>
      <c r="P59" s="13">
        <f t="shared" si="33"/>
        <v>66.113366665488911</v>
      </c>
      <c r="Q59" s="20">
        <f t="shared" si="53"/>
        <v>595.7847469423931</v>
      </c>
      <c r="R59" s="59">
        <f t="shared" si="0"/>
        <v>889.11808027572647</v>
      </c>
      <c r="S59" s="59">
        <f ca="1">AVERAGE(OFFSET($R$3,0,0,'Données projet'!$E$9+1,1))-AVERAGE(OFFSET($H$3,0,0,'Données projet'!$E$9+1,1))</f>
        <v>295.41366969872354</v>
      </c>
      <c r="T59" s="59">
        <f t="shared" si="34"/>
        <v>415.02188573182912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5.0011043244604023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5.0011043244604023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6.4</v>
      </c>
      <c r="AI59" s="13">
        <f>IF('Données projet'!$A$62&gt;35,AI58+AH59-AQ58,IF(A59&lt;'Données projet'!$A$62,$AF$205^A59,IF(A59='Données projet'!$A$62,'Données projet'!$B$62,AI58+AH59-AQ58)))</f>
        <v>234.40000000000003</v>
      </c>
      <c r="AJ59" s="13">
        <f>AI59*VLOOKUP('Données projet'!$B$10,Paramètres!$A$1:$I$89,3,0)*VLOOKUP('Données projet'!$B$10,Paramètres!$A$1:$I$89,5,0)</f>
        <v>153.57888000000003</v>
      </c>
      <c r="AK59" s="13">
        <f t="shared" si="35"/>
        <v>39.390779474606148</v>
      </c>
      <c r="AL59" s="20">
        <f t="shared" si="4"/>
        <v>336.08882358493906</v>
      </c>
      <c r="AM59" s="59">
        <f t="shared" si="5"/>
        <v>629.42215691827232</v>
      </c>
      <c r="AN59" s="59">
        <f ca="1">AVERAGE(OFFSET($AM$3,0,0,'Données projet'!$E$10+1,1))-AVERAGE(OFFSET($H$3,0,0,'Données projet'!$E$10+1,1))</f>
        <v>173.80737004674131</v>
      </c>
      <c r="AO59" s="59">
        <f t="shared" si="36"/>
        <v>206.06552061664968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34.219977516661871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34.219977516661871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</v>
      </c>
      <c r="BD59" s="12">
        <f>IF('Données projet'!$A$88&gt;35,BD58+BC59-BL58,IF(A59&lt;'Données projet'!$A$88,$BA$205^A59,IF(A59='Données projet'!$A$88,'Données projet'!$B$88,BD58+BC59-BL58)))</f>
        <v>201.00000000000003</v>
      </c>
      <c r="BE59" s="13">
        <f>BD59*VLOOKUP('Données projet'!$B$11,Paramètres!$A$1:$I$89,3,0)*VLOOKUP('Données projet'!$B$11,Paramètres!$A$1:$I$89,5,0)</f>
        <v>128.55960000000002</v>
      </c>
      <c r="BF59" s="13">
        <f t="shared" si="37"/>
        <v>33.663309663241684</v>
      </c>
      <c r="BG59" s="20">
        <f t="shared" si="7"/>
        <v>282.53823433014594</v>
      </c>
      <c r="BH59" s="59">
        <f t="shared" si="8"/>
        <v>575.87156766347925</v>
      </c>
      <c r="BI59" s="59">
        <f ca="1">AVERAGE(OFFSET($BH$3,0,0,'Données projet'!$E$11+1,1))-AVERAGE(OFFSET($H$3,0,0,'Données projet'!$E$11+1,1))</f>
        <v>136.80149066064263</v>
      </c>
      <c r="BJ59" s="59">
        <f t="shared" si="38"/>
        <v>148.87330541103535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31.088056751545025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31.088056751545025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51.573600000000063</v>
      </c>
      <c r="D60" s="11">
        <f t="shared" si="32"/>
        <v>15.019412930275337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514.05132788282754</v>
      </c>
      <c r="H60" s="66">
        <f t="shared" si="1"/>
        <v>409.31616418689629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304.99999999999994</v>
      </c>
      <c r="O60" s="13">
        <f>N60*VLOOKUP('Données projet'!$B$9,Paramètres!$A$1:$I$89,3,0)*VLOOKUP('Données projet'!$B$9,Paramètres!$A$1:$I$89,5,0)</f>
        <v>275.96399999999994</v>
      </c>
      <c r="P60" s="13">
        <f t="shared" si="33"/>
        <v>66.113366665488911</v>
      </c>
      <c r="Q60" s="20">
        <f t="shared" si="53"/>
        <v>595.7847469423931</v>
      </c>
      <c r="R60" s="59">
        <f t="shared" si="0"/>
        <v>889.11808027572647</v>
      </c>
      <c r="S60" s="59">
        <f ca="1">AVERAGE(OFFSET($R$3,0,0,'Données projet'!$E$9+1,1))-AVERAGE(OFFSET($H$3,0,0,'Données projet'!$E$9+1,1))</f>
        <v>295.41366969872354</v>
      </c>
      <c r="T60" s="59">
        <f t="shared" si="34"/>
        <v>415.02188573182912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4.9030357190301723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4.9030357190301723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6.4</v>
      </c>
      <c r="AI60" s="13">
        <f>IF('Données projet'!$A$62&gt;35,AI59+AH60-AQ59,IF(A60&lt;'Données projet'!$A$62,$AF$205^A60,IF(A60='Données projet'!$A$62,'Données projet'!$B$62,AI59+AH60-AQ59)))</f>
        <v>240.80000000000004</v>
      </c>
      <c r="AJ60" s="13">
        <f>AI60*VLOOKUP('Données projet'!$B$10,Paramètres!$A$1:$I$89,3,0)*VLOOKUP('Données projet'!$B$10,Paramètres!$A$1:$I$89,5,0)</f>
        <v>157.77216000000001</v>
      </c>
      <c r="AK60" s="13">
        <f t="shared" si="35"/>
        <v>40.339610539653599</v>
      </c>
      <c r="AL60" s="20">
        <f t="shared" si="4"/>
        <v>345.04466702323003</v>
      </c>
      <c r="AM60" s="59">
        <f t="shared" si="5"/>
        <v>638.37800035656335</v>
      </c>
      <c r="AN60" s="59">
        <f ca="1">AVERAGE(OFFSET($AM$3,0,0,'Données projet'!$E$10+1,1))-AVERAGE(OFFSET($H$3,0,0,'Données projet'!$E$10+1,1))</f>
        <v>173.80737004674131</v>
      </c>
      <c r="AO60" s="59">
        <f t="shared" si="36"/>
        <v>206.06552061664968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33.548944629685465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33.548944629685465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</v>
      </c>
      <c r="BD60" s="12">
        <f>IF('Données projet'!$A$88&gt;35,BD59+BC60-BL59,IF(A60&lt;'Données projet'!$A$88,$BA$205^A60,IF(A60='Données projet'!$A$88,'Données projet'!$B$88,BD59+BC60-BL59)))</f>
        <v>207.00000000000003</v>
      </c>
      <c r="BE60" s="13">
        <f>BD60*VLOOKUP('Données projet'!$B$11,Paramètres!$A$1:$I$89,3,0)*VLOOKUP('Données projet'!$B$11,Paramètres!$A$1:$I$89,5,0)</f>
        <v>132.3972</v>
      </c>
      <c r="BF60" s="13">
        <f t="shared" si="37"/>
        <v>34.549691434742741</v>
      </c>
      <c r="BG60" s="20">
        <f t="shared" si="7"/>
        <v>290.76583591551019</v>
      </c>
      <c r="BH60" s="59">
        <f t="shared" si="8"/>
        <v>584.09916924884351</v>
      </c>
      <c r="BI60" s="59">
        <f ca="1">AVERAGE(OFFSET($BH$3,0,0,'Données projet'!$E$11+1,1))-AVERAGE(OFFSET($H$3,0,0,'Données projet'!$E$11+1,1))</f>
        <v>136.80149066064263</v>
      </c>
      <c r="BJ60" s="59">
        <f t="shared" si="38"/>
        <v>148.87330541103535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30.47843892048952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30.47843892048952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52.478400000000065</v>
      </c>
      <c r="D61" s="11">
        <f t="shared" si="32"/>
        <v>15.252003989463905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522.83118869059911</v>
      </c>
      <c r="H61" s="66">
        <f t="shared" si="1"/>
        <v>411.29712028164971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304.99999999999994</v>
      </c>
      <c r="O61" s="13">
        <f>N61*VLOOKUP('Données projet'!$B$9,Paramètres!$A$1:$I$89,3,0)*VLOOKUP('Données projet'!$B$9,Paramètres!$A$1:$I$89,5,0)</f>
        <v>275.96399999999994</v>
      </c>
      <c r="P61" s="13">
        <f t="shared" si="33"/>
        <v>66.113366665488911</v>
      </c>
      <c r="Q61" s="20">
        <f t="shared" si="53"/>
        <v>595.7847469423931</v>
      </c>
      <c r="R61" s="59">
        <f t="shared" si="0"/>
        <v>889.11808027572647</v>
      </c>
      <c r="S61" s="59">
        <f ca="1">AVERAGE(OFFSET($R$3,0,0,'Données projet'!$E$9+1,1))-AVERAGE(OFFSET($H$3,0,0,'Données projet'!$E$9+1,1))</f>
        <v>295.41366969872354</v>
      </c>
      <c r="T61" s="59">
        <f t="shared" si="34"/>
        <v>415.02188573182912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4.8068901791364862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4.8068901791364862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6.4</v>
      </c>
      <c r="AI61" s="13">
        <f>IF('Données projet'!$A$62&gt;35,AI60+AH61-AQ60,IF(A61&lt;'Données projet'!$A$62,$AF$205^A61,IF(A61='Données projet'!$A$62,'Données projet'!$B$62,AI60+AH61-AQ60)))</f>
        <v>247.20000000000005</v>
      </c>
      <c r="AJ61" s="13">
        <f>AI61*VLOOKUP('Données projet'!$B$10,Paramètres!$A$1:$I$89,3,0)*VLOOKUP('Données projet'!$B$10,Paramètres!$A$1:$I$89,5,0)</f>
        <v>161.96544000000003</v>
      </c>
      <c r="AK61" s="13">
        <f t="shared" si="35"/>
        <v>41.285510388923619</v>
      </c>
      <c r="AL61" s="20">
        <f t="shared" si="4"/>
        <v>353.99540526070876</v>
      </c>
      <c r="AM61" s="59">
        <f t="shared" si="5"/>
        <v>647.32873859404208</v>
      </c>
      <c r="AN61" s="59">
        <f ca="1">AVERAGE(OFFSET($AM$3,0,0,'Données projet'!$E$10+1,1))-AVERAGE(OFFSET($H$3,0,0,'Données projet'!$E$10+1,1))</f>
        <v>173.80737004674131</v>
      </c>
      <c r="AO61" s="59">
        <f t="shared" si="36"/>
        <v>206.06552061664968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32.891070288333019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32.891070288333019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</v>
      </c>
      <c r="BD61" s="12">
        <f>IF('Données projet'!$A$88&gt;35,BD60+BC61-BL60,IF(A61&lt;'Données projet'!$A$88,$BA$205^A61,IF(A61='Données projet'!$A$88,'Données projet'!$B$88,BD60+BC61-BL60)))</f>
        <v>213.00000000000003</v>
      </c>
      <c r="BE61" s="13">
        <f>BD61*VLOOKUP('Données projet'!$B$11,Paramètres!$A$1:$I$89,3,0)*VLOOKUP('Données projet'!$B$11,Paramètres!$A$1:$I$89,5,0)</f>
        <v>136.23480000000004</v>
      </c>
      <c r="BF61" s="13">
        <f t="shared" si="37"/>
        <v>35.433087228729853</v>
      </c>
      <c r="BG61" s="20">
        <f t="shared" si="7"/>
        <v>298.98823692337123</v>
      </c>
      <c r="BH61" s="59">
        <f t="shared" si="8"/>
        <v>592.32157025670449</v>
      </c>
      <c r="BI61" s="59">
        <f ca="1">AVERAGE(OFFSET($BH$3,0,0,'Données projet'!$E$11+1,1))-AVERAGE(OFFSET($H$3,0,0,'Données projet'!$E$11+1,1))</f>
        <v>136.80149066064263</v>
      </c>
      <c r="BJ61" s="59">
        <f t="shared" si="38"/>
        <v>148.87330541103535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29.88077532327085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29.88077532327085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53.383200000000066</v>
      </c>
      <c r="D62" s="11">
        <f t="shared" si="32"/>
        <v>15.484128706113962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531.60744966123104</v>
      </c>
      <c r="H62" s="66">
        <f t="shared" si="1"/>
        <v>413.27726416314857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304.99999999999994</v>
      </c>
      <c r="O62" s="13">
        <f>N62*VLOOKUP('Données projet'!$B$9,Paramètres!$A$1:$I$89,3,0)*VLOOKUP('Données projet'!$B$9,Paramètres!$A$1:$I$89,5,0)</f>
        <v>275.96399999999994</v>
      </c>
      <c r="P62" s="13">
        <f t="shared" si="33"/>
        <v>66.113366665488911</v>
      </c>
      <c r="Q62" s="20">
        <f t="shared" si="53"/>
        <v>595.7847469423931</v>
      </c>
      <c r="R62" s="59">
        <f t="shared" si="0"/>
        <v>889.11808027572647</v>
      </c>
      <c r="S62" s="59">
        <f ca="1">AVERAGE(OFFSET($R$3,0,0,'Données projet'!$E$9+1,1))-AVERAGE(OFFSET($H$3,0,0,'Données projet'!$E$9+1,1))</f>
        <v>295.41366969872354</v>
      </c>
      <c r="T62" s="59">
        <f t="shared" si="34"/>
        <v>415.02188573182912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4.7126299946371262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4.7126299946371262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6.4</v>
      </c>
      <c r="AI62" s="13">
        <f>IF('Données projet'!$A$62&gt;35,AI61+AH62-AQ61,IF(A62&lt;'Données projet'!$A$62,$AF$205^A62,IF(A62='Données projet'!$A$62,'Données projet'!$B$62,AI61+AH62-AQ61)))</f>
        <v>253.60000000000005</v>
      </c>
      <c r="AJ62" s="13">
        <f>AI62*VLOOKUP('Données projet'!$B$10,Paramètres!$A$1:$I$89,3,0)*VLOOKUP('Données projet'!$B$10,Paramètres!$A$1:$I$89,5,0)</f>
        <v>166.15872000000002</v>
      </c>
      <c r="AK62" s="13">
        <f t="shared" si="35"/>
        <v>42.228563636586422</v>
      </c>
      <c r="AL62" s="20">
        <f t="shared" si="4"/>
        <v>362.9411856670547</v>
      </c>
      <c r="AM62" s="59">
        <f t="shared" si="5"/>
        <v>656.27451900038795</v>
      </c>
      <c r="AN62" s="59">
        <f ca="1">AVERAGE(OFFSET($AM$3,0,0,'Données projet'!$E$10+1,1))-AVERAGE(OFFSET($H$3,0,0,'Données projet'!$E$10+1,1))</f>
        <v>173.80737004674131</v>
      </c>
      <c r="AO62" s="59">
        <f t="shared" si="36"/>
        <v>206.06552061664968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32.246096461550771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32.246096461550771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</v>
      </c>
      <c r="BD62" s="12">
        <f>IF('Données projet'!$A$88&gt;35,BD61+BC62-BL61,IF(A62&lt;'Données projet'!$A$88,$BA$205^A62,IF(A62='Données projet'!$A$88,'Données projet'!$B$88,BD61+BC62-BL61)))</f>
        <v>219.00000000000003</v>
      </c>
      <c r="BE62" s="13">
        <f>BD62*VLOOKUP('Données projet'!$B$11,Paramètres!$A$1:$I$89,3,0)*VLOOKUP('Données projet'!$B$11,Paramètres!$A$1:$I$89,5,0)</f>
        <v>140.07240000000002</v>
      </c>
      <c r="BF62" s="13">
        <f t="shared" si="37"/>
        <v>36.313590819234449</v>
      </c>
      <c r="BG62" s="20">
        <f t="shared" si="7"/>
        <v>307.20560067683328</v>
      </c>
      <c r="BH62" s="59">
        <f t="shared" si="8"/>
        <v>600.5389340101666</v>
      </c>
      <c r="BI62" s="59">
        <f ca="1">AVERAGE(OFFSET($BH$3,0,0,'Données projet'!$E$11+1,1))-AVERAGE(OFFSET($H$3,0,0,'Données projet'!$E$11+1,1))</f>
        <v>136.80149066064263</v>
      </c>
      <c r="BJ62" s="59">
        <f t="shared" si="38"/>
        <v>148.87330541103535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29.294831544654841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29.294831544654841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54.288000000000068</v>
      </c>
      <c r="D63" s="11">
        <f t="shared" si="32"/>
        <v>15.71579589652676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540.38017885038255</v>
      </c>
      <c r="H63" s="66">
        <f t="shared" si="1"/>
        <v>415.25661118645087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304.99999999999994</v>
      </c>
      <c r="O63" s="13">
        <f>N63*VLOOKUP('Données projet'!$B$9,Paramètres!$A$1:$I$89,3,0)*VLOOKUP('Données projet'!$B$9,Paramètres!$A$1:$I$89,5,0)</f>
        <v>275.96399999999994</v>
      </c>
      <c r="P63" s="13">
        <f t="shared" si="33"/>
        <v>66.113366665488911</v>
      </c>
      <c r="Q63" s="20">
        <f t="shared" si="53"/>
        <v>595.7847469423931</v>
      </c>
      <c r="R63" s="59">
        <f t="shared" si="0"/>
        <v>889.11808027572647</v>
      </c>
      <c r="S63" s="59">
        <f ca="1">AVERAGE(OFFSET($R$3,0,0,'Données projet'!$E$9+1,1))-AVERAGE(OFFSET($H$3,0,0,'Données projet'!$E$9+1,1))</f>
        <v>295.41366969872354</v>
      </c>
      <c r="T63" s="59">
        <f t="shared" si="34"/>
        <v>415.02188573182912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4.6202181948627636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4.6202181948627636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260</v>
      </c>
      <c r="AG63" s="12">
        <f>VLOOKUP(A63,'Données projet'!$A$61:$I$81,9,0)</f>
        <v>6.4</v>
      </c>
      <c r="AH63" s="12">
        <f t="array" ref="AH63">INDEX(AG:AG,MIN(IF(ISNUMBER(AG63:AG259),ROW(AG63:AG259),"")))</f>
        <v>6.4</v>
      </c>
      <c r="AI63" s="13">
        <f>IF('Données projet'!$A$62&gt;35,AI62+AH63-AQ62,IF(A63&lt;'Données projet'!$A$62,$AF$205^A63,IF(A63='Données projet'!$A$62,'Données projet'!$B$62,AI62+AH63-AQ62)))</f>
        <v>260.00000000000006</v>
      </c>
      <c r="AJ63" s="13">
        <f>AI63*VLOOKUP('Données projet'!$B$10,Paramètres!$A$1:$I$89,3,0)*VLOOKUP('Données projet'!$B$10,Paramètres!$A$1:$I$89,5,0)</f>
        <v>170.35200000000003</v>
      </c>
      <c r="AK63" s="13">
        <f t="shared" si="35"/>
        <v>43.168850382694487</v>
      </c>
      <c r="AL63" s="20">
        <f t="shared" si="4"/>
        <v>371.88214774985954</v>
      </c>
      <c r="AM63" s="59">
        <f t="shared" si="5"/>
        <v>665.2154810831928</v>
      </c>
      <c r="AN63" s="59">
        <f ca="1">AVERAGE(OFFSET($AM$3,0,0,'Données projet'!$E$10+1,1))-AVERAGE(OFFSET($H$3,0,0,'Données projet'!$E$10+1,1))</f>
        <v>173.80737004674131</v>
      </c>
      <c r="AO63" s="59">
        <f t="shared" si="36"/>
        <v>206.06552061664968</v>
      </c>
      <c r="AP63" s="15">
        <f>IF(ISNA(VLOOKUP(A63,'Données projet'!$A$61:$I$81,3,0)),0,VLOOKUP(A63,'Données projet'!$A$61:$I$81,3,0))</f>
        <v>11</v>
      </c>
      <c r="AQ63" s="15">
        <f>IF(ISNA(VLOOKUP(A63,'Données projet'!$A$61:$I$81,4,0)),0,VLOOKUP(A63,'Données projet'!$A$61:$I$81,4,0))</f>
        <v>24</v>
      </c>
      <c r="AR63" s="16">
        <f>IF(ISNA(VLOOKUP(A63,'Données projet'!$A$61:$I$81,5,0)),0%,VLOOKUP(A63,'Données projet'!$A$61:$I$81,5,0)*VLOOKUP('Données projet'!$B$10,Paramètres!$A$1:$I$89,7,0))</f>
        <v>0.43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39.08858944647082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39.08858944647082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225</v>
      </c>
      <c r="BB63" s="12">
        <f>VLOOKUP(A63,'Données projet'!$A$87:$I$107,9,0)</f>
        <v>6</v>
      </c>
      <c r="BC63" s="12">
        <f t="array" ref="BC63">INDEX(BB:BB,MIN(IF(ISNUMBER(BB63:BB259),ROW(BB63:BB259),"")))</f>
        <v>6</v>
      </c>
      <c r="BD63" s="12">
        <f>IF('Données projet'!$A$88&gt;35,BD62+BC63-BL62,IF(A63&lt;'Données projet'!$A$88,$BA$205^A63,IF(A63='Données projet'!$A$88,'Données projet'!$B$88,BD62+BC63-BL62)))</f>
        <v>225.00000000000003</v>
      </c>
      <c r="BE63" s="13">
        <f>BD63*VLOOKUP('Données projet'!$B$11,Paramètres!$A$1:$I$89,3,0)*VLOOKUP('Données projet'!$B$11,Paramètres!$A$1:$I$89,5,0)</f>
        <v>143.91</v>
      </c>
      <c r="BF63" s="13">
        <f t="shared" si="37"/>
        <v>37.191290549543432</v>
      </c>
      <c r="BG63" s="20">
        <f t="shared" si="7"/>
        <v>315.41808104045475</v>
      </c>
      <c r="BH63" s="59">
        <f t="shared" si="8"/>
        <v>608.75141437378807</v>
      </c>
      <c r="BI63" s="59">
        <f ca="1">AVERAGE(OFFSET($BH$3,0,0,'Données projet'!$E$11+1,1))-AVERAGE(OFFSET($H$3,0,0,'Données projet'!$E$11+1,1))</f>
        <v>136.80149066064263</v>
      </c>
      <c r="BJ63" s="59">
        <f t="shared" si="38"/>
        <v>148.87330541103535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21</v>
      </c>
      <c r="BM63" s="16">
        <f>IF(ISNA(VLOOKUP(A63,'Données projet'!$A$87:$I$107,5,0)),0%,VLOOKUP(A63,'Données projet'!$A$87:$I$107,5,0)*VLOOKUP('Données projet'!$B$11,Paramètres!$A$1:$I$89,7,0))</f>
        <v>0.43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35.105119224533027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35.105119224533027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55.192800000000069</v>
      </c>
      <c r="D64" s="11">
        <f t="shared" si="32"/>
        <v>15.947014066281694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549.14944191515747</v>
      </c>
      <c r="H64" s="66">
        <f t="shared" si="1"/>
        <v>417.23517616544069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304.99999999999994</v>
      </c>
      <c r="O64" s="13">
        <f>N64*VLOOKUP('Données projet'!$B$9,Paramètres!$A$1:$I$89,3,0)*VLOOKUP('Données projet'!$B$9,Paramètres!$A$1:$I$89,5,0)</f>
        <v>275.96399999999994</v>
      </c>
      <c r="P64" s="13">
        <f t="shared" si="33"/>
        <v>66.113366665488911</v>
      </c>
      <c r="Q64" s="20">
        <f t="shared" si="53"/>
        <v>595.7847469423931</v>
      </c>
      <c r="R64" s="59">
        <f t="shared" si="0"/>
        <v>889.11808027572647</v>
      </c>
      <c r="S64" s="59">
        <f ca="1">AVERAGE(OFFSET($R$3,0,0,'Données projet'!$E$9+1,1))-AVERAGE(OFFSET($H$3,0,0,'Données projet'!$E$9+1,1))</f>
        <v>295.41366969872354</v>
      </c>
      <c r="T64" s="59">
        <f t="shared" si="34"/>
        <v>415.02188573182912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4.5296185341163442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4.5296185341163442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5.8</v>
      </c>
      <c r="AI64" s="13">
        <f>IF('Données projet'!$A$62&gt;35,AI63+AH64-AQ63,IF(A64&lt;'Données projet'!$A$62,$AF$205^A64,IF(A64='Données projet'!$A$62,'Données projet'!$B$62,AI63+AH64-AQ63)))</f>
        <v>241.80000000000007</v>
      </c>
      <c r="AJ64" s="13">
        <f>AI64*VLOOKUP('Données projet'!$B$10,Paramètres!$A$1:$I$89,3,0)*VLOOKUP('Données projet'!$B$10,Paramètres!$A$1:$I$89,5,0)</f>
        <v>158.42736000000005</v>
      </c>
      <c r="AK64" s="13">
        <f t="shared" si="35"/>
        <v>40.487598405868248</v>
      </c>
      <c r="AL64" s="20">
        <f t="shared" si="4"/>
        <v>346.44355255688725</v>
      </c>
      <c r="AM64" s="59">
        <f t="shared" si="5"/>
        <v>639.77688589022057</v>
      </c>
      <c r="AN64" s="59">
        <f ca="1">AVERAGE(OFFSET($AM$3,0,0,'Données projet'!$E$10+1,1))-AVERAGE(OFFSET($H$3,0,0,'Données projet'!$E$10+1,1))</f>
        <v>173.80737004674131</v>
      </c>
      <c r="AO64" s="59">
        <f t="shared" si="36"/>
        <v>206.06552061664968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38.322086049110922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38.322086049110922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5.6</v>
      </c>
      <c r="BD64" s="12">
        <f>IF('Données projet'!$A$88&gt;35,BD63+BC64-BL63,IF(A64&lt;'Données projet'!$A$88,$BA$205^A64,IF(A64='Données projet'!$A$88,'Données projet'!$B$88,BD63+BC64-BL63)))</f>
        <v>209.60000000000002</v>
      </c>
      <c r="BE64" s="13">
        <f>BD64*VLOOKUP('Données projet'!$B$11,Paramètres!$A$1:$I$89,3,0)*VLOOKUP('Données projet'!$B$11,Paramètres!$A$1:$I$89,5,0)</f>
        <v>134.06016000000002</v>
      </c>
      <c r="BF64" s="13">
        <f t="shared" si="37"/>
        <v>34.93285725919646</v>
      </c>
      <c r="BG64" s="20">
        <f t="shared" si="7"/>
        <v>294.3295050597672</v>
      </c>
      <c r="BH64" s="59">
        <f t="shared" si="8"/>
        <v>587.66283839310051</v>
      </c>
      <c r="BI64" s="59">
        <f ca="1">AVERAGE(OFFSET($BH$3,0,0,'Données projet'!$E$11+1,1))-AVERAGE(OFFSET($H$3,0,0,'Données projet'!$E$11+1,1))</f>
        <v>136.80149066064263</v>
      </c>
      <c r="BJ64" s="59">
        <f t="shared" si="38"/>
        <v>148.87330541103535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34.4167292485484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34.4167292485484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56.097600000000071</v>
      </c>
      <c r="D65" s="11">
        <f t="shared" si="32"/>
        <v>16.177791426098285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557.91530223654865</v>
      </c>
      <c r="H65" s="66">
        <f t="shared" si="1"/>
        <v>419.21297340045464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304.99999999999994</v>
      </c>
      <c r="O65" s="13">
        <f>N65*VLOOKUP('Données projet'!$B$9,Paramètres!$A$1:$I$89,3,0)*VLOOKUP('Données projet'!$B$9,Paramètres!$A$1:$I$89,5,0)</f>
        <v>275.96399999999994</v>
      </c>
      <c r="P65" s="13">
        <f t="shared" si="33"/>
        <v>66.113366665488911</v>
      </c>
      <c r="Q65" s="20">
        <f t="shared" si="53"/>
        <v>595.7847469423931</v>
      </c>
      <c r="R65" s="59">
        <f t="shared" si="0"/>
        <v>889.11808027572647</v>
      </c>
      <c r="S65" s="59">
        <f ca="1">AVERAGE(OFFSET($R$3,0,0,'Données projet'!$E$9+1,1))-AVERAGE(OFFSET($H$3,0,0,'Données projet'!$E$9+1,1))</f>
        <v>295.41366969872354</v>
      </c>
      <c r="T65" s="59">
        <f t="shared" si="34"/>
        <v>415.02188573182912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4.4407954774568248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4.4407954774568248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5.8</v>
      </c>
      <c r="AI65" s="13">
        <f>IF('Données projet'!$A$62&gt;35,AI64+AH65-AQ64,IF(A65&lt;'Données projet'!$A$62,$AF$205^A65,IF(A65='Données projet'!$A$62,'Données projet'!$B$62,AI64+AH65-AQ64)))</f>
        <v>247.60000000000008</v>
      </c>
      <c r="AJ65" s="13">
        <f>AI65*VLOOKUP('Données projet'!$B$10,Paramètres!$A$1:$I$89,3,0)*VLOOKUP('Données projet'!$B$10,Paramètres!$A$1:$I$89,5,0)</f>
        <v>162.22752000000006</v>
      </c>
      <c r="AK65" s="13">
        <f t="shared" si="35"/>
        <v>41.34453376038482</v>
      </c>
      <c r="AL65" s="20">
        <f t="shared" si="4"/>
        <v>354.554660299337</v>
      </c>
      <c r="AM65" s="59">
        <f t="shared" si="5"/>
        <v>647.88799363267026</v>
      </c>
      <c r="AN65" s="59">
        <f ca="1">AVERAGE(OFFSET($AM$3,0,0,'Données projet'!$E$10+1,1))-AVERAGE(OFFSET($H$3,0,0,'Données projet'!$E$10+1,1))</f>
        <v>173.80737004674131</v>
      </c>
      <c r="AO65" s="59">
        <f t="shared" si="36"/>
        <v>206.06552061664968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37.570613315852341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37.570613315852341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5.6</v>
      </c>
      <c r="BD65" s="12">
        <f>IF('Données projet'!$A$88&gt;35,BD64+BC65-BL64,IF(A65&lt;'Données projet'!$A$88,$BA$205^A65,IF(A65='Données projet'!$A$88,'Données projet'!$B$88,BD64+BC65-BL64)))</f>
        <v>215.20000000000002</v>
      </c>
      <c r="BE65" s="13">
        <f>BD65*VLOOKUP('Données projet'!$B$11,Paramètres!$A$1:$I$89,3,0)*VLOOKUP('Données projet'!$B$11,Paramètres!$A$1:$I$89,5,0)</f>
        <v>137.64192</v>
      </c>
      <c r="BF65" s="13">
        <f t="shared" si="37"/>
        <v>35.756269576827904</v>
      </c>
      <c r="BG65" s="20">
        <f t="shared" si="7"/>
        <v>302.00184684630864</v>
      </c>
      <c r="BH65" s="59">
        <f t="shared" si="8"/>
        <v>595.33518017964195</v>
      </c>
      <c r="BI65" s="59">
        <f ca="1">AVERAGE(OFFSET($BH$3,0,0,'Données projet'!$E$11+1,1))-AVERAGE(OFFSET($H$3,0,0,'Données projet'!$E$11+1,1))</f>
        <v>136.80149066064263</v>
      </c>
      <c r="BJ65" s="59">
        <f t="shared" si="38"/>
        <v>148.87330541103535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33.741838180116403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33.741838180116403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57.002400000000073</v>
      </c>
      <c r="D66" s="11">
        <f t="shared" si="32"/>
        <v>16.408135906645821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566.67782103375782</v>
      </c>
      <c r="H66" s="66">
        <f t="shared" si="1"/>
        <v>421.19001670407494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304.99999999999994</v>
      </c>
      <c r="O66" s="13">
        <f>N66*VLOOKUP('Données projet'!$B$9,Paramètres!$A$1:$I$89,3,0)*VLOOKUP('Données projet'!$B$9,Paramètres!$A$1:$I$89,5,0)</f>
        <v>275.96399999999994</v>
      </c>
      <c r="P66" s="13">
        <f t="shared" si="33"/>
        <v>66.113366665488911</v>
      </c>
      <c r="Q66" s="20">
        <f t="shared" si="53"/>
        <v>595.7847469423931</v>
      </c>
      <c r="R66" s="59">
        <f t="shared" si="0"/>
        <v>889.11808027572647</v>
      </c>
      <c r="S66" s="59">
        <f ca="1">AVERAGE(OFFSET($R$3,0,0,'Données projet'!$E$9+1,1))-AVERAGE(OFFSET($H$3,0,0,'Données projet'!$E$9+1,1))</f>
        <v>295.41366969872354</v>
      </c>
      <c r="T66" s="59">
        <f t="shared" si="34"/>
        <v>415.02188573182912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4.3537141867616835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4.3537141867616835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5.8</v>
      </c>
      <c r="AI66" s="13">
        <f>IF('Données projet'!$A$62&gt;35,AI65+AH66-AQ65,IF(A66&lt;'Données projet'!$A$62,$AF$205^A66,IF(A66='Données projet'!$A$62,'Données projet'!$B$62,AI65+AH66-AQ65)))</f>
        <v>253.40000000000009</v>
      </c>
      <c r="AJ66" s="13">
        <f>AI66*VLOOKUP('Données projet'!$B$10,Paramètres!$A$1:$I$89,3,0)*VLOOKUP('Données projet'!$B$10,Paramètres!$A$1:$I$89,5,0)</f>
        <v>166.02768000000006</v>
      </c>
      <c r="AK66" s="13">
        <f t="shared" si="35"/>
        <v>42.199135504117315</v>
      </c>
      <c r="AL66" s="20">
        <f t="shared" si="4"/>
        <v>362.66170366967111</v>
      </c>
      <c r="AM66" s="59">
        <f t="shared" si="5"/>
        <v>655.99503700300443</v>
      </c>
      <c r="AN66" s="59">
        <f ca="1">AVERAGE(OFFSET($AM$3,0,0,'Données projet'!$E$10+1,1))-AVERAGE(OFFSET($H$3,0,0,'Données projet'!$E$10+1,1))</f>
        <v>173.80737004674131</v>
      </c>
      <c r="AO66" s="59">
        <f t="shared" si="36"/>
        <v>206.06552061664968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36.833876504539852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36.833876504539852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5.6</v>
      </c>
      <c r="BD66" s="12">
        <f>IF('Données projet'!$A$88&gt;35,BD65+BC66-BL65,IF(A66&lt;'Données projet'!$A$88,$BA$205^A66,IF(A66='Données projet'!$A$88,'Données projet'!$B$88,BD65+BC66-BL65)))</f>
        <v>220.8</v>
      </c>
      <c r="BE66" s="13">
        <f>BD66*VLOOKUP('Données projet'!$B$11,Paramètres!$A$1:$I$89,3,0)*VLOOKUP('Données projet'!$B$11,Paramètres!$A$1:$I$89,5,0)</f>
        <v>141.22368</v>
      </c>
      <c r="BF66" s="13">
        <f t="shared" si="37"/>
        <v>36.577191258077065</v>
      </c>
      <c r="BG66" s="20">
        <f t="shared" si="7"/>
        <v>309.66985077448419</v>
      </c>
      <c r="BH66" s="59">
        <f t="shared" si="8"/>
        <v>603.00318410781756</v>
      </c>
      <c r="BI66" s="59">
        <f ca="1">AVERAGE(OFFSET($BH$3,0,0,'Données projet'!$E$11+1,1))-AVERAGE(OFFSET($H$3,0,0,'Données projet'!$E$11+1,1))</f>
        <v>136.80149066064263</v>
      </c>
      <c r="BJ66" s="59">
        <f t="shared" si="38"/>
        <v>148.87330541103535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33.080181313893455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33.080181313893455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57.907200000000074</v>
      </c>
      <c r="D67" s="11">
        <f t="shared" si="32"/>
        <v>16.638055172386014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575.43705747105059</v>
      </c>
      <c r="H67" s="66">
        <f t="shared" si="1"/>
        <v>423.16631942523907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304.99999999999994</v>
      </c>
      <c r="O67" s="13">
        <f>N67*VLOOKUP('Données projet'!$B$9,Paramètres!$A$1:$I$89,3,0)*VLOOKUP('Données projet'!$B$9,Paramètres!$A$1:$I$89,5,0)</f>
        <v>275.96399999999994</v>
      </c>
      <c r="P67" s="13">
        <f t="shared" si="33"/>
        <v>66.113366665488911</v>
      </c>
      <c r="Q67" s="20">
        <f t="shared" ref="Q67:Q98" si="54">(O67+P67)*0.475*44/12</f>
        <v>595.7847469423931</v>
      </c>
      <c r="R67" s="59">
        <f t="shared" ref="R67:R130" si="55">Q67+(I67+J67)*44/12</f>
        <v>889.11808027572647</v>
      </c>
      <c r="S67" s="59">
        <f ca="1">AVERAGE(OFFSET($R$3,0,0,'Données projet'!$E$9+1,1))-AVERAGE(OFFSET($H$3,0,0,'Données projet'!$E$9+1,1))</f>
        <v>295.41366969872354</v>
      </c>
      <c r="T67" s="59">
        <f t="shared" si="34"/>
        <v>415.02188573182912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4.2683405070627316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4.2683405070627316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5.8</v>
      </c>
      <c r="AI67" s="13">
        <f>IF('Données projet'!$A$62&gt;35,AI66+AH67-AQ66,IF(A67&lt;'Données projet'!$A$62,$AF$205^A67,IF(A67='Données projet'!$A$62,'Données projet'!$B$62,AI66+AH67-AQ66)))</f>
        <v>259.2000000000001</v>
      </c>
      <c r="AJ67" s="13">
        <f>AI67*VLOOKUP('Données projet'!$B$10,Paramètres!$A$1:$I$89,3,0)*VLOOKUP('Données projet'!$B$10,Paramètres!$A$1:$I$89,5,0)</f>
        <v>169.82784000000007</v>
      </c>
      <c r="AK67" s="13">
        <f t="shared" si="35"/>
        <v>43.051463198873812</v>
      </c>
      <c r="AL67" s="20">
        <f t="shared" si="4"/>
        <v>370.76478640470532</v>
      </c>
      <c r="AM67" s="59">
        <f t="shared" si="5"/>
        <v>664.09811973803858</v>
      </c>
      <c r="AN67" s="59">
        <f ca="1">AVERAGE(OFFSET($AM$3,0,0,'Données projet'!$E$10+1,1))-AVERAGE(OFFSET($H$3,0,0,'Données projet'!$E$10+1,1))</f>
        <v>173.80737004674131</v>
      </c>
      <c r="AO67" s="59">
        <f t="shared" si="36"/>
        <v>206.06552061664968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36.111586652732115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36.111586652732115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5.6</v>
      </c>
      <c r="BD67" s="12">
        <f>IF('Données projet'!$A$88&gt;35,BD66+BC67-BL66,IF(A67&lt;'Données projet'!$A$88,$BA$205^A67,IF(A67='Données projet'!$A$88,'Données projet'!$B$88,BD66+BC67-BL66)))</f>
        <v>226.4</v>
      </c>
      <c r="BE67" s="13">
        <f>BD67*VLOOKUP('Données projet'!$B$11,Paramètres!$A$1:$I$89,3,0)*VLOOKUP('Données projet'!$B$11,Paramètres!$A$1:$I$89,5,0)</f>
        <v>144.80544</v>
      </c>
      <c r="BF67" s="13">
        <f t="shared" si="37"/>
        <v>37.395692735335132</v>
      </c>
      <c r="BG67" s="20">
        <f t="shared" si="7"/>
        <v>317.33363951404203</v>
      </c>
      <c r="BH67" s="59">
        <f t="shared" si="8"/>
        <v>610.66697284737529</v>
      </c>
      <c r="BI67" s="59">
        <f ca="1">AVERAGE(OFFSET($BH$3,0,0,'Données projet'!$E$11+1,1))-AVERAGE(OFFSET($H$3,0,0,'Données projet'!$E$11+1,1))</f>
        <v>136.80149066064263</v>
      </c>
      <c r="BJ67" s="59">
        <f t="shared" si="38"/>
        <v>148.87330541103535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32.431499135246298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32.431499135246298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58.812000000000076</v>
      </c>
      <c r="D68" s="11">
        <f t="shared" si="32"/>
        <v>16.867556634526004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584.19306875774521</v>
      </c>
      <c r="H68" s="66">
        <f t="shared" ref="H68:H131" si="56">(B68+E68+F68)*44/12+(C68+D68)*0.475*44/12</f>
        <v>425.14189447179956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304.99999999999994</v>
      </c>
      <c r="O68" s="13">
        <f>N68*VLOOKUP('Données projet'!$B$9,Paramètres!$A$1:$I$89,3,0)*VLOOKUP('Données projet'!$B$9,Paramètres!$A$1:$I$89,5,0)</f>
        <v>275.96399999999994</v>
      </c>
      <c r="P68" s="13">
        <f t="shared" si="33"/>
        <v>66.113366665488911</v>
      </c>
      <c r="Q68" s="20">
        <f t="shared" si="54"/>
        <v>595.7847469423931</v>
      </c>
      <c r="R68" s="59">
        <f t="shared" si="55"/>
        <v>889.11808027572647</v>
      </c>
      <c r="S68" s="59">
        <f ca="1">AVERAGE(OFFSET($R$3,0,0,'Données projet'!$E$9+1,1))-AVERAGE(OFFSET($H$3,0,0,'Données projet'!$E$9+1,1))</f>
        <v>295.41366969872354</v>
      </c>
      <c r="T68" s="59">
        <f t="shared" si="34"/>
        <v>415.02188573182912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4.1846409531498736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4.1846409531498736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265</v>
      </c>
      <c r="AG68" s="12">
        <f>VLOOKUP(A68,'Données projet'!$A$61:$I$81,9,0)</f>
        <v>5.8</v>
      </c>
      <c r="AH68" s="12">
        <f t="array" ref="AH68">INDEX(AG:AG,MIN(IF(ISNUMBER(AG68:AG264),ROW(AG68:AG264),"")))</f>
        <v>5.8</v>
      </c>
      <c r="AI68" s="13">
        <f>IF('Données projet'!$A$62&gt;35,AI67+AH68-AQ67,IF(A68&lt;'Données projet'!$A$62,$AF$205^A68,IF(A68='Données projet'!$A$62,'Données projet'!$B$62,AI67+AH68-AQ67)))</f>
        <v>265.00000000000011</v>
      </c>
      <c r="AJ68" s="13">
        <f>AI68*VLOOKUP('Données projet'!$B$10,Paramètres!$A$1:$I$89,3,0)*VLOOKUP('Données projet'!$B$10,Paramètres!$A$1:$I$89,5,0)</f>
        <v>173.62800000000007</v>
      </c>
      <c r="AK68" s="13">
        <f t="shared" si="35"/>
        <v>43.901573588714463</v>
      </c>
      <c r="AL68" s="20">
        <f t="shared" ref="AL68:AL131" si="58">(AJ68+AK68)*0.475*44/12</f>
        <v>378.86400733367782</v>
      </c>
      <c r="AM68" s="59">
        <f t="shared" ref="AM68:AM131" si="59">AL68+(AD68+AE68)*44/12</f>
        <v>672.19734066701108</v>
      </c>
      <c r="AN68" s="59">
        <f ca="1">AVERAGE(OFFSET($AM$3,0,0,'Données projet'!$E$10+1,1))-AVERAGE(OFFSET($H$3,0,0,'Données projet'!$E$10+1,1))</f>
        <v>173.80737004674131</v>
      </c>
      <c r="AO68" s="59">
        <f t="shared" si="36"/>
        <v>206.06552061664968</v>
      </c>
      <c r="AP68" s="15">
        <f>IF(ISNA(VLOOKUP(A68,'Données projet'!$A$61:$I$81,3,0)),0,VLOOKUP(A68,'Données projet'!$A$61:$I$81,3,0))</f>
        <v>12</v>
      </c>
      <c r="AQ68" s="15">
        <f>IF(ISNA(VLOOKUP(A68,'Données projet'!$A$61:$I$81,4,0)),0,VLOOKUP(A68,'Données projet'!$A$61:$I$81,4,0))</f>
        <v>22</v>
      </c>
      <c r="AR68" s="16">
        <f>IF(ISNA(VLOOKUP(A68,'Données projet'!$A$61:$I$81,5,0)),0%,VLOOKUP(A68,'Données projet'!$A$61:$I$81,5,0)*VLOOKUP('Données projet'!$B$10,Paramètres!$A$1:$I$89,7,0))</f>
        <v>0.43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42.255378127023114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42.255378127023114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232</v>
      </c>
      <c r="BB68" s="12">
        <f>VLOOKUP(A68,'Données projet'!$A$87:$I$107,9,0)</f>
        <v>5.6</v>
      </c>
      <c r="BC68" s="12">
        <f t="array" ref="BC68">INDEX(BB:BB,MIN(IF(ISNUMBER(BB68:BB264),ROW(BB68:BB264),"")))</f>
        <v>5.6</v>
      </c>
      <c r="BD68" s="12">
        <f>IF('Données projet'!$A$88&gt;35,BD67+BC68-BL67,IF(A68&lt;'Données projet'!$A$88,$BA$205^A68,IF(A68='Données projet'!$A$88,'Données projet'!$B$88,BD67+BC68-BL67)))</f>
        <v>232</v>
      </c>
      <c r="BE68" s="13">
        <f>BD68*VLOOKUP('Données projet'!$B$11,Paramètres!$A$1:$I$89,3,0)*VLOOKUP('Données projet'!$B$11,Paramètres!$A$1:$I$89,5,0)</f>
        <v>148.38719999999998</v>
      </c>
      <c r="BF68" s="13">
        <f t="shared" si="37"/>
        <v>38.211840758090553</v>
      </c>
      <c r="BG68" s="20">
        <f t="shared" ref="BG68:BG131" si="61">(BE68+BF68)*0.475*44/12</f>
        <v>324.99332932034093</v>
      </c>
      <c r="BH68" s="59">
        <f t="shared" ref="BH68:BH131" si="62">BG68+(AY68+AZ68)*44/12</f>
        <v>618.32666265367425</v>
      </c>
      <c r="BI68" s="59">
        <f ca="1">AVERAGE(OFFSET($BH$3,0,0,'Données projet'!$E$11+1,1))-AVERAGE(OFFSET($H$3,0,0,'Données projet'!$E$11+1,1))</f>
        <v>136.80149066064263</v>
      </c>
      <c r="BJ68" s="59">
        <f t="shared" si="38"/>
        <v>148.87330541103535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20</v>
      </c>
      <c r="BM68" s="16">
        <f>IF(ISNA(VLOOKUP(A68,'Données projet'!$A$87:$I$107,5,0)),0%,VLOOKUP(A68,'Données projet'!$A$87:$I$107,5,0)*VLOOKUP('Données projet'!$B$11,Paramètres!$A$1:$I$89,7,0))</f>
        <v>0.43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37.876243369309115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37.876243369309115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59.716800000000077</v>
      </c>
      <c r="D69" s="11">
        <f t="shared" ref="D69:D132" si="86">IFERROR(EXP(-1.0587+0.8836*LN(C69)+0.284),0)</f>
        <v>17.096647463151541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592.94591024187218</v>
      </c>
      <c r="H69" s="66">
        <f t="shared" si="56"/>
        <v>427.11675433165567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304.99999999999994</v>
      </c>
      <c r="O69" s="13">
        <f>N69*VLOOKUP('Données projet'!$B$9,Paramètres!$A$1:$I$89,3,0)*VLOOKUP('Données projet'!$B$9,Paramètres!$A$1:$I$89,5,0)</f>
        <v>275.96399999999994</v>
      </c>
      <c r="P69" s="13">
        <f t="shared" ref="P69:P132" si="87">EXP(-1.0587+0.8836*LN(O69)+0.284)</f>
        <v>66.113366665488911</v>
      </c>
      <c r="Q69" s="20">
        <f t="shared" si="54"/>
        <v>595.7847469423931</v>
      </c>
      <c r="R69" s="59">
        <f t="shared" si="55"/>
        <v>889.11808027572647</v>
      </c>
      <c r="S69" s="59">
        <f ca="1">AVERAGE(OFFSET($R$3,0,0,'Données projet'!$E$9+1,1))-AVERAGE(OFFSET($H$3,0,0,'Données projet'!$E$9+1,1))</f>
        <v>295.41366969872354</v>
      </c>
      <c r="T69" s="59">
        <f t="shared" ref="T69:T132" si="88">$T$3</f>
        <v>415.02188573182912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4.1025826964375591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4.1025826964375591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5.4</v>
      </c>
      <c r="AI69" s="13">
        <f>IF('Données projet'!$A$62&gt;35,AI68+AH69-AQ68,IF(A69&lt;'Données projet'!$A$62,$AF$205^A69,IF(A69='Données projet'!$A$62,'Données projet'!$B$62,AI68+AH69-AQ68)))</f>
        <v>248.40000000000009</v>
      </c>
      <c r="AJ69" s="13">
        <f>AI69*VLOOKUP('Données projet'!$B$10,Paramètres!$A$1:$I$89,3,0)*VLOOKUP('Données projet'!$B$10,Paramètres!$A$1:$I$89,5,0)</f>
        <v>162.75168000000005</v>
      </c>
      <c r="AK69" s="13">
        <f t="shared" ref="AK69:AK132" si="89">EXP(-1.0587+0.8836*LN(AJ69)+0.284)</f>
        <v>41.462547229213008</v>
      </c>
      <c r="AL69" s="20">
        <f t="shared" si="58"/>
        <v>355.67311242421277</v>
      </c>
      <c r="AM69" s="59">
        <f t="shared" si="59"/>
        <v>649.00644575754609</v>
      </c>
      <c r="AN69" s="59">
        <f ca="1">AVERAGE(OFFSET($AM$3,0,0,'Données projet'!$E$10+1,1))-AVERAGE(OFFSET($H$3,0,0,'Données projet'!$E$10+1,1))</f>
        <v>173.80737004674131</v>
      </c>
      <c r="AO69" s="59">
        <f t="shared" ref="AO69:AO132" si="90">$AO$3</f>
        <v>206.06552061664968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41.426775935187955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41.426775935187955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</v>
      </c>
      <c r="BD69" s="12">
        <f>IF('Données projet'!$A$88&gt;35,BD68+BC69-BL68,IF(A69&lt;'Données projet'!$A$88,$BA$205^A69,IF(A69='Données projet'!$A$88,'Données projet'!$B$88,BD68+BC69-BL68)))</f>
        <v>217</v>
      </c>
      <c r="BE69" s="13">
        <f>BD69*VLOOKUP('Données projet'!$B$11,Paramètres!$A$1:$I$89,3,0)*VLOOKUP('Données projet'!$B$11,Paramètres!$A$1:$I$89,5,0)</f>
        <v>138.79320000000001</v>
      </c>
      <c r="BF69" s="13">
        <f t="shared" ref="BF69:BF132" si="91">EXP(-1.0587+0.8836*LN(BE69)+0.284)</f>
        <v>36.020405418475804</v>
      </c>
      <c r="BG69" s="20">
        <f t="shared" si="61"/>
        <v>304.46702943717872</v>
      </c>
      <c r="BH69" s="59">
        <f t="shared" si="62"/>
        <v>597.80036277051204</v>
      </c>
      <c r="BI69" s="59">
        <f ca="1">AVERAGE(OFFSET($BH$3,0,0,'Données projet'!$E$11+1,1))-AVERAGE(OFFSET($H$3,0,0,'Données projet'!$E$11+1,1))</f>
        <v>136.80149066064263</v>
      </c>
      <c r="BJ69" s="59">
        <f t="shared" ref="BJ69:BJ132" si="92">$BJ$3</f>
        <v>148.87330541103535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37.133513339064265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37.133513339064265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60.621600000000079</v>
      </c>
      <c r="D70" s="11">
        <f t="shared" si="86"/>
        <v>17.325334598604044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601.6956354979967</v>
      </c>
      <c r="H70" s="66">
        <f t="shared" si="56"/>
        <v>429.09091109256883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304.99999999999994</v>
      </c>
      <c r="O70" s="13">
        <f>N70*VLOOKUP('Données projet'!$B$9,Paramètres!$A$1:$I$89,3,0)*VLOOKUP('Données projet'!$B$9,Paramètres!$A$1:$I$89,5,0)</f>
        <v>275.96399999999994</v>
      </c>
      <c r="P70" s="13">
        <f t="shared" si="87"/>
        <v>66.113366665488911</v>
      </c>
      <c r="Q70" s="20">
        <f t="shared" si="54"/>
        <v>595.7847469423931</v>
      </c>
      <c r="R70" s="59">
        <f t="shared" si="55"/>
        <v>889.11808027572647</v>
      </c>
      <c r="S70" s="59">
        <f ca="1">AVERAGE(OFFSET($R$3,0,0,'Données projet'!$E$9+1,1))-AVERAGE(OFFSET($H$3,0,0,'Données projet'!$E$9+1,1))</f>
        <v>295.41366969872354</v>
      </c>
      <c r="T70" s="59">
        <f t="shared" si="88"/>
        <v>415.02188573182912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4.0221335520887793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4.0221335520887793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5.4</v>
      </c>
      <c r="AI70" s="13">
        <f>IF('Données projet'!$A$62&gt;35,AI69+AH70-AQ69,IF(A70&lt;'Données projet'!$A$62,$AF$205^A70,IF(A70='Données projet'!$A$62,'Données projet'!$B$62,AI69+AH70-AQ69)))</f>
        <v>253.8000000000001</v>
      </c>
      <c r="AJ70" s="13">
        <f>AI70*VLOOKUP('Données projet'!$B$10,Paramètres!$A$1:$I$89,3,0)*VLOOKUP('Données projet'!$B$10,Paramètres!$A$1:$I$89,5,0)</f>
        <v>166.28976000000006</v>
      </c>
      <c r="AK70" s="13">
        <f t="shared" si="89"/>
        <v>42.257989067732332</v>
      </c>
      <c r="AL70" s="20">
        <f t="shared" si="58"/>
        <v>363.2206629596339</v>
      </c>
      <c r="AM70" s="59">
        <f t="shared" si="59"/>
        <v>656.55399629296721</v>
      </c>
      <c r="AN70" s="59">
        <f ca="1">AVERAGE(OFFSET($AM$3,0,0,'Données projet'!$E$10+1,1))-AVERAGE(OFFSET($H$3,0,0,'Données projet'!$E$10+1,1))</f>
        <v>173.80737004674131</v>
      </c>
      <c r="AO70" s="59">
        <f t="shared" si="90"/>
        <v>206.06552061664968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40.614422126937249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40.614422126937249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</v>
      </c>
      <c r="BD70" s="12">
        <f>IF('Données projet'!$A$88&gt;35,BD69+BC70-BL69,IF(A70&lt;'Données projet'!$A$88,$BA$205^A70,IF(A70='Données projet'!$A$88,'Données projet'!$B$88,BD69+BC70-BL69)))</f>
        <v>222</v>
      </c>
      <c r="BE70" s="13">
        <f>BD70*VLOOKUP('Données projet'!$B$11,Paramètres!$A$1:$I$89,3,0)*VLOOKUP('Données projet'!$B$11,Paramètres!$A$1:$I$89,5,0)</f>
        <v>141.99119999999999</v>
      </c>
      <c r="BF70" s="13">
        <f t="shared" si="91"/>
        <v>36.752785844923459</v>
      </c>
      <c r="BG70" s="20">
        <f t="shared" si="61"/>
        <v>311.31244201324165</v>
      </c>
      <c r="BH70" s="59">
        <f t="shared" si="62"/>
        <v>604.64577534657496</v>
      </c>
      <c r="BI70" s="59">
        <f ca="1">AVERAGE(OFFSET($BH$3,0,0,'Données projet'!$E$11+1,1))-AVERAGE(OFFSET($H$3,0,0,'Données projet'!$E$11+1,1))</f>
        <v>136.80149066064263</v>
      </c>
      <c r="BJ70" s="59">
        <f t="shared" si="92"/>
        <v>148.87330541103535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36.405347791691931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36.405347791691931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61.526400000000081</v>
      </c>
      <c r="D71" s="11">
        <f t="shared" si="86"/>
        <v>17.553624762159028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610.44229640964932</v>
      </c>
      <c r="H71" s="66">
        <f t="shared" si="56"/>
        <v>431.0643764607604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304.99999999999994</v>
      </c>
      <c r="O71" s="13">
        <f>N71*VLOOKUP('Données projet'!$B$9,Paramètres!$A$1:$I$89,3,0)*VLOOKUP('Données projet'!$B$9,Paramètres!$A$1:$I$89,5,0)</f>
        <v>275.96399999999994</v>
      </c>
      <c r="P71" s="13">
        <f t="shared" si="87"/>
        <v>66.113366665488911</v>
      </c>
      <c r="Q71" s="20">
        <f t="shared" si="54"/>
        <v>595.7847469423931</v>
      </c>
      <c r="R71" s="59">
        <f t="shared" si="55"/>
        <v>889.11808027572647</v>
      </c>
      <c r="S71" s="59">
        <f ca="1">AVERAGE(OFFSET($R$3,0,0,'Données projet'!$E$9+1,1))-AVERAGE(OFFSET($H$3,0,0,'Données projet'!$E$9+1,1))</f>
        <v>295.41366969872354</v>
      </c>
      <c r="T71" s="59">
        <f t="shared" si="88"/>
        <v>415.02188573182912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3.943261966391546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3.943261966391546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5.4</v>
      </c>
      <c r="AI71" s="13">
        <f>IF('Données projet'!$A$62&gt;35,AI70+AH71-AQ70,IF(A71&lt;'Données projet'!$A$62,$AF$205^A71,IF(A71='Données projet'!$A$62,'Données projet'!$B$62,AI70+AH71-AQ70)))</f>
        <v>259.2000000000001</v>
      </c>
      <c r="AJ71" s="13">
        <f>AI71*VLOOKUP('Données projet'!$B$10,Paramètres!$A$1:$I$89,3,0)*VLOOKUP('Données projet'!$B$10,Paramètres!$A$1:$I$89,5,0)</f>
        <v>169.82784000000007</v>
      </c>
      <c r="AK71" s="13">
        <f t="shared" si="89"/>
        <v>43.051463198873812</v>
      </c>
      <c r="AL71" s="20">
        <f t="shared" si="58"/>
        <v>370.76478640470532</v>
      </c>
      <c r="AM71" s="59">
        <f t="shared" si="59"/>
        <v>664.09811973803858</v>
      </c>
      <c r="AN71" s="59">
        <f ca="1">AVERAGE(OFFSET($AM$3,0,0,'Données projet'!$E$10+1,1))-AVERAGE(OFFSET($H$3,0,0,'Données projet'!$E$10+1,1))</f>
        <v>173.80737004674131</v>
      </c>
      <c r="AO71" s="59">
        <f t="shared" si="90"/>
        <v>206.06552061664968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39.817998081379443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39.817998081379443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</v>
      </c>
      <c r="BD71" s="12">
        <f>IF('Données projet'!$A$88&gt;35,BD70+BC71-BL70,IF(A71&lt;'Données projet'!$A$88,$BA$205^A71,IF(A71='Données projet'!$A$88,'Données projet'!$B$88,BD70+BC71-BL70)))</f>
        <v>227</v>
      </c>
      <c r="BE71" s="13">
        <f>BD71*VLOOKUP('Données projet'!$B$11,Paramètres!$A$1:$I$89,3,0)*VLOOKUP('Données projet'!$B$11,Paramètres!$A$1:$I$89,5,0)</f>
        <v>145.1892</v>
      </c>
      <c r="BF71" s="13">
        <f t="shared" si="91"/>
        <v>37.483248590240066</v>
      </c>
      <c r="BG71" s="20">
        <f t="shared" si="61"/>
        <v>318.15451462800144</v>
      </c>
      <c r="BH71" s="59">
        <f t="shared" si="62"/>
        <v>611.48784796133475</v>
      </c>
      <c r="BI71" s="59">
        <f ca="1">AVERAGE(OFFSET($BH$3,0,0,'Données projet'!$E$11+1,1))-AVERAGE(OFFSET($H$3,0,0,'Données projet'!$E$11+1,1))</f>
        <v>136.80149066064263</v>
      </c>
      <c r="BJ71" s="59">
        <f t="shared" si="92"/>
        <v>148.87330541103535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35.691461126566438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35.691461126566438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62.431200000000082</v>
      </c>
      <c r="D72" s="11">
        <f t="shared" si="86"/>
        <v>17.781524466058691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619.18594324676951</v>
      </c>
      <c r="H72" s="66">
        <f t="shared" si="56"/>
        <v>433.03716177838567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304.99999999999994</v>
      </c>
      <c r="O72" s="13">
        <f>N72*VLOOKUP('Données projet'!$B$9,Paramètres!$A$1:$I$89,3,0)*VLOOKUP('Données projet'!$B$9,Paramètres!$A$1:$I$89,5,0)</f>
        <v>275.96399999999994</v>
      </c>
      <c r="P72" s="13">
        <f t="shared" si="87"/>
        <v>66.113366665488911</v>
      </c>
      <c r="Q72" s="20">
        <f t="shared" si="54"/>
        <v>595.7847469423931</v>
      </c>
      <c r="R72" s="59">
        <f t="shared" si="55"/>
        <v>889.11808027572647</v>
      </c>
      <c r="S72" s="59">
        <f ca="1">AVERAGE(OFFSET($R$3,0,0,'Données projet'!$E$9+1,1))-AVERAGE(OFFSET($H$3,0,0,'Données projet'!$E$9+1,1))</f>
        <v>295.41366969872354</v>
      </c>
      <c r="T72" s="59">
        <f t="shared" si="88"/>
        <v>415.02188573182912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3.8659370043829182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3.8659370043829182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5.4</v>
      </c>
      <c r="AI72" s="13">
        <f>IF('Données projet'!$A$62&gt;35,AI71+AH72-AQ71,IF(A72&lt;'Données projet'!$A$62,$AF$205^A72,IF(A72='Données projet'!$A$62,'Données projet'!$B$62,AI71+AH72-AQ71)))</f>
        <v>264.60000000000008</v>
      </c>
      <c r="AJ72" s="13">
        <f>AI72*VLOOKUP('Données projet'!$B$10,Paramètres!$A$1:$I$89,3,0)*VLOOKUP('Données projet'!$B$10,Paramètres!$A$1:$I$89,5,0)</f>
        <v>173.36592000000005</v>
      </c>
      <c r="AK72" s="13">
        <f t="shared" si="89"/>
        <v>43.843015339462696</v>
      </c>
      <c r="AL72" s="20">
        <f t="shared" si="58"/>
        <v>378.30556238289756</v>
      </c>
      <c r="AM72" s="59">
        <f t="shared" si="59"/>
        <v>671.63889571623088</v>
      </c>
      <c r="AN72" s="59">
        <f ca="1">AVERAGE(OFFSET($AM$3,0,0,'Données projet'!$E$10+1,1))-AVERAGE(OFFSET($H$3,0,0,'Données projet'!$E$10+1,1))</f>
        <v>173.80737004674131</v>
      </c>
      <c r="AO72" s="59">
        <f t="shared" si="90"/>
        <v>206.06552061664968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39.037191425584318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39.037191425584318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</v>
      </c>
      <c r="BD72" s="12">
        <f>IF('Données projet'!$A$88&gt;35,BD71+BC72-BL71,IF(A72&lt;'Données projet'!$A$88,$BA$205^A72,IF(A72='Données projet'!$A$88,'Données projet'!$B$88,BD71+BC72-BL71)))</f>
        <v>232</v>
      </c>
      <c r="BE72" s="13">
        <f>BD72*VLOOKUP('Données projet'!$B$11,Paramètres!$A$1:$I$89,3,0)*VLOOKUP('Données projet'!$B$11,Paramètres!$A$1:$I$89,5,0)</f>
        <v>148.38719999999998</v>
      </c>
      <c r="BF72" s="13">
        <f t="shared" si="91"/>
        <v>38.211840758090553</v>
      </c>
      <c r="BG72" s="20">
        <f t="shared" si="61"/>
        <v>324.99332932034093</v>
      </c>
      <c r="BH72" s="59">
        <f t="shared" si="62"/>
        <v>618.32666265367425</v>
      </c>
      <c r="BI72" s="59">
        <f ca="1">AVERAGE(OFFSET($BH$3,0,0,'Données projet'!$E$11+1,1))-AVERAGE(OFFSET($H$3,0,0,'Données projet'!$E$11+1,1))</f>
        <v>136.80149066064263</v>
      </c>
      <c r="BJ72" s="59">
        <f t="shared" si="92"/>
        <v>148.87330541103535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34.991573343516187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34.991573343516187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63.336000000000084</v>
      </c>
      <c r="D73" s="11">
        <f t="shared" si="86"/>
        <v>18.009040022946241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627.92662473853306</v>
      </c>
      <c r="H73" s="66">
        <f t="shared" si="56"/>
        <v>435.00927803996478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304.99999999999994</v>
      </c>
      <c r="O73" s="13">
        <f>N73*VLOOKUP('Données projet'!$B$9,Paramètres!$A$1:$I$89,3,0)*VLOOKUP('Données projet'!$B$9,Paramètres!$A$1:$I$89,5,0)</f>
        <v>275.96399999999994</v>
      </c>
      <c r="P73" s="13">
        <f t="shared" si="87"/>
        <v>66.113366665488911</v>
      </c>
      <c r="Q73" s="20">
        <f t="shared" si="54"/>
        <v>595.7847469423931</v>
      </c>
      <c r="R73" s="59">
        <f t="shared" si="55"/>
        <v>889.11808027572647</v>
      </c>
      <c r="S73" s="59">
        <f ca="1">AVERAGE(OFFSET($R$3,0,0,'Données projet'!$E$9+1,1))-AVERAGE(OFFSET($H$3,0,0,'Données projet'!$E$9+1,1))</f>
        <v>295.41366969872354</v>
      </c>
      <c r="T73" s="59">
        <f t="shared" si="88"/>
        <v>415.02188573182912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3.7901283377157098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3.7901283377157098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270</v>
      </c>
      <c r="AG73" s="12">
        <f>VLOOKUP(A73,'Données projet'!$A$61:$I$81,9,0)</f>
        <v>5.4</v>
      </c>
      <c r="AH73" s="12">
        <f t="array" ref="AH73">INDEX(AG:AG,MIN(IF(ISNUMBER(AG73:AG269),ROW(AG73:AG269),"")))</f>
        <v>5.4</v>
      </c>
      <c r="AI73" s="13">
        <f>IF('Données projet'!$A$62&gt;35,AI72+AH73-AQ72,IF(A73&lt;'Données projet'!$A$62,$AF$205^A73,IF(A73='Données projet'!$A$62,'Données projet'!$B$62,AI72+AH73-AQ72)))</f>
        <v>270.00000000000006</v>
      </c>
      <c r="AJ73" s="13">
        <f>AI73*VLOOKUP('Données projet'!$B$10,Paramètres!$A$1:$I$89,3,0)*VLOOKUP('Données projet'!$B$10,Paramètres!$A$1:$I$89,5,0)</f>
        <v>176.90400000000002</v>
      </c>
      <c r="AK73" s="13">
        <f t="shared" si="89"/>
        <v>44.632689233663157</v>
      </c>
      <c r="AL73" s="20">
        <f t="shared" si="58"/>
        <v>385.8430670819634</v>
      </c>
      <c r="AM73" s="59">
        <f t="shared" si="59"/>
        <v>679.17640041529671</v>
      </c>
      <c r="AN73" s="59">
        <f ca="1">AVERAGE(OFFSET($AM$3,0,0,'Données projet'!$E$10+1,1))-AVERAGE(OFFSET($H$3,0,0,'Données projet'!$E$10+1,1))</f>
        <v>173.80737004674131</v>
      </c>
      <c r="AO73" s="59">
        <f t="shared" si="90"/>
        <v>206.06552061664968</v>
      </c>
      <c r="AP73" s="15">
        <f>IF(ISNA(VLOOKUP(A73,'Données projet'!$A$61:$I$81,3,0)),0,VLOOKUP(A73,'Données projet'!$A$61:$I$81,3,0))</f>
        <v>13</v>
      </c>
      <c r="AQ73" s="15">
        <f>IF(ISNA(VLOOKUP(A73,'Données projet'!$A$61:$I$81,4,0)),0,VLOOKUP(A73,'Données projet'!$A$61:$I$81,4,0))</f>
        <v>21</v>
      </c>
      <c r="AR73" s="16">
        <f>IF(ISNA(VLOOKUP(A73,'Données projet'!$A$61:$I$81,5,0)),0%,VLOOKUP(A73,'Données projet'!$A$61:$I$81,5,0)*VLOOKUP('Données projet'!$B$10,Paramètres!$A$1:$I$89,7,0))</f>
        <v>0.43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44.812162771874299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44.812162771874299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237</v>
      </c>
      <c r="BB73" s="12">
        <f>VLOOKUP(A73,'Données projet'!$A$87:$I$107,9,0)</f>
        <v>5</v>
      </c>
      <c r="BC73" s="12">
        <f t="array" ref="BC73">INDEX(BB:BB,MIN(IF(ISNUMBER(BB73:BB269),ROW(BB73:BB269),"")))</f>
        <v>5</v>
      </c>
      <c r="BD73" s="12">
        <f>IF('Données projet'!$A$88&gt;35,BD72+BC73-BL72,IF(A73&lt;'Données projet'!$A$88,$BA$205^A73,IF(A73='Données projet'!$A$88,'Données projet'!$B$88,BD72+BC73-BL72)))</f>
        <v>237</v>
      </c>
      <c r="BE73" s="13">
        <f>BD73*VLOOKUP('Données projet'!$B$11,Paramètres!$A$1:$I$89,3,0)*VLOOKUP('Données projet'!$B$11,Paramètres!$A$1:$I$89,5,0)</f>
        <v>151.58519999999999</v>
      </c>
      <c r="BF73" s="13">
        <f t="shared" si="91"/>
        <v>38.938607305837699</v>
      </c>
      <c r="BG73" s="20">
        <f t="shared" si="61"/>
        <v>331.82896439100062</v>
      </c>
      <c r="BH73" s="59">
        <f t="shared" si="62"/>
        <v>625.16229772433394</v>
      </c>
      <c r="BI73" s="59">
        <f ca="1">AVERAGE(OFFSET($BH$3,0,0,'Données projet'!$E$11+1,1))-AVERAGE(OFFSET($H$3,0,0,'Données projet'!$E$11+1,1))</f>
        <v>136.80149066064263</v>
      </c>
      <c r="BJ73" s="59">
        <f t="shared" si="92"/>
        <v>148.87330541103535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18</v>
      </c>
      <c r="BM73" s="16">
        <f>IF(ISNA(VLOOKUP(A73,'Données projet'!$A$87:$I$107,5,0)),0%,VLOOKUP(A73,'Données projet'!$A$87:$I$107,5,0)*VLOOKUP('Données projet'!$B$11,Paramètres!$A$1:$I$89,7,0))</f>
        <v>0.43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39.77804546876154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39.77804546876154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64.240800000000078</v>
      </c>
      <c r="D74" s="11">
        <f t="shared" si="86"/>
        <v>18.236177554745872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636.66438814189871</v>
      </c>
      <c r="H74" s="66">
        <f t="shared" si="56"/>
        <v>436.98073590784918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304.99999999999994</v>
      </c>
      <c r="O74" s="13">
        <f>N74*VLOOKUP('Données projet'!$B$9,Paramètres!$A$1:$I$89,3,0)*VLOOKUP('Données projet'!$B$9,Paramètres!$A$1:$I$89,5,0)</f>
        <v>275.96399999999994</v>
      </c>
      <c r="P74" s="13">
        <f t="shared" si="87"/>
        <v>66.113366665488911</v>
      </c>
      <c r="Q74" s="20">
        <f t="shared" si="54"/>
        <v>595.7847469423931</v>
      </c>
      <c r="R74" s="59">
        <f t="shared" si="55"/>
        <v>889.11808027572647</v>
      </c>
      <c r="S74" s="59">
        <f ca="1">AVERAGE(OFFSET($R$3,0,0,'Données projet'!$E$9+1,1))-AVERAGE(OFFSET($H$3,0,0,'Données projet'!$E$9+1,1))</f>
        <v>295.41366969872354</v>
      </c>
      <c r="T74" s="59">
        <f t="shared" si="88"/>
        <v>415.02188573182912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3.7158062327631245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3.7158062327631245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4.8</v>
      </c>
      <c r="AI74" s="13">
        <f>IF('Données projet'!$A$62&gt;35,AI73+AH74-AQ73,IF(A74&lt;'Données projet'!$A$62,$AF$205^A74,IF(A74='Données projet'!$A$62,'Données projet'!$B$62,AI73+AH74-AQ73)))</f>
        <v>253.80000000000007</v>
      </c>
      <c r="AJ74" s="13">
        <f>AI74*VLOOKUP('Données projet'!$B$10,Paramètres!$A$1:$I$89,3,0)*VLOOKUP('Données projet'!$B$10,Paramètres!$A$1:$I$89,5,0)</f>
        <v>166.28976000000003</v>
      </c>
      <c r="AK74" s="13">
        <f t="shared" si="89"/>
        <v>42.257989067732332</v>
      </c>
      <c r="AL74" s="20">
        <f t="shared" si="58"/>
        <v>363.2206629596339</v>
      </c>
      <c r="AM74" s="59">
        <f t="shared" si="59"/>
        <v>656.55399629296721</v>
      </c>
      <c r="AN74" s="59">
        <f ca="1">AVERAGE(OFFSET($AM$3,0,0,'Données projet'!$E$10+1,1))-AVERAGE(OFFSET($H$3,0,0,'Données projet'!$E$10+1,1))</f>
        <v>173.80737004674131</v>
      </c>
      <c r="AO74" s="59">
        <f t="shared" si="90"/>
        <v>206.06552061664968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43.933423592638249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43.933423592638249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4.4000000000000004</v>
      </c>
      <c r="BD74" s="12">
        <f>IF('Données projet'!$A$88&gt;35,BD73+BC74-BL73,IF(A74&lt;'Données projet'!$A$88,$BA$205^A74,IF(A74='Données projet'!$A$88,'Données projet'!$B$88,BD73+BC74-BL73)))</f>
        <v>223.4</v>
      </c>
      <c r="BE74" s="13">
        <f>BD74*VLOOKUP('Données projet'!$B$11,Paramètres!$A$1:$I$89,3,0)*VLOOKUP('Données projet'!$B$11,Paramètres!$A$1:$I$89,5,0)</f>
        <v>142.88664</v>
      </c>
      <c r="BF74" s="13">
        <f t="shared" si="91"/>
        <v>36.957506648844401</v>
      </c>
      <c r="BG74" s="20">
        <f t="shared" si="61"/>
        <v>313.22855541340397</v>
      </c>
      <c r="BH74" s="59">
        <f t="shared" si="62"/>
        <v>606.56188874673728</v>
      </c>
      <c r="BI74" s="59">
        <f ca="1">AVERAGE(OFFSET($BH$3,0,0,'Données projet'!$E$11+1,1))-AVERAGE(OFFSET($H$3,0,0,'Données projet'!$E$11+1,1))</f>
        <v>136.80149066064263</v>
      </c>
      <c r="BJ74" s="59">
        <f t="shared" si="92"/>
        <v>148.87330541103535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38.998022259331165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38.998022259331165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65.145600000000073</v>
      </c>
      <c r="D75" s="11">
        <f t="shared" si="86"/>
        <v>18.462943001028222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645.3992793061833</v>
      </c>
      <c r="H75" s="66">
        <f t="shared" si="56"/>
        <v>438.95154572679093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304.99999999999994</v>
      </c>
      <c r="O75" s="13">
        <f>N75*VLOOKUP('Données projet'!$B$9,Paramètres!$A$1:$I$89,3,0)*VLOOKUP('Données projet'!$B$9,Paramètres!$A$1:$I$89,5,0)</f>
        <v>275.96399999999994</v>
      </c>
      <c r="P75" s="13">
        <f t="shared" si="87"/>
        <v>66.113366665488911</v>
      </c>
      <c r="Q75" s="20">
        <f t="shared" si="54"/>
        <v>595.7847469423931</v>
      </c>
      <c r="R75" s="59">
        <f t="shared" si="55"/>
        <v>889.11808027572647</v>
      </c>
      <c r="S75" s="59">
        <f ca="1">AVERAGE(OFFSET($R$3,0,0,'Données projet'!$E$9+1,1))-AVERAGE(OFFSET($H$3,0,0,'Données projet'!$E$9+1,1))</f>
        <v>295.41366969872354</v>
      </c>
      <c r="T75" s="59">
        <f t="shared" si="88"/>
        <v>415.02188573182912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3.6429415389566513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3.6429415389566513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4.8</v>
      </c>
      <c r="AI75" s="13">
        <f>IF('Données projet'!$A$62&gt;35,AI74+AH75-AQ74,IF(A75&lt;'Données projet'!$A$62,$AF$205^A75,IF(A75='Données projet'!$A$62,'Données projet'!$B$62,AI74+AH75-AQ74)))</f>
        <v>258.60000000000008</v>
      </c>
      <c r="AJ75" s="13">
        <f>AI75*VLOOKUP('Données projet'!$B$10,Paramètres!$A$1:$I$89,3,0)*VLOOKUP('Données projet'!$B$10,Paramètres!$A$1:$I$89,5,0)</f>
        <v>169.43472000000006</v>
      </c>
      <c r="AK75" s="13">
        <f t="shared" si="89"/>
        <v>42.963395138288874</v>
      </c>
      <c r="AL75" s="20">
        <f t="shared" si="58"/>
        <v>369.9267171991865</v>
      </c>
      <c r="AM75" s="59">
        <f t="shared" si="59"/>
        <v>663.26005053251981</v>
      </c>
      <c r="AN75" s="59">
        <f ca="1">AVERAGE(OFFSET($AM$3,0,0,'Données projet'!$E$10+1,1))-AVERAGE(OFFSET($H$3,0,0,'Données projet'!$E$10+1,1))</f>
        <v>173.80737004674131</v>
      </c>
      <c r="AO75" s="59">
        <f t="shared" si="90"/>
        <v>206.06552061664968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43.071915952729043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43.071915952729043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4.4000000000000004</v>
      </c>
      <c r="BD75" s="12">
        <f>IF('Données projet'!$A$88&gt;35,BD74+BC75-BL74,IF(A75&lt;'Données projet'!$A$88,$BA$205^A75,IF(A75='Données projet'!$A$88,'Données projet'!$B$88,BD74+BC75-BL74)))</f>
        <v>227.8</v>
      </c>
      <c r="BE75" s="13">
        <f>BD75*VLOOKUP('Données projet'!$B$11,Paramètres!$A$1:$I$89,3,0)*VLOOKUP('Données projet'!$B$11,Paramètres!$A$1:$I$89,5,0)</f>
        <v>145.70088000000001</v>
      </c>
      <c r="BF75" s="13">
        <f t="shared" si="91"/>
        <v>37.599947846834802</v>
      </c>
      <c r="BG75" s="20">
        <f t="shared" si="61"/>
        <v>319.24894183323727</v>
      </c>
      <c r="BH75" s="59">
        <f t="shared" si="62"/>
        <v>612.58227516657053</v>
      </c>
      <c r="BI75" s="59">
        <f ca="1">AVERAGE(OFFSET($BH$3,0,0,'Données projet'!$E$11+1,1))-AVERAGE(OFFSET($H$3,0,0,'Données projet'!$E$11+1,1))</f>
        <v>136.80149066064263</v>
      </c>
      <c r="BJ75" s="59">
        <f t="shared" si="92"/>
        <v>148.87330541103535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38.233294829270541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38.233294829270541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66.050400000000067</v>
      </c>
      <c r="D76" s="11">
        <f t="shared" si="86"/>
        <v>18.689342126897927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654.13134273394951</v>
      </c>
      <c r="H76" s="66">
        <f t="shared" si="56"/>
        <v>440.92171753768065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304.99999999999994</v>
      </c>
      <c r="O76" s="13">
        <f>N76*VLOOKUP('Données projet'!$B$9,Paramètres!$A$1:$I$89,3,0)*VLOOKUP('Données projet'!$B$9,Paramètres!$A$1:$I$89,5,0)</f>
        <v>275.96399999999994</v>
      </c>
      <c r="P76" s="13">
        <f t="shared" si="87"/>
        <v>66.113366665488911</v>
      </c>
      <c r="Q76" s="20">
        <f t="shared" si="54"/>
        <v>595.7847469423931</v>
      </c>
      <c r="R76" s="59">
        <f t="shared" si="55"/>
        <v>889.11808027572647</v>
      </c>
      <c r="S76" s="59">
        <f ca="1">AVERAGE(OFFSET($R$3,0,0,'Données projet'!$E$9+1,1))-AVERAGE(OFFSET($H$3,0,0,'Données projet'!$E$9+1,1))</f>
        <v>295.41366969872354</v>
      </c>
      <c r="T76" s="59">
        <f t="shared" si="88"/>
        <v>415.02188573182912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3.5715056773526483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3.5715056773526483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4.8</v>
      </c>
      <c r="AI76" s="13">
        <f>IF('Données projet'!$A$62&gt;35,AI75+AH76-AQ75,IF(A76&lt;'Données projet'!$A$62,$AF$205^A76,IF(A76='Données projet'!$A$62,'Données projet'!$B$62,AI75+AH76-AQ75)))</f>
        <v>263.40000000000009</v>
      </c>
      <c r="AJ76" s="13">
        <f>AI76*VLOOKUP('Données projet'!$B$10,Paramètres!$A$1:$I$89,3,0)*VLOOKUP('Données projet'!$B$10,Paramètres!$A$1:$I$89,5,0)</f>
        <v>172.57968000000005</v>
      </c>
      <c r="AK76" s="13">
        <f t="shared" si="89"/>
        <v>43.667278691745118</v>
      </c>
      <c r="AL76" s="20">
        <f t="shared" si="58"/>
        <v>376.63011972145614</v>
      </c>
      <c r="AM76" s="59">
        <f t="shared" si="59"/>
        <v>669.9634530547894</v>
      </c>
      <c r="AN76" s="59">
        <f ca="1">AVERAGE(OFFSET($AM$3,0,0,'Données projet'!$E$10+1,1))-AVERAGE(OFFSET($H$3,0,0,'Données projet'!$E$10+1,1))</f>
        <v>173.80737004674131</v>
      </c>
      <c r="AO76" s="59">
        <f t="shared" si="90"/>
        <v>206.06552061664968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42.227301952170684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42.227301952170684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4.4000000000000004</v>
      </c>
      <c r="BD76" s="12">
        <f>IF('Données projet'!$A$88&gt;35,BD75+BC76-BL75,IF(A76&lt;'Données projet'!$A$88,$BA$205^A76,IF(A76='Données projet'!$A$88,'Données projet'!$B$88,BD75+BC76-BL75)))</f>
        <v>232.20000000000002</v>
      </c>
      <c r="BE76" s="13">
        <f>BD76*VLOOKUP('Données projet'!$B$11,Paramètres!$A$1:$I$89,3,0)*VLOOKUP('Données projet'!$B$11,Paramètres!$A$1:$I$89,5,0)</f>
        <v>148.51512</v>
      </c>
      <c r="BF76" s="13">
        <f t="shared" si="91"/>
        <v>38.240946179656547</v>
      </c>
      <c r="BG76" s="20">
        <f t="shared" si="61"/>
        <v>325.26681526290184</v>
      </c>
      <c r="BH76" s="59">
        <f t="shared" si="62"/>
        <v>618.60014859623516</v>
      </c>
      <c r="BI76" s="59">
        <f ca="1">AVERAGE(OFFSET($BH$3,0,0,'Données projet'!$E$11+1,1))-AVERAGE(OFFSET($H$3,0,0,'Données projet'!$E$11+1,1))</f>
        <v>136.80149066064263</v>
      </c>
      <c r="BJ76" s="59">
        <f t="shared" si="92"/>
        <v>148.87330541103535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37.483563237675732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37.483563237675732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66.955200000000062</v>
      </c>
      <c r="D77" s="11">
        <f t="shared" si="86"/>
        <v>18.915380530436515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662.8606216384577</v>
      </c>
      <c r="H77" s="66">
        <f t="shared" si="56"/>
        <v>442.89126109051028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304.99999999999994</v>
      </c>
      <c r="O77" s="13">
        <f>N77*VLOOKUP('Données projet'!$B$9,Paramètres!$A$1:$I$89,3,0)*VLOOKUP('Données projet'!$B$9,Paramètres!$A$1:$I$89,5,0)</f>
        <v>275.96399999999994</v>
      </c>
      <c r="P77" s="13">
        <f t="shared" si="87"/>
        <v>66.113366665488911</v>
      </c>
      <c r="Q77" s="20">
        <f t="shared" si="54"/>
        <v>595.7847469423931</v>
      </c>
      <c r="R77" s="59">
        <f t="shared" si="55"/>
        <v>889.11808027572647</v>
      </c>
      <c r="S77" s="59">
        <f ca="1">AVERAGE(OFFSET($R$3,0,0,'Données projet'!$E$9+1,1))-AVERAGE(OFFSET($H$3,0,0,'Données projet'!$E$9+1,1))</f>
        <v>295.41366969872354</v>
      </c>
      <c r="T77" s="59">
        <f t="shared" si="88"/>
        <v>415.02188573182912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3.5014706294231268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3.5014706294231268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4.8</v>
      </c>
      <c r="AI77" s="13">
        <f>IF('Données projet'!$A$62&gt;35,AI76+AH77-AQ76,IF(A77&lt;'Données projet'!$A$62,$AF$205^A77,IF(A77='Données projet'!$A$62,'Données projet'!$B$62,AI76+AH77-AQ76)))</f>
        <v>268.2000000000001</v>
      </c>
      <c r="AJ77" s="13">
        <f>AI77*VLOOKUP('Données projet'!$B$10,Paramètres!$A$1:$I$89,3,0)*VLOOKUP('Données projet'!$B$10,Paramètres!$A$1:$I$89,5,0)</f>
        <v>175.72464000000005</v>
      </c>
      <c r="AK77" s="13">
        <f t="shared" si="89"/>
        <v>44.369670673452703</v>
      </c>
      <c r="AL77" s="20">
        <f t="shared" si="58"/>
        <v>383.3309244229302</v>
      </c>
      <c r="AM77" s="59">
        <f t="shared" si="59"/>
        <v>676.66425775626351</v>
      </c>
      <c r="AN77" s="59">
        <f ca="1">AVERAGE(OFFSET($AM$3,0,0,'Données projet'!$E$10+1,1))-AVERAGE(OFFSET($H$3,0,0,'Données projet'!$E$10+1,1))</f>
        <v>173.80737004674131</v>
      </c>
      <c r="AO77" s="59">
        <f t="shared" si="90"/>
        <v>206.06552061664968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41.399250316999606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41.399250316999606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4.4000000000000004</v>
      </c>
      <c r="BD77" s="12">
        <f>IF('Données projet'!$A$88&gt;35,BD76+BC77-BL76,IF(A77&lt;'Données projet'!$A$88,$BA$205^A77,IF(A77='Données projet'!$A$88,'Données projet'!$B$88,BD76+BC77-BL76)))</f>
        <v>236.60000000000002</v>
      </c>
      <c r="BE77" s="13">
        <f>BD77*VLOOKUP('Données projet'!$B$11,Paramètres!$A$1:$I$89,3,0)*VLOOKUP('Données projet'!$B$11,Paramètres!$A$1:$I$89,5,0)</f>
        <v>151.32936000000001</v>
      </c>
      <c r="BF77" s="13">
        <f t="shared" si="91"/>
        <v>38.880532140972903</v>
      </c>
      <c r="BG77" s="20">
        <f t="shared" si="61"/>
        <v>331.28222881219443</v>
      </c>
      <c r="BH77" s="59">
        <f t="shared" si="62"/>
        <v>624.61556214552775</v>
      </c>
      <c r="BI77" s="59">
        <f ca="1">AVERAGE(OFFSET($BH$3,0,0,'Données projet'!$E$11+1,1))-AVERAGE(OFFSET($H$3,0,0,'Données projet'!$E$11+1,1))</f>
        <v>136.80149066064263</v>
      </c>
      <c r="BJ77" s="59">
        <f t="shared" si="92"/>
        <v>148.87330541103535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36.748533425300977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36.748533425300977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67.860000000000056</v>
      </c>
      <c r="D78" s="11">
        <f t="shared" si="86"/>
        <v>19.141063649731766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671.58715799792992</v>
      </c>
      <c r="H78" s="66">
        <f t="shared" si="56"/>
        <v>444.86018585661623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304.99999999999994</v>
      </c>
      <c r="O78" s="13">
        <f>N78*VLOOKUP('Données projet'!$B$9,Paramètres!$A$1:$I$89,3,0)*VLOOKUP('Données projet'!$B$9,Paramètres!$A$1:$I$89,5,0)</f>
        <v>275.96399999999994</v>
      </c>
      <c r="P78" s="13">
        <f t="shared" si="87"/>
        <v>66.113366665488911</v>
      </c>
      <c r="Q78" s="20">
        <f t="shared" si="54"/>
        <v>595.7847469423931</v>
      </c>
      <c r="R78" s="59">
        <f t="shared" si="55"/>
        <v>889.11808027572647</v>
      </c>
      <c r="S78" s="59">
        <f ca="1">AVERAGE(OFFSET($R$3,0,0,'Données projet'!$E$9+1,1))-AVERAGE(OFFSET($H$3,0,0,'Données projet'!$E$9+1,1))</f>
        <v>295.41366969872354</v>
      </c>
      <c r="T78" s="59">
        <f t="shared" si="88"/>
        <v>415.02188573182912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3.4328089260663419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3.4328089260663419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273</v>
      </c>
      <c r="AG78" s="12">
        <f>VLOOKUP(A78,'Données projet'!$A$61:$I$81,9,0)</f>
        <v>4.8</v>
      </c>
      <c r="AH78" s="12">
        <f t="array" ref="AH78">INDEX(AG:AG,MIN(IF(ISNUMBER(AG78:AG274),ROW(AG78:AG274),"")))</f>
        <v>4.8</v>
      </c>
      <c r="AI78" s="13">
        <f>IF('Données projet'!$A$62&gt;35,AI77+AH78-AQ77,IF(A78&lt;'Données projet'!$A$62,$AF$205^A78,IF(A78='Données projet'!$A$62,'Données projet'!$B$62,AI77+AH78-AQ77)))</f>
        <v>273.00000000000011</v>
      </c>
      <c r="AJ78" s="13">
        <f>AI78*VLOOKUP('Données projet'!$B$10,Paramètres!$A$1:$I$89,3,0)*VLOOKUP('Données projet'!$B$10,Paramètres!$A$1:$I$89,5,0)</f>
        <v>178.86960000000008</v>
      </c>
      <c r="AK78" s="13">
        <f t="shared" si="89"/>
        <v>45.07060085766652</v>
      </c>
      <c r="AL78" s="20">
        <f t="shared" si="58"/>
        <v>390.02918316043593</v>
      </c>
      <c r="AM78" s="59">
        <f t="shared" si="59"/>
        <v>683.36251649376925</v>
      </c>
      <c r="AN78" s="59">
        <f ca="1">AVERAGE(OFFSET($AM$3,0,0,'Données projet'!$E$10+1,1))-AVERAGE(OFFSET($H$3,0,0,'Données projet'!$E$10+1,1))</f>
        <v>173.80737004674131</v>
      </c>
      <c r="AO78" s="59">
        <f t="shared" si="90"/>
        <v>206.06552061664968</v>
      </c>
      <c r="AP78" s="15">
        <f>IF(ISNA(VLOOKUP(A78,'Données projet'!$A$61:$I$81,3,0)),0,VLOOKUP(A78,'Données projet'!$A$61:$I$81,3,0))</f>
        <v>14</v>
      </c>
      <c r="AQ78" s="15">
        <f>IF(ISNA(VLOOKUP(A78,'Données projet'!$A$61:$I$81,4,0)),0,VLOOKUP(A78,'Données projet'!$A$61:$I$81,4,0))</f>
        <v>19</v>
      </c>
      <c r="AR78" s="16">
        <f>IF(ISNA(VLOOKUP(A78,'Données projet'!$A$61:$I$81,5,0)),0%,VLOOKUP(A78,'Données projet'!$A$61:$I$81,5,0)*VLOOKUP('Données projet'!$B$10,Paramètres!$A$1:$I$89,7,0))</f>
        <v>0.43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46.50500152344641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46.50500152344641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241</v>
      </c>
      <c r="BB78" s="12">
        <f>VLOOKUP(A78,'Données projet'!$A$87:$I$107,9,0)</f>
        <v>4.4000000000000004</v>
      </c>
      <c r="BC78" s="12">
        <f t="array" ref="BC78">INDEX(BB:BB,MIN(IF(ISNUMBER(BB78:BB274),ROW(BB78:BB274),"")))</f>
        <v>4.4000000000000004</v>
      </c>
      <c r="BD78" s="12">
        <f>IF('Données projet'!$A$88&gt;35,BD77+BC78-BL77,IF(A78&lt;'Données projet'!$A$88,$BA$205^A78,IF(A78='Données projet'!$A$88,'Données projet'!$B$88,BD77+BC78-BL77)))</f>
        <v>241.00000000000003</v>
      </c>
      <c r="BE78" s="13">
        <f>BD78*VLOOKUP('Données projet'!$B$11,Paramètres!$A$1:$I$89,3,0)*VLOOKUP('Données projet'!$B$11,Paramètres!$A$1:$I$89,5,0)</f>
        <v>154.14360000000002</v>
      </c>
      <c r="BF78" s="13">
        <f t="shared" si="91"/>
        <v>39.518735025361231</v>
      </c>
      <c r="BG78" s="20">
        <f t="shared" si="61"/>
        <v>337.29523350250412</v>
      </c>
      <c r="BH78" s="59">
        <f t="shared" si="62"/>
        <v>630.62856683583743</v>
      </c>
      <c r="BI78" s="59">
        <f ca="1">AVERAGE(OFFSET($BH$3,0,0,'Données projet'!$E$11+1,1))-AVERAGE(OFFSET($H$3,0,0,'Données projet'!$E$11+1,1))</f>
        <v>136.80149066064263</v>
      </c>
      <c r="BJ78" s="59">
        <f t="shared" si="92"/>
        <v>148.87330541103535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16</v>
      </c>
      <c r="BM78" s="16">
        <f>IF(ISNA(VLOOKUP(A78,'Données projet'!$A$87:$I$107,5,0)),0%,VLOOKUP(A78,'Données projet'!$A$87:$I$107,5,0)*VLOOKUP('Données projet'!$B$11,Paramètres!$A$1:$I$89,7,0))</f>
        <v>0.43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40.892482019897983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40.892482019897983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68.764800000000051</v>
      </c>
      <c r="D79" s="11">
        <f t="shared" si="86"/>
        <v>19.366396769521387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680.3109926068322</v>
      </c>
      <c r="H79" s="66">
        <f t="shared" si="56"/>
        <v>446.82850104024982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304.99999999999994</v>
      </c>
      <c r="O79" s="13">
        <f>N79*VLOOKUP('Données projet'!$B$9,Paramètres!$A$1:$I$89,3,0)*VLOOKUP('Données projet'!$B$9,Paramètres!$A$1:$I$89,5,0)</f>
        <v>275.96399999999994</v>
      </c>
      <c r="P79" s="13">
        <f t="shared" si="87"/>
        <v>66.113366665488911</v>
      </c>
      <c r="Q79" s="20">
        <f t="shared" si="54"/>
        <v>595.7847469423931</v>
      </c>
      <c r="R79" s="59">
        <f t="shared" si="55"/>
        <v>889.11808027572647</v>
      </c>
      <c r="S79" s="59">
        <f ca="1">AVERAGE(OFFSET($R$3,0,0,'Données projet'!$E$9+1,1))-AVERAGE(OFFSET($H$3,0,0,'Données projet'!$E$9+1,1))</f>
        <v>295.41366969872354</v>
      </c>
      <c r="T79" s="59">
        <f t="shared" si="88"/>
        <v>415.02188573182912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3.3654936368328796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3.3654936368328796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4.5999999999999996</v>
      </c>
      <c r="AI79" s="13">
        <f>IF('Données projet'!$A$62&gt;35,AI78+AH79-AQ78,IF(A79&lt;'Données projet'!$A$62,$AF$205^A79,IF(A79='Données projet'!$A$62,'Données projet'!$B$62,AI78+AH79-AQ78)))</f>
        <v>258.60000000000014</v>
      </c>
      <c r="AJ79" s="13">
        <f>AI79*VLOOKUP('Données projet'!$B$10,Paramètres!$A$1:$I$89,3,0)*VLOOKUP('Données projet'!$B$10,Paramètres!$A$1:$I$89,5,0)</f>
        <v>169.43472000000008</v>
      </c>
      <c r="AK79" s="13">
        <f t="shared" si="89"/>
        <v>42.963395138288874</v>
      </c>
      <c r="AL79" s="20">
        <f t="shared" si="58"/>
        <v>369.92671719918661</v>
      </c>
      <c r="AM79" s="59">
        <f t="shared" si="59"/>
        <v>663.26005053251993</v>
      </c>
      <c r="AN79" s="59">
        <f ca="1">AVERAGE(OFFSET($AM$3,0,0,'Données projet'!$E$10+1,1))-AVERAGE(OFFSET($H$3,0,0,'Données projet'!$E$10+1,1))</f>
        <v>173.80737004674131</v>
      </c>
      <c r="AO79" s="59">
        <f t="shared" si="90"/>
        <v>206.06552061664968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45.593066808821717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45.593066808821717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</v>
      </c>
      <c r="BD79" s="12">
        <f>IF('Données projet'!$A$88&gt;35,BD78+BC79-BL78,IF(A79&lt;'Données projet'!$A$88,$BA$205^A79,IF(A79='Données projet'!$A$88,'Données projet'!$B$88,BD78+BC79-BL78)))</f>
        <v>229.00000000000003</v>
      </c>
      <c r="BE79" s="13">
        <f>BD79*VLOOKUP('Données projet'!$B$11,Paramètres!$A$1:$I$89,3,0)*VLOOKUP('Données projet'!$B$11,Paramètres!$A$1:$I$89,5,0)</f>
        <v>146.4684</v>
      </c>
      <c r="BF79" s="13">
        <f t="shared" si="91"/>
        <v>37.774907362561549</v>
      </c>
      <c r="BG79" s="20">
        <f t="shared" si="61"/>
        <v>320.89042698979466</v>
      </c>
      <c r="BH79" s="59">
        <f t="shared" si="62"/>
        <v>614.22376032312798</v>
      </c>
      <c r="BI79" s="59">
        <f ca="1">AVERAGE(OFFSET($BH$3,0,0,'Données projet'!$E$11+1,1))-AVERAGE(OFFSET($H$3,0,0,'Données projet'!$E$11+1,1))</f>
        <v>136.80149066064263</v>
      </c>
      <c r="BJ79" s="59">
        <f t="shared" si="92"/>
        <v>148.87330541103535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40.090605389439006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40.090605389439006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69.669600000000045</v>
      </c>
      <c r="D80" s="11">
        <f t="shared" si="86"/>
        <v>19.591385027476974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689.03216512438405</v>
      </c>
      <c r="H80" s="66">
        <f t="shared" si="56"/>
        <v>448.79621558952243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304.99999999999994</v>
      </c>
      <c r="O80" s="13">
        <f>N80*VLOOKUP('Données projet'!$B$9,Paramètres!$A$1:$I$89,3,0)*VLOOKUP('Données projet'!$B$9,Paramètres!$A$1:$I$89,5,0)</f>
        <v>275.96399999999994</v>
      </c>
      <c r="P80" s="13">
        <f t="shared" si="87"/>
        <v>66.113366665488911</v>
      </c>
      <c r="Q80" s="20">
        <f t="shared" si="54"/>
        <v>595.7847469423931</v>
      </c>
      <c r="R80" s="59">
        <f t="shared" si="55"/>
        <v>889.11808027572647</v>
      </c>
      <c r="S80" s="59">
        <f ca="1">AVERAGE(OFFSET($R$3,0,0,'Données projet'!$E$9+1,1))-AVERAGE(OFFSET($H$3,0,0,'Données projet'!$E$9+1,1))</f>
        <v>295.41366969872354</v>
      </c>
      <c r="T80" s="59">
        <f t="shared" si="88"/>
        <v>415.02188573182912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3.2994983593630134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3.2994983593630134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4.5999999999999996</v>
      </c>
      <c r="AI80" s="13">
        <f>IF('Données projet'!$A$62&gt;35,AI79+AH80-AQ79,IF(A80&lt;'Données projet'!$A$62,$AF$205^A80,IF(A80='Données projet'!$A$62,'Données projet'!$B$62,AI79+AH80-AQ79)))</f>
        <v>263.20000000000016</v>
      </c>
      <c r="AJ80" s="13">
        <f>AI80*VLOOKUP('Données projet'!$B$10,Paramètres!$A$1:$I$89,3,0)*VLOOKUP('Données projet'!$B$10,Paramètres!$A$1:$I$89,5,0)</f>
        <v>172.44864000000013</v>
      </c>
      <c r="AK80" s="13">
        <f t="shared" si="89"/>
        <v>43.637980200453718</v>
      </c>
      <c r="AL80" s="20">
        <f t="shared" si="58"/>
        <v>376.35086351579042</v>
      </c>
      <c r="AM80" s="59">
        <f t="shared" si="59"/>
        <v>669.68419684912374</v>
      </c>
      <c r="AN80" s="59">
        <f ca="1">AVERAGE(OFFSET($AM$3,0,0,'Données projet'!$E$10+1,1))-AVERAGE(OFFSET($H$3,0,0,'Données projet'!$E$10+1,1))</f>
        <v>173.80737004674131</v>
      </c>
      <c r="AO80" s="59">
        <f t="shared" si="90"/>
        <v>206.06552061664968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44.699014577725563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44.699014577725563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</v>
      </c>
      <c r="BD80" s="12">
        <f>IF('Données projet'!$A$88&gt;35,BD79+BC80-BL79,IF(A80&lt;'Données projet'!$A$88,$BA$205^A80,IF(A80='Données projet'!$A$88,'Données projet'!$B$88,BD79+BC80-BL79)))</f>
        <v>233.00000000000003</v>
      </c>
      <c r="BE80" s="13">
        <f>BD80*VLOOKUP('Données projet'!$B$11,Paramètres!$A$1:$I$89,3,0)*VLOOKUP('Données projet'!$B$11,Paramètres!$A$1:$I$89,5,0)</f>
        <v>149.02680000000001</v>
      </c>
      <c r="BF80" s="13">
        <f t="shared" si="91"/>
        <v>38.357338714757276</v>
      </c>
      <c r="BG80" s="20">
        <f t="shared" si="61"/>
        <v>326.36070826153559</v>
      </c>
      <c r="BH80" s="59">
        <f t="shared" si="62"/>
        <v>619.69404159486885</v>
      </c>
      <c r="BI80" s="59">
        <f ca="1">AVERAGE(OFFSET($BH$3,0,0,'Données projet'!$E$11+1,1))-AVERAGE(OFFSET($H$3,0,0,'Données projet'!$E$11+1,1))</f>
        <v>136.80149066064263</v>
      </c>
      <c r="BJ80" s="59">
        <f t="shared" si="92"/>
        <v>148.87330541103535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39.304453070606876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39.304453070606876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70.57440000000004</v>
      </c>
      <c r="D81" s="11">
        <f t="shared" si="86"/>
        <v>19.816033420152444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697.75071412047521</v>
      </c>
      <c r="H81" s="66">
        <f t="shared" si="56"/>
        <v>450.76333820676552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304.99999999999994</v>
      </c>
      <c r="O81" s="13">
        <f>N81*VLOOKUP('Données projet'!$B$9,Paramètres!$A$1:$I$89,3,0)*VLOOKUP('Données projet'!$B$9,Paramètres!$A$1:$I$89,5,0)</f>
        <v>275.96399999999994</v>
      </c>
      <c r="P81" s="13">
        <f t="shared" si="87"/>
        <v>66.113366665488911</v>
      </c>
      <c r="Q81" s="20">
        <f t="shared" si="54"/>
        <v>595.7847469423931</v>
      </c>
      <c r="R81" s="59">
        <f t="shared" si="55"/>
        <v>889.11808027572647</v>
      </c>
      <c r="S81" s="59">
        <f ca="1">AVERAGE(OFFSET($R$3,0,0,'Données projet'!$E$9+1,1))-AVERAGE(OFFSET($H$3,0,0,'Données projet'!$E$9+1,1))</f>
        <v>295.41366969872354</v>
      </c>
      <c r="T81" s="59">
        <f t="shared" si="88"/>
        <v>415.02188573182912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3.2347972090311865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3.2347972090311865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4.5999999999999996</v>
      </c>
      <c r="AI81" s="13">
        <f>IF('Données projet'!$A$62&gt;35,AI80+AH81-AQ80,IF(A81&lt;'Données projet'!$A$62,$AF$205^A81,IF(A81='Données projet'!$A$62,'Données projet'!$B$62,AI80+AH81-AQ80)))</f>
        <v>267.80000000000018</v>
      </c>
      <c r="AJ81" s="13">
        <f>AI81*VLOOKUP('Données projet'!$B$10,Paramètres!$A$1:$I$89,3,0)*VLOOKUP('Données projet'!$B$10,Paramètres!$A$1:$I$89,5,0)</f>
        <v>175.46256000000011</v>
      </c>
      <c r="AK81" s="13">
        <f t="shared" si="89"/>
        <v>44.311194244027092</v>
      </c>
      <c r="AL81" s="20">
        <f t="shared" si="58"/>
        <v>382.77262197501403</v>
      </c>
      <c r="AM81" s="59">
        <f t="shared" si="59"/>
        <v>676.10595530834735</v>
      </c>
      <c r="AN81" s="59">
        <f ca="1">AVERAGE(OFFSET($AM$3,0,0,'Données projet'!$E$10+1,1))-AVERAGE(OFFSET($H$3,0,0,'Données projet'!$E$10+1,1))</f>
        <v>173.80737004674131</v>
      </c>
      <c r="AO81" s="59">
        <f t="shared" si="90"/>
        <v>206.06552061664968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43.822494165563192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43.822494165563192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</v>
      </c>
      <c r="BD81" s="12">
        <f>IF('Données projet'!$A$88&gt;35,BD80+BC81-BL80,IF(A81&lt;'Données projet'!$A$88,$BA$205^A81,IF(A81='Données projet'!$A$88,'Données projet'!$B$88,BD80+BC81-BL80)))</f>
        <v>237.00000000000003</v>
      </c>
      <c r="BE81" s="13">
        <f>BD81*VLOOKUP('Données projet'!$B$11,Paramètres!$A$1:$I$89,3,0)*VLOOKUP('Données projet'!$B$11,Paramètres!$A$1:$I$89,5,0)</f>
        <v>151.58520000000001</v>
      </c>
      <c r="BF81" s="13">
        <f t="shared" si="91"/>
        <v>38.938607305837735</v>
      </c>
      <c r="BG81" s="20">
        <f t="shared" si="61"/>
        <v>331.82896439100074</v>
      </c>
      <c r="BH81" s="59">
        <f t="shared" si="62"/>
        <v>625.16229772433405</v>
      </c>
      <c r="BI81" s="59">
        <f ca="1">AVERAGE(OFFSET($BH$3,0,0,'Données projet'!$E$11+1,1))-AVERAGE(OFFSET($H$3,0,0,'Données projet'!$E$11+1,1))</f>
        <v>136.80149066064263</v>
      </c>
      <c r="BJ81" s="59">
        <f t="shared" si="92"/>
        <v>148.87330541103535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38.533716719241475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38.533716719241475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71.479200000000034</v>
      </c>
      <c r="D82" s="11">
        <f t="shared" si="86"/>
        <v>20.040346808618629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706.46667711916155</v>
      </c>
      <c r="H82" s="66">
        <f t="shared" si="56"/>
        <v>452.72987735834414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304.99999999999994</v>
      </c>
      <c r="O82" s="13">
        <f>N82*VLOOKUP('Données projet'!$B$9,Paramètres!$A$1:$I$89,3,0)*VLOOKUP('Données projet'!$B$9,Paramètres!$A$1:$I$89,5,0)</f>
        <v>275.96399999999994</v>
      </c>
      <c r="P82" s="13">
        <f t="shared" si="87"/>
        <v>66.113366665488911</v>
      </c>
      <c r="Q82" s="20">
        <f t="shared" si="54"/>
        <v>595.7847469423931</v>
      </c>
      <c r="R82" s="59">
        <f t="shared" si="55"/>
        <v>889.11808027572647</v>
      </c>
      <c r="S82" s="59">
        <f ca="1">AVERAGE(OFFSET($R$3,0,0,'Données projet'!$E$9+1,1))-AVERAGE(OFFSET($H$3,0,0,'Données projet'!$E$9+1,1))</f>
        <v>295.41366969872354</v>
      </c>
      <c r="T82" s="59">
        <f t="shared" si="88"/>
        <v>415.02188573182912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3.171364808793562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3.171364808793562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4.5999999999999996</v>
      </c>
      <c r="AI82" s="13">
        <f>IF('Données projet'!$A$62&gt;35,AI81+AH82-AQ81,IF(A82&lt;'Données projet'!$A$62,$AF$205^A82,IF(A82='Données projet'!$A$62,'Données projet'!$B$62,AI81+AH82-AQ81)))</f>
        <v>272.4000000000002</v>
      </c>
      <c r="AJ82" s="13">
        <f>AI82*VLOOKUP('Données projet'!$B$10,Paramètres!$A$1:$I$89,3,0)*VLOOKUP('Données projet'!$B$10,Paramètres!$A$1:$I$89,5,0)</f>
        <v>178.47648000000015</v>
      </c>
      <c r="AK82" s="13">
        <f t="shared" si="89"/>
        <v>44.983063536547988</v>
      </c>
      <c r="AL82" s="20">
        <f t="shared" si="58"/>
        <v>389.19203832615466</v>
      </c>
      <c r="AM82" s="59">
        <f t="shared" si="59"/>
        <v>682.52537165948797</v>
      </c>
      <c r="AN82" s="59">
        <f ca="1">AVERAGE(OFFSET($AM$3,0,0,'Données projet'!$E$10+1,1))-AVERAGE(OFFSET($H$3,0,0,'Données projet'!$E$10+1,1))</f>
        <v>173.80737004674131</v>
      </c>
      <c r="AO82" s="59">
        <f t="shared" si="90"/>
        <v>206.06552061664968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42.963161784058663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42.963161784058663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</v>
      </c>
      <c r="BD82" s="12">
        <f>IF('Données projet'!$A$88&gt;35,BD81+BC82-BL81,IF(A82&lt;'Données projet'!$A$88,$BA$205^A82,IF(A82='Données projet'!$A$88,'Données projet'!$B$88,BD81+BC82-BL81)))</f>
        <v>241.00000000000003</v>
      </c>
      <c r="BE82" s="13">
        <f>BD82*VLOOKUP('Données projet'!$B$11,Paramètres!$A$1:$I$89,3,0)*VLOOKUP('Données projet'!$B$11,Paramètres!$A$1:$I$89,5,0)</f>
        <v>154.14360000000002</v>
      </c>
      <c r="BF82" s="13">
        <f t="shared" si="91"/>
        <v>39.518735025361231</v>
      </c>
      <c r="BG82" s="20">
        <f t="shared" si="61"/>
        <v>337.29523350250412</v>
      </c>
      <c r="BH82" s="59">
        <f t="shared" si="62"/>
        <v>630.62856683583743</v>
      </c>
      <c r="BI82" s="59">
        <f ca="1">AVERAGE(OFFSET($BH$3,0,0,'Données projet'!$E$11+1,1))-AVERAGE(OFFSET($H$3,0,0,'Données projet'!$E$11+1,1))</f>
        <v>136.80149066064263</v>
      </c>
      <c r="BJ82" s="59">
        <f t="shared" si="92"/>
        <v>148.87330541103535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37.778094037623596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37.778094037623596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72.384000000000029</v>
      </c>
      <c r="D83" s="11">
        <f t="shared" si="86"/>
        <v>20.264329923804397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715.18009063989382</v>
      </c>
      <c r="H83" s="66">
        <f t="shared" si="56"/>
        <v>454.69584128395934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304.99999999999994</v>
      </c>
      <c r="O83" s="13">
        <f>N83*VLOOKUP('Données projet'!$B$9,Paramètres!$A$1:$I$89,3,0)*VLOOKUP('Données projet'!$B$9,Paramètres!$A$1:$I$89,5,0)</f>
        <v>275.96399999999994</v>
      </c>
      <c r="P83" s="13">
        <f t="shared" si="87"/>
        <v>66.113366665488911</v>
      </c>
      <c r="Q83" s="20">
        <f t="shared" si="54"/>
        <v>595.7847469423931</v>
      </c>
      <c r="R83" s="59">
        <f t="shared" si="55"/>
        <v>889.11808027572647</v>
      </c>
      <c r="S83" s="59">
        <f ca="1">AVERAGE(OFFSET($R$3,0,0,'Données projet'!$E$9+1,1))-AVERAGE(OFFSET($H$3,0,0,'Données projet'!$E$9+1,1))</f>
        <v>295.41366969872354</v>
      </c>
      <c r="T83" s="59">
        <f t="shared" si="88"/>
        <v>415.02188573182912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3.1091762792346533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3.1091762792346533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277</v>
      </c>
      <c r="AG83" s="12">
        <f>VLOOKUP(A83,'Données projet'!$A$61:$I$81,9,0)</f>
        <v>4.5999999999999996</v>
      </c>
      <c r="AH83" s="12">
        <f t="array" ref="AH83">INDEX(AG:AG,MIN(IF(ISNUMBER(AG83:AG279),ROW(AG83:AG279),"")))</f>
        <v>4.5999999999999996</v>
      </c>
      <c r="AI83" s="13">
        <f>IF('Données projet'!$A$62&gt;35,AI82+AH83-AQ82,IF(A83&lt;'Données projet'!$A$62,$AF$205^A83,IF(A83='Données projet'!$A$62,'Données projet'!$B$62,AI82+AH83-AQ82)))</f>
        <v>277.00000000000023</v>
      </c>
      <c r="AJ83" s="13">
        <f>AI83*VLOOKUP('Données projet'!$B$10,Paramètres!$A$1:$I$89,3,0)*VLOOKUP('Données projet'!$B$10,Paramètres!$A$1:$I$89,5,0)</f>
        <v>181.49040000000014</v>
      </c>
      <c r="AK83" s="13">
        <f t="shared" si="89"/>
        <v>45.653613407555532</v>
      </c>
      <c r="AL83" s="20">
        <f t="shared" si="58"/>
        <v>395.60915668482608</v>
      </c>
      <c r="AM83" s="59">
        <f t="shared" si="59"/>
        <v>688.94249001815933</v>
      </c>
      <c r="AN83" s="59">
        <f ca="1">AVERAGE(OFFSET($AM$3,0,0,'Données projet'!$E$10+1,1))-AVERAGE(OFFSET($H$3,0,0,'Données projet'!$E$10+1,1))</f>
        <v>173.80737004674131</v>
      </c>
      <c r="AO83" s="59">
        <f t="shared" si="90"/>
        <v>206.06552061664968</v>
      </c>
      <c r="AP83" s="15">
        <f>IF(ISNA(VLOOKUP(A83,'Données projet'!$A$61:$I$81,3,0)),0,VLOOKUP(A83,'Données projet'!$A$61:$I$81,3,0))</f>
        <v>15</v>
      </c>
      <c r="AQ83" s="15">
        <f>IF(ISNA(VLOOKUP(A83,'Données projet'!$A$61:$I$81,4,0)),0,VLOOKUP(A83,'Données projet'!$A$61:$I$81,4,0))</f>
        <v>18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47.726794837680146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47.726794837680146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245</v>
      </c>
      <c r="BB83" s="12">
        <f>VLOOKUP(A83,'Données projet'!$A$87:$I$107,9,0)</f>
        <v>4</v>
      </c>
      <c r="BC83" s="12">
        <f t="array" ref="BC83">INDEX(BB:BB,MIN(IF(ISNUMBER(BB83:BB279),ROW(BB83:BB279),"")))</f>
        <v>4</v>
      </c>
      <c r="BD83" s="12">
        <f>IF('Données projet'!$A$88&gt;35,BD82+BC83-BL82,IF(A83&lt;'Données projet'!$A$88,$BA$205^A83,IF(A83='Données projet'!$A$88,'Données projet'!$B$88,BD82+BC83-BL82)))</f>
        <v>245.00000000000003</v>
      </c>
      <c r="BE83" s="13">
        <f>BD83*VLOOKUP('Données projet'!$B$11,Paramètres!$A$1:$I$89,3,0)*VLOOKUP('Données projet'!$B$11,Paramètres!$A$1:$I$89,5,0)</f>
        <v>156.702</v>
      </c>
      <c r="BF83" s="13">
        <f t="shared" si="91"/>
        <v>40.097742994609092</v>
      </c>
      <c r="BG83" s="20">
        <f t="shared" si="61"/>
        <v>342.75955238227749</v>
      </c>
      <c r="BH83" s="59">
        <f t="shared" si="62"/>
        <v>636.09288571561081</v>
      </c>
      <c r="BI83" s="59">
        <f ca="1">AVERAGE(OFFSET($BH$3,0,0,'Données projet'!$E$11+1,1))-AVERAGE(OFFSET($H$3,0,0,'Données projet'!$E$11+1,1))</f>
        <v>136.80149066064263</v>
      </c>
      <c r="BJ83" s="59">
        <f t="shared" si="92"/>
        <v>148.87330541103535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15</v>
      </c>
      <c r="BM83" s="16">
        <f>IF(ISNA(VLOOKUP(A83,'Données projet'!$A$87:$I$107,5,0)),0%,VLOOKUP(A83,'Données projet'!$A$87:$I$107,5,0)*VLOOKUP('Données projet'!$B$11,Paramètres!$A$1:$I$89,7,0))</f>
        <v>0.43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41.597818269040737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41.597818269040737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73.288800000000023</v>
      </c>
      <c r="D84" s="11">
        <f t="shared" si="86"/>
        <v>20.487987371563225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723.89099023662857</v>
      </c>
      <c r="H84" s="66">
        <f t="shared" si="56"/>
        <v>456.66123800547257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304.99999999999994</v>
      </c>
      <c r="O84" s="13">
        <f>N84*VLOOKUP('Données projet'!$B$9,Paramètres!$A$1:$I$89,3,0)*VLOOKUP('Données projet'!$B$9,Paramètres!$A$1:$I$89,5,0)</f>
        <v>275.96399999999994</v>
      </c>
      <c r="P84" s="13">
        <f t="shared" si="87"/>
        <v>66.113366665488911</v>
      </c>
      <c r="Q84" s="20">
        <f t="shared" si="54"/>
        <v>595.7847469423931</v>
      </c>
      <c r="R84" s="59">
        <f t="shared" si="55"/>
        <v>889.11808027572647</v>
      </c>
      <c r="S84" s="59">
        <f ca="1">AVERAGE(OFFSET($R$3,0,0,'Données projet'!$E$9+1,1))-AVERAGE(OFFSET($H$3,0,0,'Données projet'!$E$9+1,1))</f>
        <v>295.41366969872354</v>
      </c>
      <c r="T84" s="59">
        <f t="shared" si="88"/>
        <v>415.02188573182912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3.0482072288091371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3.0482072288091371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4.2</v>
      </c>
      <c r="AI84" s="13">
        <f>IF('Données projet'!$A$62&gt;35,AI83+AH84-AQ83,IF(A84&lt;'Données projet'!$A$62,$AF$205^A84,IF(A84='Données projet'!$A$62,'Données projet'!$B$62,AI83+AH84-AQ83)))</f>
        <v>263.20000000000022</v>
      </c>
      <c r="AJ84" s="13">
        <f>AI84*VLOOKUP('Données projet'!$B$10,Paramètres!$A$1:$I$89,3,0)*VLOOKUP('Données projet'!$B$10,Paramètres!$A$1:$I$89,5,0)</f>
        <v>172.44864000000013</v>
      </c>
      <c r="AK84" s="13">
        <f t="shared" si="89"/>
        <v>43.637980200453718</v>
      </c>
      <c r="AL84" s="20">
        <f t="shared" si="58"/>
        <v>376.35086351579042</v>
      </c>
      <c r="AM84" s="59">
        <f t="shared" si="59"/>
        <v>669.68419684912374</v>
      </c>
      <c r="AN84" s="59">
        <f ca="1">AVERAGE(OFFSET($AM$3,0,0,'Données projet'!$E$10+1,1))-AVERAGE(OFFSET($H$3,0,0,'Données projet'!$E$10+1,1))</f>
        <v>173.80737004674131</v>
      </c>
      <c r="AO84" s="59">
        <f t="shared" si="90"/>
        <v>206.06552061664968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46.790901501383672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46.790901501383672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3.6</v>
      </c>
      <c r="BD84" s="12">
        <f>IF('Données projet'!$A$88&gt;35,BD83+BC84-BL83,IF(A84&lt;'Données projet'!$A$88,$BA$205^A84,IF(A84='Données projet'!$A$88,'Données projet'!$B$88,BD83+BC84-BL83)))</f>
        <v>233.60000000000002</v>
      </c>
      <c r="BE84" s="13">
        <f>BD84*VLOOKUP('Données projet'!$B$11,Paramètres!$A$1:$I$89,3,0)*VLOOKUP('Données projet'!$B$11,Paramètres!$A$1:$I$89,5,0)</f>
        <v>149.41056000000003</v>
      </c>
      <c r="BF84" s="13">
        <f t="shared" si="91"/>
        <v>38.444602585568106</v>
      </c>
      <c r="BG84" s="20">
        <f t="shared" si="61"/>
        <v>327.1810748365312</v>
      </c>
      <c r="BH84" s="59">
        <f t="shared" si="62"/>
        <v>620.51440816986451</v>
      </c>
      <c r="BI84" s="59">
        <f ca="1">AVERAGE(OFFSET($BH$3,0,0,'Données projet'!$E$11+1,1))-AVERAGE(OFFSET($H$3,0,0,'Données projet'!$E$11+1,1))</f>
        <v>136.80149066064263</v>
      </c>
      <c r="BJ84" s="59">
        <f t="shared" si="92"/>
        <v>148.87330541103535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40.782110424948698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40.782110424948698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74.193600000000018</v>
      </c>
      <c r="D85" s="11">
        <f t="shared" si="86"/>
        <v>20.711323637482362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732.59941053495174</v>
      </c>
      <c r="H85" s="66">
        <f t="shared" si="56"/>
        <v>458.62607533528183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304.99999999999994</v>
      </c>
      <c r="O85" s="13">
        <f>N85*VLOOKUP('Données projet'!$B$9,Paramètres!$A$1:$I$89,3,0)*VLOOKUP('Données projet'!$B$9,Paramètres!$A$1:$I$89,5,0)</f>
        <v>275.96399999999994</v>
      </c>
      <c r="P85" s="13">
        <f t="shared" si="87"/>
        <v>66.113366665488911</v>
      </c>
      <c r="Q85" s="20">
        <f t="shared" si="54"/>
        <v>595.7847469423931</v>
      </c>
      <c r="R85" s="59">
        <f t="shared" si="55"/>
        <v>889.11808027572647</v>
      </c>
      <c r="S85" s="59">
        <f ca="1">AVERAGE(OFFSET($R$3,0,0,'Données projet'!$E$9+1,1))-AVERAGE(OFFSET($H$3,0,0,'Données projet'!$E$9+1,1))</f>
        <v>295.41366969872354</v>
      </c>
      <c r="T85" s="59">
        <f t="shared" si="88"/>
        <v>415.02188573182912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2.9884337442750164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2.9884337442750164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4.2</v>
      </c>
      <c r="AI85" s="13">
        <f>IF('Données projet'!$A$62&gt;35,AI84+AH85-AQ84,IF(A85&lt;'Données projet'!$A$62,$AF$205^A85,IF(A85='Données projet'!$A$62,'Données projet'!$B$62,AI84+AH85-AQ84)))</f>
        <v>267.4000000000002</v>
      </c>
      <c r="AJ85" s="13">
        <f>AI85*VLOOKUP('Données projet'!$B$10,Paramètres!$A$1:$I$89,3,0)*VLOOKUP('Données projet'!$B$10,Paramètres!$A$1:$I$89,5,0)</f>
        <v>175.20048000000014</v>
      </c>
      <c r="AK85" s="13">
        <f t="shared" si="89"/>
        <v>44.252707646937758</v>
      </c>
      <c r="AL85" s="20">
        <f t="shared" si="58"/>
        <v>382.2143018184168</v>
      </c>
      <c r="AM85" s="59">
        <f t="shared" si="59"/>
        <v>675.54763515175011</v>
      </c>
      <c r="AN85" s="59">
        <f ca="1">AVERAGE(OFFSET($AM$3,0,0,'Données projet'!$E$10+1,1))-AVERAGE(OFFSET($H$3,0,0,'Données projet'!$E$10+1,1))</f>
        <v>173.80737004674131</v>
      </c>
      <c r="AO85" s="59">
        <f t="shared" si="90"/>
        <v>206.06552061664968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45.873360462573402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45.873360462573402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3.6</v>
      </c>
      <c r="BD85" s="12">
        <f>IF('Données projet'!$A$88&gt;35,BD84+BC85-BL84,IF(A85&lt;'Données projet'!$A$88,$BA$205^A85,IF(A85='Données projet'!$A$88,'Données projet'!$B$88,BD84+BC85-BL84)))</f>
        <v>237.20000000000002</v>
      </c>
      <c r="BE85" s="13">
        <f>BD85*VLOOKUP('Données projet'!$B$11,Paramètres!$A$1:$I$89,3,0)*VLOOKUP('Données projet'!$B$11,Paramètres!$A$1:$I$89,5,0)</f>
        <v>151.71312</v>
      </c>
      <c r="BF85" s="13">
        <f t="shared" si="91"/>
        <v>38.967640608896517</v>
      </c>
      <c r="BG85" s="20">
        <f t="shared" si="61"/>
        <v>332.10232472716143</v>
      </c>
      <c r="BH85" s="59">
        <f t="shared" si="62"/>
        <v>625.43565806049469</v>
      </c>
      <c r="BI85" s="59">
        <f ca="1">AVERAGE(OFFSET($BH$3,0,0,'Données projet'!$E$11+1,1))-AVERAGE(OFFSET($H$3,0,0,'Données projet'!$E$11+1,1))</f>
        <v>136.80149066064263</v>
      </c>
      <c r="BJ85" s="59">
        <f t="shared" si="92"/>
        <v>148.87330541103535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39.982398114146648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39.982398114146648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75.098400000000012</v>
      </c>
      <c r="D86" s="11">
        <f t="shared" si="86"/>
        <v>20.934343091450742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741.30538526733926</v>
      </c>
      <c r="H86" s="66">
        <f t="shared" si="56"/>
        <v>460.59036088427672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304.99999999999994</v>
      </c>
      <c r="O86" s="13">
        <f>N86*VLOOKUP('Données projet'!$B$9,Paramètres!$A$1:$I$89,3,0)*VLOOKUP('Données projet'!$B$9,Paramètres!$A$1:$I$89,5,0)</f>
        <v>275.96399999999994</v>
      </c>
      <c r="P86" s="13">
        <f t="shared" si="87"/>
        <v>66.113366665488911</v>
      </c>
      <c r="Q86" s="20">
        <f t="shared" si="54"/>
        <v>595.7847469423931</v>
      </c>
      <c r="R86" s="59">
        <f t="shared" si="55"/>
        <v>889.11808027572647</v>
      </c>
      <c r="S86" s="59">
        <f ca="1">AVERAGE(OFFSET($R$3,0,0,'Données projet'!$E$9+1,1))-AVERAGE(OFFSET($H$3,0,0,'Données projet'!$E$9+1,1))</f>
        <v>295.41366969872354</v>
      </c>
      <c r="T86" s="59">
        <f t="shared" si="88"/>
        <v>415.02188573182912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2.9298323813143843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2.9298323813143843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4.2</v>
      </c>
      <c r="AI86" s="13">
        <f>IF('Données projet'!$A$62&gt;35,AI85+AH86-AQ85,IF(A86&lt;'Données projet'!$A$62,$AF$205^A86,IF(A86='Données projet'!$A$62,'Données projet'!$B$62,AI85+AH86-AQ85)))</f>
        <v>271.60000000000019</v>
      </c>
      <c r="AJ86" s="13">
        <f>AI86*VLOOKUP('Données projet'!$B$10,Paramètres!$A$1:$I$89,3,0)*VLOOKUP('Données projet'!$B$10,Paramètres!$A$1:$I$89,5,0)</f>
        <v>177.95232000000013</v>
      </c>
      <c r="AK86" s="13">
        <f t="shared" si="89"/>
        <v>44.866312182234608</v>
      </c>
      <c r="AL86" s="20">
        <f t="shared" si="58"/>
        <v>388.07578438405881</v>
      </c>
      <c r="AM86" s="59">
        <f t="shared" si="59"/>
        <v>681.40911771739206</v>
      </c>
      <c r="AN86" s="59">
        <f ca="1">AVERAGE(OFFSET($AM$3,0,0,'Données projet'!$E$10+1,1))-AVERAGE(OFFSET($H$3,0,0,'Données projet'!$E$10+1,1))</f>
        <v>173.80737004674131</v>
      </c>
      <c r="AO86" s="59">
        <f t="shared" si="90"/>
        <v>206.06552061664968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44.973811843889422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44.973811843889422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3.6</v>
      </c>
      <c r="BD86" s="12">
        <f>IF('Données projet'!$A$88&gt;35,BD85+BC86-BL85,IF(A86&lt;'Données projet'!$A$88,$BA$205^A86,IF(A86='Données projet'!$A$88,'Données projet'!$B$88,BD85+BC86-BL85)))</f>
        <v>240.8</v>
      </c>
      <c r="BE86" s="13">
        <f>BD86*VLOOKUP('Données projet'!$B$11,Paramètres!$A$1:$I$89,3,0)*VLOOKUP('Données projet'!$B$11,Paramètres!$A$1:$I$89,5,0)</f>
        <v>154.01568</v>
      </c>
      <c r="BF86" s="13">
        <f t="shared" si="91"/>
        <v>39.489755406006992</v>
      </c>
      <c r="BG86" s="20">
        <f t="shared" si="61"/>
        <v>337.02196666546217</v>
      </c>
      <c r="BH86" s="59">
        <f t="shared" si="62"/>
        <v>630.35529999879554</v>
      </c>
      <c r="BI86" s="59">
        <f ca="1">AVERAGE(OFFSET($BH$3,0,0,'Données projet'!$E$11+1,1))-AVERAGE(OFFSET($H$3,0,0,'Données projet'!$E$11+1,1))</f>
        <v>136.80149066064263</v>
      </c>
      <c r="BJ86" s="59">
        <f t="shared" si="92"/>
        <v>148.87330541103535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39.198367673983078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39.198367673983078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76.003200000000007</v>
      </c>
      <c r="D87" s="11">
        <f t="shared" si="86"/>
        <v>21.157049992000456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750.00894730667017</v>
      </c>
      <c r="H87" s="66">
        <f t="shared" si="56"/>
        <v>462.55410206940076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304.99999999999994</v>
      </c>
      <c r="O87" s="13">
        <f>N87*VLOOKUP('Données projet'!$B$9,Paramètres!$A$1:$I$89,3,0)*VLOOKUP('Données projet'!$B$9,Paramètres!$A$1:$I$89,5,0)</f>
        <v>275.96399999999994</v>
      </c>
      <c r="P87" s="13">
        <f t="shared" si="87"/>
        <v>66.113366665488911</v>
      </c>
      <c r="Q87" s="20">
        <f t="shared" si="54"/>
        <v>595.7847469423931</v>
      </c>
      <c r="R87" s="59">
        <f t="shared" si="55"/>
        <v>889.11808027572647</v>
      </c>
      <c r="S87" s="59">
        <f ca="1">AVERAGE(OFFSET($R$3,0,0,'Données projet'!$E$9+1,1))-AVERAGE(OFFSET($H$3,0,0,'Données projet'!$E$9+1,1))</f>
        <v>295.41366969872354</v>
      </c>
      <c r="T87" s="59">
        <f t="shared" si="88"/>
        <v>415.02188573182912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2.8723801553381083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2.8723801553381083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4.2</v>
      </c>
      <c r="AI87" s="13">
        <f>IF('Données projet'!$A$62&gt;35,AI86+AH87-AQ86,IF(A87&lt;'Données projet'!$A$62,$AF$205^A87,IF(A87='Données projet'!$A$62,'Données projet'!$B$62,AI86+AH87-AQ86)))</f>
        <v>275.80000000000018</v>
      </c>
      <c r="AJ87" s="13">
        <f>AI87*VLOOKUP('Données projet'!$B$10,Paramètres!$A$1:$I$89,3,0)*VLOOKUP('Données projet'!$B$10,Paramètres!$A$1:$I$89,5,0)</f>
        <v>180.70416000000012</v>
      </c>
      <c r="AK87" s="13">
        <f t="shared" si="89"/>
        <v>45.4788131763084</v>
      </c>
      <c r="AL87" s="20">
        <f t="shared" si="58"/>
        <v>393.93534494873728</v>
      </c>
      <c r="AM87" s="59">
        <f t="shared" si="59"/>
        <v>687.2686782820706</v>
      </c>
      <c r="AN87" s="59">
        <f ca="1">AVERAGE(OFFSET($AM$3,0,0,'Données projet'!$E$10+1,1))-AVERAGE(OFFSET($H$3,0,0,'Données projet'!$E$10+1,1))</f>
        <v>173.80737004674131</v>
      </c>
      <c r="AO87" s="59">
        <f t="shared" si="90"/>
        <v>206.06552061664968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44.091902824947354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44.091902824947354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3.6</v>
      </c>
      <c r="BD87" s="12">
        <f>IF('Données projet'!$A$88&gt;35,BD86+BC87-BL86,IF(A87&lt;'Données projet'!$A$88,$BA$205^A87,IF(A87='Données projet'!$A$88,'Données projet'!$B$88,BD86+BC87-BL86)))</f>
        <v>244.4</v>
      </c>
      <c r="BE87" s="13">
        <f>BD87*VLOOKUP('Données projet'!$B$11,Paramètres!$A$1:$I$89,3,0)*VLOOKUP('Données projet'!$B$11,Paramètres!$A$1:$I$89,5,0)</f>
        <v>156.31824</v>
      </c>
      <c r="BF87" s="13">
        <f t="shared" si="91"/>
        <v>40.010962373637824</v>
      </c>
      <c r="BG87" s="20">
        <f t="shared" si="61"/>
        <v>341.94002746741921</v>
      </c>
      <c r="BH87" s="59">
        <f t="shared" si="62"/>
        <v>635.27336080075247</v>
      </c>
      <c r="BI87" s="59">
        <f ca="1">AVERAGE(OFFSET($BH$3,0,0,'Données projet'!$E$11+1,1))-AVERAGE(OFFSET($H$3,0,0,'Données projet'!$E$11+1,1))</f>
        <v>136.80149066064263</v>
      </c>
      <c r="BJ87" s="59">
        <f t="shared" si="92"/>
        <v>148.87330541103535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38.429711592539768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38.429711592539768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76.908000000000001</v>
      </c>
      <c r="D88" s="11">
        <f t="shared" si="86"/>
        <v>21.379448490435635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758.71012869809965</v>
      </c>
      <c r="H88" s="66">
        <f t="shared" si="56"/>
        <v>464.51730612084202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304.99999999999994</v>
      </c>
      <c r="O88" s="13">
        <f>N88*VLOOKUP('Données projet'!$B$9,Paramètres!$A$1:$I$89,3,0)*VLOOKUP('Données projet'!$B$9,Paramètres!$A$1:$I$89,5,0)</f>
        <v>275.96399999999994</v>
      </c>
      <c r="P88" s="13">
        <f t="shared" si="87"/>
        <v>66.113366665488911</v>
      </c>
      <c r="Q88" s="20">
        <f t="shared" si="54"/>
        <v>595.7847469423931</v>
      </c>
      <c r="R88" s="59">
        <f t="shared" si="55"/>
        <v>889.11808027572647</v>
      </c>
      <c r="S88" s="59">
        <f ca="1">AVERAGE(OFFSET($R$3,0,0,'Données projet'!$E$9+1,1))-AVERAGE(OFFSET($H$3,0,0,'Données projet'!$E$9+1,1))</f>
        <v>295.41366969872354</v>
      </c>
      <c r="T88" s="59">
        <f t="shared" si="88"/>
        <v>415.02188573182912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2.816054532470829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2.816054532470829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280</v>
      </c>
      <c r="AG88" s="12">
        <f>VLOOKUP(A88,'Données projet'!$A$61:$I$81,9,0)</f>
        <v>4.2</v>
      </c>
      <c r="AH88" s="12">
        <f t="array" ref="AH88">INDEX(AG:AG,MIN(IF(ISNUMBER(AG88:AG284),ROW(AG88:AG284),"")))</f>
        <v>4.2</v>
      </c>
      <c r="AI88" s="13">
        <f>IF('Données projet'!$A$62&gt;35,AI87+AH88-AQ87,IF(A88&lt;'Données projet'!$A$62,$AF$205^A88,IF(A88='Données projet'!$A$62,'Données projet'!$B$62,AI87+AH88-AQ87)))</f>
        <v>280.00000000000017</v>
      </c>
      <c r="AJ88" s="13">
        <f>AI88*VLOOKUP('Données projet'!$B$10,Paramètres!$A$1:$I$89,3,0)*VLOOKUP('Données projet'!$B$10,Paramètres!$A$1:$I$89,5,0)</f>
        <v>183.4560000000001</v>
      </c>
      <c r="AK88" s="13">
        <f t="shared" si="89"/>
        <v>46.090229375321144</v>
      </c>
      <c r="AL88" s="20">
        <f t="shared" si="58"/>
        <v>399.79301616201786</v>
      </c>
      <c r="AM88" s="59">
        <f t="shared" si="59"/>
        <v>693.12634949535118</v>
      </c>
      <c r="AN88" s="59">
        <f ca="1">AVERAGE(OFFSET($AM$3,0,0,'Données projet'!$E$10+1,1))-AVERAGE(OFFSET($H$3,0,0,'Données projet'!$E$10+1,1))</f>
        <v>173.80737004674131</v>
      </c>
      <c r="AO88" s="59">
        <f t="shared" si="90"/>
        <v>206.06552061664968</v>
      </c>
      <c r="AP88" s="15">
        <f>IF(ISNA(VLOOKUP(A88,'Données projet'!$A$61:$I$81,3,0)),0,VLOOKUP(A88,'Données projet'!$A$61:$I$81,3,0))</f>
        <v>16</v>
      </c>
      <c r="AQ88" s="15">
        <f>IF(ISNA(VLOOKUP(A88,'Données projet'!$A$61:$I$81,4,0)),0,VLOOKUP(A88,'Données projet'!$A$61:$I$81,4,0))</f>
        <v>16</v>
      </c>
      <c r="AR88" s="16">
        <f>IF(ISNA(VLOOKUP(A88,'Données projet'!$A$61:$I$81,5,0)),0%,VLOOKUP(A88,'Données projet'!$A$61:$I$81,5,0)*VLOOKUP('Données projet'!$B$10,Paramètres!$A$1:$I$89,7,0))</f>
        <v>0.43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48.210500349524885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48.210500349524885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248</v>
      </c>
      <c r="BB88" s="12">
        <f>VLOOKUP(A88,'Données projet'!$A$87:$I$107,9,0)</f>
        <v>3.6</v>
      </c>
      <c r="BC88" s="12">
        <f t="array" ref="BC88">INDEX(BB:BB,MIN(IF(ISNUMBER(BB88:BB284),ROW(BB88:BB284),"")))</f>
        <v>3.6</v>
      </c>
      <c r="BD88" s="12">
        <f>IF('Données projet'!$A$88&gt;35,BD87+BC88-BL87,IF(A88&lt;'Données projet'!$A$88,$BA$205^A88,IF(A88='Données projet'!$A$88,'Données projet'!$B$88,BD87+BC88-BL87)))</f>
        <v>248</v>
      </c>
      <c r="BE88" s="13">
        <f>BD88*VLOOKUP('Données projet'!$B$11,Paramètres!$A$1:$I$89,3,0)*VLOOKUP('Données projet'!$B$11,Paramètres!$A$1:$I$89,5,0)</f>
        <v>158.6208</v>
      </c>
      <c r="BF88" s="13">
        <f t="shared" si="91"/>
        <v>40.531276428901542</v>
      </c>
      <c r="BG88" s="20">
        <f t="shared" si="61"/>
        <v>346.8565331136702</v>
      </c>
      <c r="BH88" s="59">
        <f t="shared" si="62"/>
        <v>640.18986644700351</v>
      </c>
      <c r="BI88" s="59">
        <f ca="1">AVERAGE(OFFSET($BH$3,0,0,'Données projet'!$E$11+1,1))-AVERAGE(OFFSET($H$3,0,0,'Données projet'!$E$11+1,1))</f>
        <v>136.80149066064263</v>
      </c>
      <c r="BJ88" s="59">
        <f t="shared" si="92"/>
        <v>148.87330541103535</v>
      </c>
      <c r="BK88" s="15">
        <f>IF(ISNA(VLOOKUP(A88,'Données projet'!$A$87:$I$107,3,0)),0,VLOOKUP(A88,'Données projet'!$A$87:$I$107,3,0))</f>
        <v>14</v>
      </c>
      <c r="BL88" s="15">
        <f>IF(ISNA(VLOOKUP(A88,'Données projet'!$A$87:$I$107,4,0)),0,VLOOKUP(A88,'Données projet'!$A$87:$I$107,4,0))</f>
        <v>14</v>
      </c>
      <c r="BM88" s="16">
        <f>IF(ISNA(VLOOKUP(A88,'Données projet'!$A$87:$I$107,5,0)),0%,VLOOKUP(A88,'Données projet'!$A$87:$I$107,5,0)*VLOOKUP('Données projet'!$B$11,Paramètres!$A$1:$I$89,7,0))</f>
        <v>0.43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41.932622693610284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41.932622693610284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77.812799999999996</v>
      </c>
      <c r="D89" s="11">
        <f t="shared" si="86"/>
        <v>21.601542634761511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767.40896068938719</v>
      </c>
      <c r="H89" s="66">
        <f t="shared" si="56"/>
        <v>466.47998008887623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304.99999999999994</v>
      </c>
      <c r="O89" s="13">
        <f>N89*VLOOKUP('Données projet'!$B$9,Paramètres!$A$1:$I$89,3,0)*VLOOKUP('Données projet'!$B$9,Paramètres!$A$1:$I$89,5,0)</f>
        <v>275.96399999999994</v>
      </c>
      <c r="P89" s="13">
        <f t="shared" si="87"/>
        <v>66.113366665488911</v>
      </c>
      <c r="Q89" s="20">
        <f t="shared" si="54"/>
        <v>595.7847469423931</v>
      </c>
      <c r="R89" s="59">
        <f t="shared" si="55"/>
        <v>889.11808027572647</v>
      </c>
      <c r="S89" s="59">
        <f ca="1">AVERAGE(OFFSET($R$3,0,0,'Données projet'!$E$9+1,1))-AVERAGE(OFFSET($H$3,0,0,'Données projet'!$E$9+1,1))</f>
        <v>295.41366969872354</v>
      </c>
      <c r="T89" s="59">
        <f t="shared" si="88"/>
        <v>415.02188573182912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2.7608334207127396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2.7608334207127396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3.8</v>
      </c>
      <c r="AI89" s="13">
        <f>IF('Données projet'!$A$62&gt;35,AI88+AH89-AQ88,IF(A89&lt;'Données projet'!$A$62,$AF$205^A89,IF(A89='Données projet'!$A$62,'Données projet'!$B$62,AI88+AH89-AQ88)))</f>
        <v>267.80000000000018</v>
      </c>
      <c r="AJ89" s="13">
        <f>AI89*VLOOKUP('Données projet'!$B$10,Paramètres!$A$1:$I$89,3,0)*VLOOKUP('Données projet'!$B$10,Paramètres!$A$1:$I$89,5,0)</f>
        <v>175.46256000000011</v>
      </c>
      <c r="AK89" s="13">
        <f t="shared" si="89"/>
        <v>44.311194244027092</v>
      </c>
      <c r="AL89" s="20">
        <f t="shared" si="58"/>
        <v>382.77262197501403</v>
      </c>
      <c r="AM89" s="59">
        <f t="shared" si="59"/>
        <v>676.10595530834735</v>
      </c>
      <c r="AN89" s="59">
        <f ca="1">AVERAGE(OFFSET($AM$3,0,0,'Données projet'!$E$10+1,1))-AVERAGE(OFFSET($H$3,0,0,'Données projet'!$E$10+1,1))</f>
        <v>173.80737004674131</v>
      </c>
      <c r="AO89" s="59">
        <f t="shared" si="90"/>
        <v>206.06552061664968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47.265121843172366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47.265121843172366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3</v>
      </c>
      <c r="BD89" s="12">
        <f>IF('Données projet'!$A$88&gt;35,BD88+BC89-BL88,IF(A89&lt;'Données projet'!$A$88,$BA$205^A89,IF(A89='Données projet'!$A$88,'Données projet'!$B$88,BD88+BC89-BL88)))</f>
        <v>237</v>
      </c>
      <c r="BE89" s="13">
        <f>BD89*VLOOKUP('Données projet'!$B$11,Paramètres!$A$1:$I$89,3,0)*VLOOKUP('Données projet'!$B$11,Paramètres!$A$1:$I$89,5,0)</f>
        <v>151.58519999999999</v>
      </c>
      <c r="BF89" s="13">
        <f t="shared" si="91"/>
        <v>38.938607305837699</v>
      </c>
      <c r="BG89" s="20">
        <f t="shared" si="61"/>
        <v>331.82896439100062</v>
      </c>
      <c r="BH89" s="59">
        <f t="shared" si="62"/>
        <v>625.16229772433394</v>
      </c>
      <c r="BI89" s="59">
        <f ca="1">AVERAGE(OFFSET($BH$3,0,0,'Données projet'!$E$11+1,1))-AVERAGE(OFFSET($H$3,0,0,'Données projet'!$E$11+1,1))</f>
        <v>136.80149066064263</v>
      </c>
      <c r="BJ89" s="59">
        <f t="shared" si="92"/>
        <v>148.87330541103535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41.110349538962971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41.110349538962971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78.71759999999999</v>
      </c>
      <c r="D90" s="11">
        <f t="shared" si="86"/>
        <v>21.823336373425391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776.10547375977501</v>
      </c>
      <c r="H90" s="66">
        <f t="shared" si="56"/>
        <v>468.44213085038251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304.99999999999994</v>
      </c>
      <c r="O90" s="13">
        <f>N90*VLOOKUP('Données projet'!$B$9,Paramètres!$A$1:$I$89,3,0)*VLOOKUP('Données projet'!$B$9,Paramètres!$A$1:$I$89,5,0)</f>
        <v>275.96399999999994</v>
      </c>
      <c r="P90" s="13">
        <f t="shared" si="87"/>
        <v>66.113366665488911</v>
      </c>
      <c r="Q90" s="20">
        <f t="shared" si="54"/>
        <v>595.7847469423931</v>
      </c>
      <c r="R90" s="59">
        <f t="shared" si="55"/>
        <v>889.11808027572647</v>
      </c>
      <c r="S90" s="59">
        <f ca="1">AVERAGE(OFFSET($R$3,0,0,'Données projet'!$E$9+1,1))-AVERAGE(OFFSET($H$3,0,0,'Données projet'!$E$9+1,1))</f>
        <v>295.41366969872354</v>
      </c>
      <c r="T90" s="59">
        <f t="shared" si="88"/>
        <v>415.02188573182912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2.7066951612746739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2.7066951612746739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3.8</v>
      </c>
      <c r="AI90" s="13">
        <f>IF('Données projet'!$A$62&gt;35,AI89+AH90-AQ89,IF(A90&lt;'Données projet'!$A$62,$AF$205^A90,IF(A90='Données projet'!$A$62,'Données projet'!$B$62,AI89+AH90-AQ89)))</f>
        <v>271.60000000000019</v>
      </c>
      <c r="AJ90" s="13">
        <f>AI90*VLOOKUP('Données projet'!$B$10,Paramètres!$A$1:$I$89,3,0)*VLOOKUP('Données projet'!$B$10,Paramètres!$A$1:$I$89,5,0)</f>
        <v>177.95232000000013</v>
      </c>
      <c r="AK90" s="13">
        <f t="shared" si="89"/>
        <v>44.866312182234608</v>
      </c>
      <c r="AL90" s="20">
        <f t="shared" si="58"/>
        <v>388.07578438405881</v>
      </c>
      <c r="AM90" s="59">
        <f t="shared" si="59"/>
        <v>681.40911771739206</v>
      </c>
      <c r="AN90" s="59">
        <f ca="1">AVERAGE(OFFSET($AM$3,0,0,'Données projet'!$E$10+1,1))-AVERAGE(OFFSET($H$3,0,0,'Données projet'!$E$10+1,1))</f>
        <v>173.80737004674131</v>
      </c>
      <c r="AO90" s="59">
        <f t="shared" si="90"/>
        <v>206.06552061664968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46.338281632705467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46.338281632705467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3</v>
      </c>
      <c r="BD90" s="12">
        <f>IF('Données projet'!$A$88&gt;35,BD89+BC90-BL89,IF(A90&lt;'Données projet'!$A$88,$BA$205^A90,IF(A90='Données projet'!$A$88,'Données projet'!$B$88,BD89+BC90-BL89)))</f>
        <v>240</v>
      </c>
      <c r="BE90" s="13">
        <f>BD90*VLOOKUP('Données projet'!$B$11,Paramètres!$A$1:$I$89,3,0)*VLOOKUP('Données projet'!$B$11,Paramètres!$A$1:$I$89,5,0)</f>
        <v>153.50399999999999</v>
      </c>
      <c r="BF90" s="13">
        <f t="shared" si="91"/>
        <v>39.373808884365609</v>
      </c>
      <c r="BG90" s="20">
        <f t="shared" si="61"/>
        <v>335.9288504736034</v>
      </c>
      <c r="BH90" s="59">
        <f t="shared" si="62"/>
        <v>629.26218380693672</v>
      </c>
      <c r="BI90" s="59">
        <f ca="1">AVERAGE(OFFSET($BH$3,0,0,'Données projet'!$E$11+1,1))-AVERAGE(OFFSET($H$3,0,0,'Données projet'!$E$11+1,1))</f>
        <v>136.80149066064263</v>
      </c>
      <c r="BJ90" s="59">
        <f t="shared" si="92"/>
        <v>148.87330541103535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40.304200659341191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40.304200659341191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79.622399999999985</v>
      </c>
      <c r="D91" s="11">
        <f t="shared" si="86"/>
        <v>22.044833558880924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784.79969764750183</v>
      </c>
      <c r="H91" s="66">
        <f t="shared" si="56"/>
        <v>470.40376511505087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304.99999999999994</v>
      </c>
      <c r="O91" s="13">
        <f>N91*VLOOKUP('Données projet'!$B$9,Paramètres!$A$1:$I$89,3,0)*VLOOKUP('Données projet'!$B$9,Paramètres!$A$1:$I$89,5,0)</f>
        <v>275.96399999999994</v>
      </c>
      <c r="P91" s="13">
        <f t="shared" si="87"/>
        <v>66.113366665488911</v>
      </c>
      <c r="Q91" s="20">
        <f t="shared" si="54"/>
        <v>595.7847469423931</v>
      </c>
      <c r="R91" s="59">
        <f t="shared" si="55"/>
        <v>889.11808027572647</v>
      </c>
      <c r="S91" s="59">
        <f ca="1">AVERAGE(OFFSET($R$3,0,0,'Données projet'!$E$9+1,1))-AVERAGE(OFFSET($H$3,0,0,'Données projet'!$E$9+1,1))</f>
        <v>295.41366969872354</v>
      </c>
      <c r="T91" s="59">
        <f t="shared" si="88"/>
        <v>415.02188573182912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2.6536185200831111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2.6536185200831111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3.8</v>
      </c>
      <c r="AI91" s="13">
        <f>IF('Données projet'!$A$62&gt;35,AI90+AH91-AQ90,IF(A91&lt;'Données projet'!$A$62,$AF$205^A91,IF(A91='Données projet'!$A$62,'Données projet'!$B$62,AI90+AH91-AQ90)))</f>
        <v>275.4000000000002</v>
      </c>
      <c r="AJ91" s="13">
        <f>AI91*VLOOKUP('Données projet'!$B$10,Paramètres!$A$1:$I$89,3,0)*VLOOKUP('Données projet'!$B$10,Paramètres!$A$1:$I$89,5,0)</f>
        <v>180.44208000000012</v>
      </c>
      <c r="AK91" s="13">
        <f t="shared" si="89"/>
        <v>45.420526775820072</v>
      </c>
      <c r="AL91" s="20">
        <f t="shared" si="58"/>
        <v>393.3773734678868</v>
      </c>
      <c r="AM91" s="59">
        <f t="shared" si="59"/>
        <v>686.71070680122011</v>
      </c>
      <c r="AN91" s="59">
        <f ca="1">AVERAGE(OFFSET($AM$3,0,0,'Données projet'!$E$10+1,1))-AVERAGE(OFFSET($H$3,0,0,'Données projet'!$E$10+1,1))</f>
        <v>173.80737004674131</v>
      </c>
      <c r="AO91" s="59">
        <f t="shared" si="90"/>
        <v>206.06552061664968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45.429616193449114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45.429616193449114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3</v>
      </c>
      <c r="BD91" s="12">
        <f>IF('Données projet'!$A$88&gt;35,BD90+BC91-BL90,IF(A91&lt;'Données projet'!$A$88,$BA$205^A91,IF(A91='Données projet'!$A$88,'Données projet'!$B$88,BD90+BC91-BL90)))</f>
        <v>243</v>
      </c>
      <c r="BE91" s="13">
        <f>BD91*VLOOKUP('Données projet'!$B$11,Paramètres!$A$1:$I$89,3,0)*VLOOKUP('Données projet'!$B$11,Paramètres!$A$1:$I$89,5,0)</f>
        <v>155.4228</v>
      </c>
      <c r="BF91" s="13">
        <f t="shared" si="91"/>
        <v>39.808377687614154</v>
      </c>
      <c r="BG91" s="20">
        <f t="shared" si="61"/>
        <v>340.02763447259463</v>
      </c>
      <c r="BH91" s="59">
        <f t="shared" si="62"/>
        <v>633.36096780592788</v>
      </c>
      <c r="BI91" s="59">
        <f ca="1">AVERAGE(OFFSET($BH$3,0,0,'Données projet'!$E$11+1,1))-AVERAGE(OFFSET($H$3,0,0,'Données projet'!$E$11+1,1))</f>
        <v>136.80149066064263</v>
      </c>
      <c r="BJ91" s="59">
        <f t="shared" si="92"/>
        <v>148.87330541103535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39.513859867546529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39.513859867546529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80.527199999999979</v>
      </c>
      <c r="D92" s="11">
        <f t="shared" si="86"/>
        <v>22.266037950985503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793.49166137602833</v>
      </c>
      <c r="H92" s="66">
        <f t="shared" si="56"/>
        <v>472.36488943129973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304.99999999999994</v>
      </c>
      <c r="O92" s="13">
        <f>N92*VLOOKUP('Données projet'!$B$9,Paramètres!$A$1:$I$89,3,0)*VLOOKUP('Données projet'!$B$9,Paramètres!$A$1:$I$89,5,0)</f>
        <v>275.96399999999994</v>
      </c>
      <c r="P92" s="13">
        <f t="shared" si="87"/>
        <v>66.113366665488911</v>
      </c>
      <c r="Q92" s="20">
        <f t="shared" si="54"/>
        <v>595.7847469423931</v>
      </c>
      <c r="R92" s="59">
        <f t="shared" si="55"/>
        <v>889.11808027572647</v>
      </c>
      <c r="S92" s="59">
        <f ca="1">AVERAGE(OFFSET($R$3,0,0,'Données projet'!$E$9+1,1))-AVERAGE(OFFSET($H$3,0,0,'Données projet'!$E$9+1,1))</f>
        <v>295.41366969872354</v>
      </c>
      <c r="T92" s="59">
        <f t="shared" si="88"/>
        <v>415.02188573182912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2.6015826794517602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2.6015826794517602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3.8</v>
      </c>
      <c r="AI92" s="13">
        <f>IF('Données projet'!$A$62&gt;35,AI91+AH92-AQ91,IF(A92&lt;'Données projet'!$A$62,$AF$205^A92,IF(A92='Données projet'!$A$62,'Données projet'!$B$62,AI91+AH92-AQ91)))</f>
        <v>279.20000000000022</v>
      </c>
      <c r="AJ92" s="13">
        <f>AI92*VLOOKUP('Données projet'!$B$10,Paramètres!$A$1:$I$89,3,0)*VLOOKUP('Données projet'!$B$10,Paramètres!$A$1:$I$89,5,0)</f>
        <v>182.93184000000014</v>
      </c>
      <c r="AK92" s="13">
        <f t="shared" si="89"/>
        <v>45.973851929814685</v>
      </c>
      <c r="AL92" s="20">
        <f t="shared" si="58"/>
        <v>398.67741344442743</v>
      </c>
      <c r="AM92" s="59">
        <f t="shared" si="59"/>
        <v>692.01074677776069</v>
      </c>
      <c r="AN92" s="59">
        <f ca="1">AVERAGE(OFFSET($AM$3,0,0,'Données projet'!$E$10+1,1))-AVERAGE(OFFSET($H$3,0,0,'Données projet'!$E$10+1,1))</f>
        <v>173.80737004674131</v>
      </c>
      <c r="AO92" s="59">
        <f t="shared" si="90"/>
        <v>206.06552061664968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44.538769129225386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44.538769129225386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3</v>
      </c>
      <c r="BD92" s="12">
        <f>IF('Données projet'!$A$88&gt;35,BD91+BC92-BL91,IF(A92&lt;'Données projet'!$A$88,$BA$205^A92,IF(A92='Données projet'!$A$88,'Données projet'!$B$88,BD91+BC92-BL91)))</f>
        <v>246</v>
      </c>
      <c r="BE92" s="13">
        <f>BD92*VLOOKUP('Données projet'!$B$11,Paramètres!$A$1:$I$89,3,0)*VLOOKUP('Données projet'!$B$11,Paramètres!$A$1:$I$89,5,0)</f>
        <v>157.3416</v>
      </c>
      <c r="BF92" s="13">
        <f t="shared" si="91"/>
        <v>40.24232243112715</v>
      </c>
      <c r="BG92" s="20">
        <f t="shared" si="61"/>
        <v>344.12533156754643</v>
      </c>
      <c r="BH92" s="59">
        <f t="shared" si="62"/>
        <v>637.45866490087974</v>
      </c>
      <c r="BI92" s="59">
        <f ca="1">AVERAGE(OFFSET($BH$3,0,0,'Données projet'!$E$11+1,1))-AVERAGE(OFFSET($H$3,0,0,'Données projet'!$E$11+1,1))</f>
        <v>136.80149066064263</v>
      </c>
      <c r="BJ92" s="59">
        <f t="shared" si="92"/>
        <v>148.87330541103535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38.739017176618674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38.739017176618674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81.431999999999974</v>
      </c>
      <c r="D93" s="11">
        <f t="shared" si="86"/>
        <v>22.486953220240881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802.18139327905226</v>
      </c>
      <c r="H93" s="66">
        <f t="shared" si="56"/>
        <v>474.32551019191948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304.99999999999994</v>
      </c>
      <c r="O93" s="13">
        <f>N93*VLOOKUP('Données projet'!$B$9,Paramètres!$A$1:$I$89,3,0)*VLOOKUP('Données projet'!$B$9,Paramètres!$A$1:$I$89,5,0)</f>
        <v>275.96399999999994</v>
      </c>
      <c r="P93" s="13">
        <f t="shared" si="87"/>
        <v>66.113366665488911</v>
      </c>
      <c r="Q93" s="20">
        <f t="shared" si="54"/>
        <v>595.7847469423931</v>
      </c>
      <c r="R93" s="59">
        <f t="shared" si="55"/>
        <v>889.11808027572647</v>
      </c>
      <c r="S93" s="59">
        <f ca="1">AVERAGE(OFFSET($R$3,0,0,'Données projet'!$E$9+1,1))-AVERAGE(OFFSET($H$3,0,0,'Données projet'!$E$9+1,1))</f>
        <v>295.41366969872354</v>
      </c>
      <c r="T93" s="59">
        <f t="shared" si="88"/>
        <v>415.02188573182912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2.5505672299164615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2.5505672299164615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283</v>
      </c>
      <c r="AG93" s="12">
        <f>VLOOKUP(A93,'Données projet'!$A$61:$I$81,9,0)</f>
        <v>3.8</v>
      </c>
      <c r="AH93" s="12">
        <f t="array" ref="AH93">INDEX(AG:AG,MIN(IF(ISNUMBER(AG93:AG289),ROW(AG93:AG289),"")))</f>
        <v>3.8</v>
      </c>
      <c r="AI93" s="13">
        <f>IF('Données projet'!$A$62&gt;35,AI92+AH93-AQ92,IF(A93&lt;'Données projet'!$A$62,$AF$205^A93,IF(A93='Données projet'!$A$62,'Données projet'!$B$62,AI92+AH93-AQ92)))</f>
        <v>283.00000000000023</v>
      </c>
      <c r="AJ93" s="13">
        <f>AI93*VLOOKUP('Données projet'!$B$10,Paramètres!$A$1:$I$89,3,0)*VLOOKUP('Données projet'!$B$10,Paramètres!$A$1:$I$89,5,0)</f>
        <v>185.42160000000013</v>
      </c>
      <c r="AK93" s="13">
        <f t="shared" si="89"/>
        <v>46.526301148997497</v>
      </c>
      <c r="AL93" s="20">
        <f t="shared" si="58"/>
        <v>403.97592783450415</v>
      </c>
      <c r="AM93" s="59">
        <f t="shared" si="59"/>
        <v>697.30926116783746</v>
      </c>
      <c r="AN93" s="59">
        <f ca="1">AVERAGE(OFFSET($AM$3,0,0,'Données projet'!$E$10+1,1))-AVERAGE(OFFSET($H$3,0,0,'Données projet'!$E$10+1,1))</f>
        <v>173.80737004674131</v>
      </c>
      <c r="AO93" s="59">
        <f t="shared" si="90"/>
        <v>206.06552061664968</v>
      </c>
      <c r="AP93" s="15">
        <f>IF(ISNA(VLOOKUP(A93,'Données projet'!$A$61:$I$81,3,0)),0,VLOOKUP(A93,'Données projet'!$A$61:$I$81,3,0))</f>
        <v>17</v>
      </c>
      <c r="AQ93" s="15">
        <f>IF(ISNA(VLOOKUP(A93,'Données projet'!$A$61:$I$81,4,0)),0,VLOOKUP(A93,'Données projet'!$A$61:$I$81,4,0))</f>
        <v>15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48.337153075289457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48.337153075289457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249</v>
      </c>
      <c r="BB93" s="12">
        <f>VLOOKUP(A93,'Données projet'!$A$87:$I$107,9,0)</f>
        <v>3</v>
      </c>
      <c r="BC93" s="12">
        <f t="array" ref="BC93">INDEX(BB:BB,MIN(IF(ISNUMBER(BB93:BB289),ROW(BB93:BB289),"")))</f>
        <v>3</v>
      </c>
      <c r="BD93" s="12">
        <f>IF('Données projet'!$A$88&gt;35,BD92+BC93-BL92,IF(A93&lt;'Données projet'!$A$88,$BA$205^A93,IF(A93='Données projet'!$A$88,'Données projet'!$B$88,BD92+BC93-BL92)))</f>
        <v>249</v>
      </c>
      <c r="BE93" s="13">
        <f>BD93*VLOOKUP('Données projet'!$B$11,Paramètres!$A$1:$I$89,3,0)*VLOOKUP('Données projet'!$B$11,Paramètres!$A$1:$I$89,5,0)</f>
        <v>159.26039999999998</v>
      </c>
      <c r="BF93" s="13">
        <f t="shared" si="91"/>
        <v>40.675651605645328</v>
      </c>
      <c r="BG93" s="20">
        <f t="shared" si="61"/>
        <v>348.22195654649892</v>
      </c>
      <c r="BH93" s="59">
        <f t="shared" si="62"/>
        <v>641.55528987983223</v>
      </c>
      <c r="BI93" s="59">
        <f ca="1">AVERAGE(OFFSET($BH$3,0,0,'Données projet'!$E$11+1,1))-AVERAGE(OFFSET($H$3,0,0,'Données projet'!$E$11+1,1))</f>
        <v>136.80149066064263</v>
      </c>
      <c r="BJ93" s="59">
        <f t="shared" si="92"/>
        <v>148.87330541103535</v>
      </c>
      <c r="BK93" s="15">
        <f>IF(ISNA(VLOOKUP(A93,'Données projet'!$A$87:$I$107,3,0)),0,VLOOKUP(A93,'Données projet'!$A$87:$I$107,3,0))</f>
        <v>15</v>
      </c>
      <c r="BL93" s="15">
        <f>IF(ISNA(VLOOKUP(A93,'Données projet'!$A$87:$I$107,4,0)),0,VLOOKUP(A93,'Données projet'!$A$87:$I$107,4,0))</f>
        <v>12</v>
      </c>
      <c r="BM93" s="16">
        <f>IF(ISNA(VLOOKUP(A93,'Données projet'!$A$87:$I$107,5,0)),0%,VLOOKUP(A93,'Données projet'!$A$87:$I$107,5,0)*VLOOKUP('Données projet'!$B$11,Paramètres!$A$1:$I$89,7,0))</f>
        <v>0.43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41.627792368758797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41.627792368758797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82.336799999999968</v>
      </c>
      <c r="D94" s="11">
        <f t="shared" si="86"/>
        <v>22.707582950885364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810.86892102437798</v>
      </c>
      <c r="H94" s="66">
        <f t="shared" si="56"/>
        <v>476.28563363945864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304.99999999999994</v>
      </c>
      <c r="O94" s="13">
        <f>N94*VLOOKUP('Données projet'!$B$9,Paramètres!$A$1:$I$89,3,0)*VLOOKUP('Données projet'!$B$9,Paramètres!$A$1:$I$89,5,0)</f>
        <v>275.96399999999994</v>
      </c>
      <c r="P94" s="13">
        <f t="shared" si="87"/>
        <v>66.113366665488911</v>
      </c>
      <c r="Q94" s="20">
        <f t="shared" si="54"/>
        <v>595.7847469423931</v>
      </c>
      <c r="R94" s="59">
        <f t="shared" si="55"/>
        <v>889.11808027572647</v>
      </c>
      <c r="S94" s="59">
        <f ca="1">AVERAGE(OFFSET($R$3,0,0,'Données projet'!$E$9+1,1))-AVERAGE(OFFSET($H$3,0,0,'Données projet'!$E$9+1,1))</f>
        <v>295.41366969872354</v>
      </c>
      <c r="T94" s="59">
        <f t="shared" si="88"/>
        <v>415.02188573182912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2.500552162230198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2.500552162230198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268.00000000000023</v>
      </c>
      <c r="AJ94" s="13">
        <f>AI94*VLOOKUP('Données projet'!$B$10,Paramètres!$A$1:$I$89,3,0)*VLOOKUP('Données projet'!$B$10,Paramètres!$A$1:$I$89,5,0)</f>
        <v>175.59360000000015</v>
      </c>
      <c r="AK94" s="13">
        <f t="shared" si="89"/>
        <v>44.340433728638573</v>
      </c>
      <c r="AL94" s="20">
        <f t="shared" si="58"/>
        <v>383.05177541071242</v>
      </c>
      <c r="AM94" s="59">
        <f t="shared" si="59"/>
        <v>676.38510874404574</v>
      </c>
      <c r="AN94" s="59">
        <f ca="1">AVERAGE(OFFSET($AM$3,0,0,'Données projet'!$E$10+1,1))-AVERAGE(OFFSET($H$3,0,0,'Données projet'!$E$10+1,1))</f>
        <v>173.80737004674131</v>
      </c>
      <c r="AO94" s="59">
        <f t="shared" si="90"/>
        <v>206.06552061664968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47.389290986235224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47.389290986235224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3</v>
      </c>
      <c r="BD94" s="12">
        <f>IF('Données projet'!$A$88&gt;35,BD93+BC94-BL93,IF(A94&lt;'Données projet'!$A$88,$BA$205^A94,IF(A94='Données projet'!$A$88,'Données projet'!$B$88,BD93+BC94-BL93)))</f>
        <v>240</v>
      </c>
      <c r="BE94" s="13">
        <f>BD94*VLOOKUP('Données projet'!$B$11,Paramètres!$A$1:$I$89,3,0)*VLOOKUP('Données projet'!$B$11,Paramètres!$A$1:$I$89,5,0)</f>
        <v>153.50399999999999</v>
      </c>
      <c r="BF94" s="13">
        <f t="shared" si="91"/>
        <v>39.373808884365609</v>
      </c>
      <c r="BG94" s="20">
        <f t="shared" si="61"/>
        <v>335.9288504736034</v>
      </c>
      <c r="BH94" s="59">
        <f t="shared" si="62"/>
        <v>629.26218380693672</v>
      </c>
      <c r="BI94" s="59">
        <f ca="1">AVERAGE(OFFSET($BH$3,0,0,'Données projet'!$E$11+1,1))-AVERAGE(OFFSET($H$3,0,0,'Données projet'!$E$11+1,1))</f>
        <v>136.80149066064263</v>
      </c>
      <c r="BJ94" s="59">
        <f t="shared" si="92"/>
        <v>148.87330541103535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40.811496750853685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40.811496750853685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83.241599999999963</v>
      </c>
      <c r="D95" s="11">
        <f t="shared" si="86"/>
        <v>22.927930643846508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819.55427163670959</v>
      </c>
      <c r="H95" s="66">
        <f t="shared" si="56"/>
        <v>478.24526587136592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304.99999999999994</v>
      </c>
      <c r="O95" s="13">
        <f>N95*VLOOKUP('Données projet'!$B$9,Paramètres!$A$1:$I$89,3,0)*VLOOKUP('Données projet'!$B$9,Paramètres!$A$1:$I$89,5,0)</f>
        <v>275.96399999999994</v>
      </c>
      <c r="P95" s="13">
        <f t="shared" si="87"/>
        <v>66.113366665488911</v>
      </c>
      <c r="Q95" s="20">
        <f t="shared" si="54"/>
        <v>595.7847469423931</v>
      </c>
      <c r="R95" s="59">
        <f t="shared" si="55"/>
        <v>889.11808027572647</v>
      </c>
      <c r="S95" s="59">
        <f ca="1">AVERAGE(OFFSET($R$3,0,0,'Données projet'!$E$9+1,1))-AVERAGE(OFFSET($H$3,0,0,'Données projet'!$E$9+1,1))</f>
        <v>295.41366969872354</v>
      </c>
      <c r="T95" s="59">
        <f t="shared" si="88"/>
        <v>415.02188573182912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2.4515178595150831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2.4515178595150831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268.00000000000023</v>
      </c>
      <c r="AJ95" s="13">
        <f>AI95*VLOOKUP('Données projet'!$B$10,Paramètres!$A$1:$I$89,3,0)*VLOOKUP('Données projet'!$B$10,Paramètres!$A$1:$I$89,5,0)</f>
        <v>175.59360000000015</v>
      </c>
      <c r="AK95" s="13">
        <f t="shared" si="89"/>
        <v>44.340433728638573</v>
      </c>
      <c r="AL95" s="20">
        <f t="shared" si="58"/>
        <v>383.05177541071242</v>
      </c>
      <c r="AM95" s="59">
        <f t="shared" si="59"/>
        <v>676.38510874404574</v>
      </c>
      <c r="AN95" s="59">
        <f ca="1">AVERAGE(OFFSET($AM$3,0,0,'Données projet'!$E$10+1,1))-AVERAGE(OFFSET($H$3,0,0,'Données projet'!$E$10+1,1))</f>
        <v>173.80737004674131</v>
      </c>
      <c r="AO95" s="59">
        <f t="shared" si="90"/>
        <v>206.06552061664968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46.46001589460856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46.46001589460856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3</v>
      </c>
      <c r="BD95" s="12">
        <f>IF('Données projet'!$A$88&gt;35,BD94+BC95-BL94,IF(A95&lt;'Données projet'!$A$88,$BA$205^A95,IF(A95='Données projet'!$A$88,'Données projet'!$B$88,BD94+BC95-BL94)))</f>
        <v>243</v>
      </c>
      <c r="BE95" s="13">
        <f>BD95*VLOOKUP('Données projet'!$B$11,Paramètres!$A$1:$I$89,3,0)*VLOOKUP('Données projet'!$B$11,Paramètres!$A$1:$I$89,5,0)</f>
        <v>155.4228</v>
      </c>
      <c r="BF95" s="13">
        <f t="shared" si="91"/>
        <v>39.808377687614154</v>
      </c>
      <c r="BG95" s="20">
        <f t="shared" si="61"/>
        <v>340.02763447259463</v>
      </c>
      <c r="BH95" s="59">
        <f t="shared" si="62"/>
        <v>633.36096780592788</v>
      </c>
      <c r="BI95" s="59">
        <f ca="1">AVERAGE(OFFSET($BH$3,0,0,'Données projet'!$E$11+1,1))-AVERAGE(OFFSET($H$3,0,0,'Données projet'!$E$11+1,1))</f>
        <v>136.80149066064263</v>
      </c>
      <c r="BJ95" s="59">
        <f t="shared" si="92"/>
        <v>148.87330541103535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40.011208192124528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40.011208192124528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84.146399999999957</v>
      </c>
      <c r="D96" s="11">
        <f t="shared" si="86"/>
        <v>23.14799971956143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828.23747151942132</v>
      </c>
      <c r="H96" s="66">
        <f t="shared" si="56"/>
        <v>480.20441284490272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304.99999999999994</v>
      </c>
      <c r="O96" s="13">
        <f>N96*VLOOKUP('Données projet'!$B$9,Paramètres!$A$1:$I$89,3,0)*VLOOKUP('Données projet'!$B$9,Paramètres!$A$1:$I$89,5,0)</f>
        <v>275.96399999999994</v>
      </c>
      <c r="P96" s="13">
        <f t="shared" si="87"/>
        <v>66.113366665488911</v>
      </c>
      <c r="Q96" s="20">
        <f t="shared" si="54"/>
        <v>595.7847469423931</v>
      </c>
      <c r="R96" s="59">
        <f t="shared" si="55"/>
        <v>889.11808027572647</v>
      </c>
      <c r="S96" s="59">
        <f ca="1">AVERAGE(OFFSET($R$3,0,0,'Données projet'!$E$9+1,1))-AVERAGE(OFFSET($H$3,0,0,'Données projet'!$E$9+1,1))</f>
        <v>295.41366969872354</v>
      </c>
      <c r="T96" s="59">
        <f t="shared" si="88"/>
        <v>415.02188573182912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2.40344508956824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2.40344508956824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268.00000000000023</v>
      </c>
      <c r="AJ96" s="13">
        <f>AI96*VLOOKUP('Données projet'!$B$10,Paramètres!$A$1:$I$89,3,0)*VLOOKUP('Données projet'!$B$10,Paramètres!$A$1:$I$89,5,0)</f>
        <v>175.59360000000015</v>
      </c>
      <c r="AK96" s="13">
        <f t="shared" si="89"/>
        <v>44.340433728638573</v>
      </c>
      <c r="AL96" s="20">
        <f t="shared" si="58"/>
        <v>383.05177541071242</v>
      </c>
      <c r="AM96" s="59">
        <f t="shared" si="59"/>
        <v>676.38510874404574</v>
      </c>
      <c r="AN96" s="59">
        <f ca="1">AVERAGE(OFFSET($AM$3,0,0,'Données projet'!$E$10+1,1))-AVERAGE(OFFSET($H$3,0,0,'Données projet'!$E$10+1,1))</f>
        <v>173.80737004674131</v>
      </c>
      <c r="AO96" s="59">
        <f t="shared" si="90"/>
        <v>206.06552061664968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45.548963320726855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45.548963320726855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3</v>
      </c>
      <c r="BD96" s="12">
        <f>IF('Données projet'!$A$88&gt;35,BD95+BC96-BL95,IF(A96&lt;'Données projet'!$A$88,$BA$205^A96,IF(A96='Données projet'!$A$88,'Données projet'!$B$88,BD95+BC96-BL95)))</f>
        <v>246</v>
      </c>
      <c r="BE96" s="13">
        <f>BD96*VLOOKUP('Données projet'!$B$11,Paramètres!$A$1:$I$89,3,0)*VLOOKUP('Données projet'!$B$11,Paramètres!$A$1:$I$89,5,0)</f>
        <v>157.3416</v>
      </c>
      <c r="BF96" s="13">
        <f t="shared" si="91"/>
        <v>40.24232243112715</v>
      </c>
      <c r="BG96" s="20">
        <f t="shared" si="61"/>
        <v>344.12533156754643</v>
      </c>
      <c r="BH96" s="59">
        <f t="shared" si="62"/>
        <v>637.45866490087974</v>
      </c>
      <c r="BI96" s="59">
        <f ca="1">AVERAGE(OFFSET($BH$3,0,0,'Données projet'!$E$11+1,1))-AVERAGE(OFFSET($H$3,0,0,'Données projet'!$E$11+1,1))</f>
        <v>136.80149066064263</v>
      </c>
      <c r="BJ96" s="59">
        <f t="shared" si="92"/>
        <v>148.87330541103535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39.226612803904224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39.226612803904224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85.051199999999952</v>
      </c>
      <c r="D97" s="11">
        <f t="shared" si="86"/>
        <v>23.367793520672731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836.91854647536809</v>
      </c>
      <c r="H97" s="66">
        <f t="shared" si="56"/>
        <v>482.1630803818382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304.99999999999994</v>
      </c>
      <c r="O97" s="13">
        <f>N97*VLOOKUP('Données projet'!$B$9,Paramètres!$A$1:$I$89,3,0)*VLOOKUP('Données projet'!$B$9,Paramètres!$A$1:$I$89,5,0)</f>
        <v>275.96399999999994</v>
      </c>
      <c r="P97" s="13">
        <f t="shared" si="87"/>
        <v>66.113366665488911</v>
      </c>
      <c r="Q97" s="20">
        <f t="shared" si="54"/>
        <v>595.7847469423931</v>
      </c>
      <c r="R97" s="59">
        <f t="shared" si="55"/>
        <v>889.11808027572647</v>
      </c>
      <c r="S97" s="59">
        <f ca="1">AVERAGE(OFFSET($R$3,0,0,'Données projet'!$E$9+1,1))-AVERAGE(OFFSET($H$3,0,0,'Données projet'!$E$9+1,1))</f>
        <v>295.41366969872354</v>
      </c>
      <c r="T97" s="59">
        <f t="shared" si="88"/>
        <v>415.02188573182912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2.3563149973185604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2.3563149973185604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268.00000000000023</v>
      </c>
      <c r="AJ97" s="13">
        <f>AI97*VLOOKUP('Données projet'!$B$10,Paramètres!$A$1:$I$89,3,0)*VLOOKUP('Données projet'!$B$10,Paramètres!$A$1:$I$89,5,0)</f>
        <v>175.59360000000015</v>
      </c>
      <c r="AK97" s="13">
        <f t="shared" si="89"/>
        <v>44.340433728638573</v>
      </c>
      <c r="AL97" s="20">
        <f t="shared" si="58"/>
        <v>383.05177541071242</v>
      </c>
      <c r="AM97" s="59">
        <f t="shared" si="59"/>
        <v>676.38510874404574</v>
      </c>
      <c r="AN97" s="59">
        <f ca="1">AVERAGE(OFFSET($AM$3,0,0,'Données projet'!$E$10+1,1))-AVERAGE(OFFSET($H$3,0,0,'Données projet'!$E$10+1,1))</f>
        <v>173.80737004674131</v>
      </c>
      <c r="AO97" s="59">
        <f t="shared" si="90"/>
        <v>206.06552061664968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44.655775932131768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44.655775932131768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3</v>
      </c>
      <c r="BD97" s="12">
        <f>IF('Données projet'!$A$88&gt;35,BD96+BC97-BL96,IF(A97&lt;'Données projet'!$A$88,$BA$205^A97,IF(A97='Données projet'!$A$88,'Données projet'!$B$88,BD96+BC97-BL96)))</f>
        <v>249</v>
      </c>
      <c r="BE97" s="13">
        <f>BD97*VLOOKUP('Données projet'!$B$11,Paramètres!$A$1:$I$89,3,0)*VLOOKUP('Données projet'!$B$11,Paramètres!$A$1:$I$89,5,0)</f>
        <v>159.26039999999998</v>
      </c>
      <c r="BF97" s="13">
        <f t="shared" si="91"/>
        <v>40.675651605645328</v>
      </c>
      <c r="BG97" s="20">
        <f t="shared" si="61"/>
        <v>348.22195654649892</v>
      </c>
      <c r="BH97" s="59">
        <f t="shared" si="62"/>
        <v>641.55528987983223</v>
      </c>
      <c r="BI97" s="59">
        <f ca="1">AVERAGE(OFFSET($BH$3,0,0,'Données projet'!$E$11+1,1))-AVERAGE(OFFSET($H$3,0,0,'Données projet'!$E$11+1,1))</f>
        <v>136.80149066064263</v>
      </c>
      <c r="BJ97" s="59">
        <f t="shared" si="92"/>
        <v>148.87330541103535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38.45740285269099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38.45740285269099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85.955999999999946</v>
      </c>
      <c r="D98" s="11">
        <f t="shared" si="86"/>
        <v>23.587315314606048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845.59752172678316</v>
      </c>
      <c r="H98" s="66">
        <f t="shared" si="56"/>
        <v>484.12127417293874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304.99999999999994</v>
      </c>
      <c r="O98" s="13">
        <f>N98*VLOOKUP('Données projet'!$B$9,Paramètres!$A$1:$I$89,3,0)*VLOOKUP('Données projet'!$B$9,Paramètres!$A$1:$I$89,5,0)</f>
        <v>275.96399999999994</v>
      </c>
      <c r="P98" s="13">
        <f t="shared" si="87"/>
        <v>66.113366665488911</v>
      </c>
      <c r="Q98" s="20">
        <f t="shared" si="54"/>
        <v>595.7847469423931</v>
      </c>
      <c r="R98" s="59">
        <f t="shared" si="55"/>
        <v>889.11808027572647</v>
      </c>
      <c r="S98" s="59">
        <f ca="1">AVERAGE(OFFSET($R$3,0,0,'Données projet'!$E$9+1,1))-AVERAGE(OFFSET($H$3,0,0,'Données projet'!$E$9+1,1))</f>
        <v>295.41366969872354</v>
      </c>
      <c r="T98" s="59">
        <f t="shared" si="88"/>
        <v>415.02188573182912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2.3101090974313792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2.3101090974313792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268.00000000000023</v>
      </c>
      <c r="AJ98" s="13">
        <f>AI98*VLOOKUP('Données projet'!$B$10,Paramètres!$A$1:$I$89,3,0)*VLOOKUP('Données projet'!$B$10,Paramètres!$A$1:$I$89,5,0)</f>
        <v>175.59360000000015</v>
      </c>
      <c r="AK98" s="13">
        <f t="shared" si="89"/>
        <v>44.340433728638573</v>
      </c>
      <c r="AL98" s="20">
        <f t="shared" si="58"/>
        <v>383.05177541071242</v>
      </c>
      <c r="AM98" s="59">
        <f t="shared" si="59"/>
        <v>676.38510874404574</v>
      </c>
      <c r="AN98" s="59">
        <f ca="1">AVERAGE(OFFSET($AM$3,0,0,'Données projet'!$E$10+1,1))-AVERAGE(OFFSET($H$3,0,0,'Données projet'!$E$10+1,1))</f>
        <v>173.80737004674131</v>
      </c>
      <c r="AO98" s="59">
        <f t="shared" si="90"/>
        <v>206.06552061664968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43.78010340343652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43.78010340343652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252</v>
      </c>
      <c r="BB98" s="12">
        <f>VLOOKUP(A98,'Données projet'!$A$87:$I$107,9,0)</f>
        <v>3</v>
      </c>
      <c r="BC98" s="12">
        <f t="array" ref="BC98">INDEX(BB:BB,MIN(IF(ISNUMBER(BB98:BB294),ROW(BB98:BB294),"")))</f>
        <v>3</v>
      </c>
      <c r="BD98" s="12">
        <f>IF('Données projet'!$A$88&gt;35,BD97+BC98-BL97,IF(A98&lt;'Données projet'!$A$88,$BA$205^A98,IF(A98='Données projet'!$A$88,'Données projet'!$B$88,BD97+BC98-BL97)))</f>
        <v>252</v>
      </c>
      <c r="BE98" s="13">
        <f>BD98*VLOOKUP('Données projet'!$B$11,Paramètres!$A$1:$I$89,3,0)*VLOOKUP('Données projet'!$B$11,Paramètres!$A$1:$I$89,5,0)</f>
        <v>161.17920000000001</v>
      </c>
      <c r="BF98" s="13">
        <f t="shared" si="91"/>
        <v>41.108373485541968</v>
      </c>
      <c r="BG98" s="20">
        <f t="shared" si="61"/>
        <v>352.31752382065224</v>
      </c>
      <c r="BH98" s="59">
        <f t="shared" si="62"/>
        <v>645.6508571539855</v>
      </c>
      <c r="BI98" s="59">
        <f ca="1">AVERAGE(OFFSET($BH$3,0,0,'Données projet'!$E$11+1,1))-AVERAGE(OFFSET($H$3,0,0,'Données projet'!$E$11+1,1))</f>
        <v>136.80149066064263</v>
      </c>
      <c r="BJ98" s="59">
        <f t="shared" si="92"/>
        <v>148.87330541103535</v>
      </c>
      <c r="BK98" s="15">
        <f>IF(ISNA(VLOOKUP(A98,'Données projet'!$A$87:$I$107,3,0)),0,VLOOKUP(A98,'Données projet'!$A$87:$I$107,3,0))</f>
        <v>16</v>
      </c>
      <c r="BL98" s="15">
        <f>IF(ISNA(VLOOKUP(A98,'Données projet'!$A$87:$I$107,4,0)),0,VLOOKUP(A98,'Données projet'!$A$87:$I$107,4,0))</f>
        <v>12</v>
      </c>
      <c r="BM98" s="16">
        <f>IF(ISNA(VLOOKUP(A98,'Données projet'!$A$87:$I$107,5,0)),0%,VLOOKUP(A98,'Données projet'!$A$87:$I$107,5,0)*VLOOKUP('Données projet'!$B$11,Paramètres!$A$1:$I$89,7,0))</f>
        <v>0.43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41.351700329955555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41.351700329955555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86.860799999999941</v>
      </c>
      <c r="D99" s="11">
        <f t="shared" si="86"/>
        <v>23.806568296036275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854.27442193431477</v>
      </c>
      <c r="H99" s="66">
        <f t="shared" si="56"/>
        <v>486.07899978226305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304.99999999999994</v>
      </c>
      <c r="O99" s="13">
        <f>N99*VLOOKUP('Données projet'!$B$9,Paramètres!$A$1:$I$89,3,0)*VLOOKUP('Données projet'!$B$9,Paramètres!$A$1:$I$89,5,0)</f>
        <v>275.96399999999994</v>
      </c>
      <c r="P99" s="13">
        <f t="shared" si="87"/>
        <v>66.113366665488911</v>
      </c>
      <c r="Q99" s="20">
        <f t="shared" ref="Q99:Q130" si="107">(O99+P99)*0.475*44/12</f>
        <v>595.7847469423931</v>
      </c>
      <c r="R99" s="59">
        <f t="shared" si="55"/>
        <v>889.11808027572647</v>
      </c>
      <c r="S99" s="59">
        <f ca="1">AVERAGE(OFFSET($R$3,0,0,'Données projet'!$E$9+1,1))-AVERAGE(OFFSET($H$3,0,0,'Données projet'!$E$9+1,1))</f>
        <v>295.41366969872354</v>
      </c>
      <c r="T99" s="59">
        <f t="shared" si="88"/>
        <v>415.02188573182912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2.2648092670581694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2.2648092670581694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268.00000000000023</v>
      </c>
      <c r="AJ99" s="13">
        <f>AI99*VLOOKUP('Données projet'!$B$10,Paramètres!$A$1:$I$89,3,0)*VLOOKUP('Données projet'!$B$10,Paramètres!$A$1:$I$89,5,0)</f>
        <v>175.59360000000015</v>
      </c>
      <c r="AK99" s="13">
        <f t="shared" si="89"/>
        <v>44.340433728638573</v>
      </c>
      <c r="AL99" s="20">
        <f t="shared" si="58"/>
        <v>383.05177541071242</v>
      </c>
      <c r="AM99" s="59">
        <f t="shared" si="59"/>
        <v>676.38510874404574</v>
      </c>
      <c r="AN99" s="59">
        <f ca="1">AVERAGE(OFFSET($AM$3,0,0,'Données projet'!$E$10+1,1))-AVERAGE(OFFSET($H$3,0,0,'Données projet'!$E$10+1,1))</f>
        <v>173.80737004674131</v>
      </c>
      <c r="AO99" s="59">
        <f t="shared" si="90"/>
        <v>206.06552061664968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42.921602278921483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42.921602278921483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3</v>
      </c>
      <c r="BD99" s="12">
        <f>IF('Données projet'!$A$88&gt;35,BD98+BC99-BL98,IF(A99&lt;'Données projet'!$A$88,$BA$205^A99,IF(A99='Données projet'!$A$88,'Données projet'!$B$88,BD98+BC99-BL98)))</f>
        <v>243</v>
      </c>
      <c r="BE99" s="13">
        <f>BD99*VLOOKUP('Données projet'!$B$11,Paramètres!$A$1:$I$89,3,0)*VLOOKUP('Données projet'!$B$11,Paramètres!$A$1:$I$89,5,0)</f>
        <v>155.4228</v>
      </c>
      <c r="BF99" s="13">
        <f t="shared" si="91"/>
        <v>39.808377687614154</v>
      </c>
      <c r="BG99" s="20">
        <f t="shared" si="61"/>
        <v>340.02763447259463</v>
      </c>
      <c r="BH99" s="59">
        <f t="shared" si="62"/>
        <v>633.36096780592788</v>
      </c>
      <c r="BI99" s="59">
        <f ca="1">AVERAGE(OFFSET($BH$3,0,0,'Données projet'!$E$11+1,1))-AVERAGE(OFFSET($H$3,0,0,'Données projet'!$E$11+1,1))</f>
        <v>136.80149066064263</v>
      </c>
      <c r="BJ99" s="59">
        <f t="shared" si="92"/>
        <v>148.87330541103535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40.540818708531859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40.540818708531859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87.765599999999935</v>
      </c>
      <c r="D100" s="11">
        <f t="shared" si="86"/>
        <v>24.025555589247933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862.94927121524677</v>
      </c>
      <c r="H100" s="66">
        <f t="shared" si="56"/>
        <v>488.03626265127332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304.99999999999994</v>
      </c>
      <c r="O100" s="13">
        <f>N100*VLOOKUP('Données projet'!$B$9,Paramètres!$A$1:$I$89,3,0)*VLOOKUP('Données projet'!$B$9,Paramètres!$A$1:$I$89,5,0)</f>
        <v>275.96399999999994</v>
      </c>
      <c r="P100" s="13">
        <f t="shared" si="87"/>
        <v>66.113366665488911</v>
      </c>
      <c r="Q100" s="20">
        <f t="shared" si="107"/>
        <v>595.7847469423931</v>
      </c>
      <c r="R100" s="59">
        <f t="shared" si="55"/>
        <v>889.11808027572647</v>
      </c>
      <c r="S100" s="59">
        <f ca="1">AVERAGE(OFFSET($R$3,0,0,'Données projet'!$E$9+1,1))-AVERAGE(OFFSET($H$3,0,0,'Données projet'!$E$9+1,1))</f>
        <v>295.41366969872354</v>
      </c>
      <c r="T100" s="59">
        <f t="shared" si="88"/>
        <v>415.02188573182912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2.2203977387284102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2.2203977387284102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268.00000000000023</v>
      </c>
      <c r="AJ100" s="13">
        <f>AI100*VLOOKUP('Données projet'!$B$10,Paramètres!$A$1:$I$89,3,0)*VLOOKUP('Données projet'!$B$10,Paramètres!$A$1:$I$89,5,0)</f>
        <v>175.59360000000015</v>
      </c>
      <c r="AK100" s="13">
        <f t="shared" si="89"/>
        <v>44.340433728638573</v>
      </c>
      <c r="AL100" s="20">
        <f t="shared" si="58"/>
        <v>383.05177541071242</v>
      </c>
      <c r="AM100" s="59">
        <f t="shared" si="59"/>
        <v>676.38510874404574</v>
      </c>
      <c r="AN100" s="59">
        <f ca="1">AVERAGE(OFFSET($AM$3,0,0,'Données projet'!$E$10+1,1))-AVERAGE(OFFSET($H$3,0,0,'Données projet'!$E$10+1,1))</f>
        <v>173.80737004674131</v>
      </c>
      <c r="AO100" s="59">
        <f t="shared" si="90"/>
        <v>206.06552061664968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42.079935837824202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42.079935837824202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3</v>
      </c>
      <c r="BD100" s="12">
        <f>IF('Données projet'!$A$88&gt;35,BD99+BC100-BL99,IF(A100&lt;'Données projet'!$A$88,$BA$205^A100,IF(A100='Données projet'!$A$88,'Données projet'!$B$88,BD99+BC100-BL99)))</f>
        <v>246</v>
      </c>
      <c r="BE100" s="13">
        <f>BD100*VLOOKUP('Données projet'!$B$11,Paramètres!$A$1:$I$89,3,0)*VLOOKUP('Données projet'!$B$11,Paramètres!$A$1:$I$89,5,0)</f>
        <v>157.3416</v>
      </c>
      <c r="BF100" s="13">
        <f t="shared" si="91"/>
        <v>40.24232243112715</v>
      </c>
      <c r="BG100" s="20">
        <f t="shared" si="61"/>
        <v>344.12533156754643</v>
      </c>
      <c r="BH100" s="59">
        <f t="shared" si="62"/>
        <v>637.45866490087974</v>
      </c>
      <c r="BI100" s="59">
        <f ca="1">AVERAGE(OFFSET($BH$3,0,0,'Données projet'!$E$11+1,1))-AVERAGE(OFFSET($H$3,0,0,'Données projet'!$E$11+1,1))</f>
        <v>136.80149066064263</v>
      </c>
      <c r="BJ100" s="59">
        <f t="shared" si="92"/>
        <v>148.87330541103535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39.745837981115329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39.745837981115329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88.67039999999993</v>
      </c>
      <c r="D101" s="11">
        <f t="shared" si="86"/>
        <v>24.244280250395491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871.6220931609472</v>
      </c>
      <c r="H101" s="66">
        <f t="shared" si="56"/>
        <v>489.99306810277199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304.99999999999994</v>
      </c>
      <c r="O101" s="13">
        <f>N101*VLOOKUP('Données projet'!$B$9,Paramètres!$A$1:$I$89,3,0)*VLOOKUP('Données projet'!$B$9,Paramètres!$A$1:$I$89,5,0)</f>
        <v>275.96399999999994</v>
      </c>
      <c r="P101" s="13">
        <f t="shared" si="87"/>
        <v>66.113366665488911</v>
      </c>
      <c r="Q101" s="20">
        <f t="shared" si="107"/>
        <v>595.7847469423931</v>
      </c>
      <c r="R101" s="59">
        <f t="shared" si="55"/>
        <v>889.11808027572647</v>
      </c>
      <c r="S101" s="59">
        <f ca="1">AVERAGE(OFFSET($R$3,0,0,'Données projet'!$E$9+1,1))-AVERAGE(OFFSET($H$3,0,0,'Données projet'!$E$9+1,1))</f>
        <v>295.41366969872354</v>
      </c>
      <c r="T101" s="59">
        <f t="shared" si="88"/>
        <v>415.02188573182912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2.17685709338084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2.17685709338084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268.00000000000023</v>
      </c>
      <c r="AJ101" s="13">
        <f>AI101*VLOOKUP('Données projet'!$B$10,Paramètres!$A$1:$I$89,3,0)*VLOOKUP('Données projet'!$B$10,Paramètres!$A$1:$I$89,5,0)</f>
        <v>175.59360000000015</v>
      </c>
      <c r="AK101" s="13">
        <f t="shared" si="89"/>
        <v>44.340433728638573</v>
      </c>
      <c r="AL101" s="20">
        <f t="shared" si="58"/>
        <v>383.05177541071242</v>
      </c>
      <c r="AM101" s="59">
        <f t="shared" si="59"/>
        <v>676.38510874404574</v>
      </c>
      <c r="AN101" s="59">
        <f ca="1">AVERAGE(OFFSET($AM$3,0,0,'Données projet'!$E$10+1,1))-AVERAGE(OFFSET($H$3,0,0,'Données projet'!$E$10+1,1))</f>
        <v>173.80737004674131</v>
      </c>
      <c r="AO101" s="59">
        <f t="shared" si="90"/>
        <v>206.06552061664968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41.254773962271003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41.254773962271003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3</v>
      </c>
      <c r="BD101" s="12">
        <f>IF('Données projet'!$A$88&gt;35,BD100+BC101-BL100,IF(A101&lt;'Données projet'!$A$88,$BA$205^A101,IF(A101='Données projet'!$A$88,'Données projet'!$B$88,BD100+BC101-BL100)))</f>
        <v>249</v>
      </c>
      <c r="BE101" s="13">
        <f>BD101*VLOOKUP('Données projet'!$B$11,Paramètres!$A$1:$I$89,3,0)*VLOOKUP('Données projet'!$B$11,Paramètres!$A$1:$I$89,5,0)</f>
        <v>159.26039999999998</v>
      </c>
      <c r="BF101" s="13">
        <f t="shared" si="91"/>
        <v>40.675651605645328</v>
      </c>
      <c r="BG101" s="20">
        <f t="shared" si="61"/>
        <v>348.22195654649892</v>
      </c>
      <c r="BH101" s="59">
        <f t="shared" si="62"/>
        <v>641.55528987983223</v>
      </c>
      <c r="BI101" s="59">
        <f ca="1">AVERAGE(OFFSET($BH$3,0,0,'Données projet'!$E$11+1,1))-AVERAGE(OFFSET($H$3,0,0,'Données projet'!$E$11+1,1))</f>
        <v>136.80149066064263</v>
      </c>
      <c r="BJ101" s="59">
        <f t="shared" si="92"/>
        <v>148.87330541103535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38.96644634087307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38.96644634087307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89.575199999999924</v>
      </c>
      <c r="D102" s="11">
        <f t="shared" si="86"/>
        <v>24.46274526966867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880.29291085358227</v>
      </c>
      <c r="H102" s="66">
        <f t="shared" si="56"/>
        <v>491.94942134467277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304.99999999999994</v>
      </c>
      <c r="O102" s="13">
        <f>N102*VLOOKUP('Données projet'!$B$9,Paramètres!$A$1:$I$89,3,0)*VLOOKUP('Données projet'!$B$9,Paramètres!$A$1:$I$89,5,0)</f>
        <v>275.96399999999994</v>
      </c>
      <c r="P102" s="13">
        <f t="shared" si="87"/>
        <v>66.113366665488911</v>
      </c>
      <c r="Q102" s="20">
        <f t="shared" si="107"/>
        <v>595.7847469423931</v>
      </c>
      <c r="R102" s="59">
        <f t="shared" si="55"/>
        <v>889.11808027572647</v>
      </c>
      <c r="S102" s="59">
        <f ca="1">AVERAGE(OFFSET($R$3,0,0,'Données projet'!$E$9+1,1))-AVERAGE(OFFSET($H$3,0,0,'Données projet'!$E$9+1,1))</f>
        <v>295.41366969872354</v>
      </c>
      <c r="T102" s="59">
        <f t="shared" si="88"/>
        <v>415.02188573182912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2.134170253531364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2.134170253531364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268.00000000000023</v>
      </c>
      <c r="AJ102" s="13">
        <f>AI102*VLOOKUP('Données projet'!$B$10,Paramètres!$A$1:$I$89,3,0)*VLOOKUP('Données projet'!$B$10,Paramètres!$A$1:$I$89,5,0)</f>
        <v>175.59360000000015</v>
      </c>
      <c r="AK102" s="13">
        <f t="shared" si="89"/>
        <v>44.340433728638573</v>
      </c>
      <c r="AL102" s="20">
        <f t="shared" si="58"/>
        <v>383.05177541071242</v>
      </c>
      <c r="AM102" s="59">
        <f t="shared" si="59"/>
        <v>676.38510874404574</v>
      </c>
      <c r="AN102" s="59">
        <f ca="1">AVERAGE(OFFSET($AM$3,0,0,'Données projet'!$E$10+1,1))-AVERAGE(OFFSET($H$3,0,0,'Données projet'!$E$10+1,1))</f>
        <v>173.80737004674131</v>
      </c>
      <c r="AO102" s="59">
        <f t="shared" si="90"/>
        <v>206.06552061664968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40.445793007798351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40.445793007798351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3</v>
      </c>
      <c r="BD102" s="12">
        <f>IF('Données projet'!$A$88&gt;35,BD101+BC102-BL101,IF(A102&lt;'Données projet'!$A$88,$BA$205^A102,IF(A102='Données projet'!$A$88,'Données projet'!$B$88,BD101+BC102-BL101)))</f>
        <v>252</v>
      </c>
      <c r="BE102" s="13">
        <f>BD102*VLOOKUP('Données projet'!$B$11,Paramètres!$A$1:$I$89,3,0)*VLOOKUP('Données projet'!$B$11,Paramètres!$A$1:$I$89,5,0)</f>
        <v>161.17920000000001</v>
      </c>
      <c r="BF102" s="13">
        <f t="shared" si="91"/>
        <v>41.108373485541968</v>
      </c>
      <c r="BG102" s="20">
        <f t="shared" si="61"/>
        <v>352.31752382065224</v>
      </c>
      <c r="BH102" s="59">
        <f t="shared" si="62"/>
        <v>645.6508571539855</v>
      </c>
      <c r="BI102" s="59">
        <f ca="1">AVERAGE(OFFSET($BH$3,0,0,'Données projet'!$E$11+1,1))-AVERAGE(OFFSET($H$3,0,0,'Données projet'!$E$11+1,1))</f>
        <v>136.80149066064263</v>
      </c>
      <c r="BJ102" s="59">
        <f t="shared" si="92"/>
        <v>148.87330541103535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38.202338095314005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38.202338095314005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90.479999999999919</v>
      </c>
      <c r="D103" s="11">
        <f t="shared" si="86"/>
        <v>24.680953573367983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888.9617468821383</v>
      </c>
      <c r="H103" s="66">
        <f t="shared" si="56"/>
        <v>493.90532747361573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304.99999999999994</v>
      </c>
      <c r="O103" s="13">
        <f>N103*VLOOKUP('Données projet'!$B$9,Paramètres!$A$1:$I$89,3,0)*VLOOKUP('Données projet'!$B$9,Paramètres!$A$1:$I$89,5,0)</f>
        <v>275.96399999999994</v>
      </c>
      <c r="P103" s="13">
        <f t="shared" si="87"/>
        <v>66.113366665488911</v>
      </c>
      <c r="Q103" s="20">
        <f t="shared" si="107"/>
        <v>595.7847469423931</v>
      </c>
      <c r="R103" s="59">
        <f t="shared" si="55"/>
        <v>889.11808027572647</v>
      </c>
      <c r="S103" s="59">
        <f ca="1">AVERAGE(OFFSET($R$3,0,0,'Données projet'!$E$9+1,1))-AVERAGE(OFFSET($H$3,0,0,'Données projet'!$E$9+1,1))</f>
        <v>295.41366969872354</v>
      </c>
      <c r="T103" s="59">
        <f t="shared" si="88"/>
        <v>415.02188573182912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2.092320476574935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2.092320476574935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268.00000000000023</v>
      </c>
      <c r="AJ103" s="13">
        <f>AI103*VLOOKUP('Données projet'!$B$10,Paramètres!$A$1:$I$89,3,0)*VLOOKUP('Données projet'!$B$10,Paramètres!$A$1:$I$89,5,0)</f>
        <v>175.59360000000015</v>
      </c>
      <c r="AK103" s="13">
        <f t="shared" si="89"/>
        <v>44.340433728638573</v>
      </c>
      <c r="AL103" s="20">
        <f t="shared" si="58"/>
        <v>383.05177541071242</v>
      </c>
      <c r="AM103" s="59">
        <f t="shared" si="59"/>
        <v>676.38510874404574</v>
      </c>
      <c r="AN103" s="59">
        <f ca="1">AVERAGE(OFFSET($AM$3,0,0,'Données projet'!$E$10+1,1))-AVERAGE(OFFSET($H$3,0,0,'Données projet'!$E$10+1,1))</f>
        <v>173.80737004674131</v>
      </c>
      <c r="AO103" s="59">
        <f t="shared" si="90"/>
        <v>206.06552061664968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39.652675676413246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39.652675676413246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255</v>
      </c>
      <c r="BB103" s="12">
        <f>VLOOKUP(A103,'Données projet'!$A$87:$I$107,9,0)</f>
        <v>3</v>
      </c>
      <c r="BC103" s="12">
        <f t="array" ref="BC103">INDEX(BB:BB,MIN(IF(ISNUMBER(BB103:BB299),ROW(BB103:BB299),"")))</f>
        <v>3</v>
      </c>
      <c r="BD103" s="12">
        <f>IF('Données projet'!$A$88&gt;35,BD102+BC103-BL102,IF(A103&lt;'Données projet'!$A$88,$BA$205^A103,IF(A103='Données projet'!$A$88,'Données projet'!$B$88,BD102+BC103-BL102)))</f>
        <v>255</v>
      </c>
      <c r="BE103" s="13">
        <f>BD103*VLOOKUP('Données projet'!$B$11,Paramètres!$A$1:$I$89,3,0)*VLOOKUP('Données projet'!$B$11,Paramètres!$A$1:$I$89,5,0)</f>
        <v>163.09800000000001</v>
      </c>
      <c r="BF103" s="13">
        <f t="shared" si="91"/>
        <v>41.540496136845142</v>
      </c>
      <c r="BG103" s="20">
        <f t="shared" si="61"/>
        <v>356.41204743833867</v>
      </c>
      <c r="BH103" s="59">
        <f t="shared" si="62"/>
        <v>649.74538077167199</v>
      </c>
      <c r="BI103" s="59">
        <f ca="1">AVERAGE(OFFSET($BH$3,0,0,'Données projet'!$E$11+1,1))-AVERAGE(OFFSET($H$3,0,0,'Données projet'!$E$11+1,1))</f>
        <v>136.80149066064263</v>
      </c>
      <c r="BJ103" s="59">
        <f t="shared" si="92"/>
        <v>148.87330541103535</v>
      </c>
      <c r="BK103" s="15">
        <f>IF(ISNA(VLOOKUP(A103,'Données projet'!$A$87:$I$107,3,0)),0,VLOOKUP(A103,'Données projet'!$A$87:$I$107,3,0))</f>
        <v>17</v>
      </c>
      <c r="BL103" s="15">
        <f>IF(ISNA(VLOOKUP(A103,'Données projet'!$A$87:$I$107,4,0)),0,VLOOKUP(A103,'Données projet'!$A$87:$I$107,4,0))</f>
        <v>12</v>
      </c>
      <c r="BM103" s="16">
        <f>IF(ISNA(VLOOKUP(A103,'Données projet'!$A$87:$I$107,5,0)),0%,VLOOKUP(A103,'Données projet'!$A$87:$I$107,5,0)*VLOOKUP('Données projet'!$B$11,Paramètres!$A$1:$I$89,7,0))</f>
        <v>0.43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41.101637236896593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41.101637236896593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91.384799999999913</v>
      </c>
      <c r="D104" s="11">
        <f t="shared" si="86"/>
        <v>24.89890802589462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897.62862335778243</v>
      </c>
      <c r="H104" s="66">
        <f t="shared" si="56"/>
        <v>495.86079147843293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304.99999999999994</v>
      </c>
      <c r="O104" s="13">
        <f>N104*VLOOKUP('Données projet'!$B$9,Paramètres!$A$1:$I$89,3,0)*VLOOKUP('Données projet'!$B$9,Paramètres!$A$1:$I$89,5,0)</f>
        <v>275.96399999999994</v>
      </c>
      <c r="P104" s="13">
        <f t="shared" si="87"/>
        <v>66.113366665488911</v>
      </c>
      <c r="Q104" s="20">
        <f t="shared" si="107"/>
        <v>595.7847469423931</v>
      </c>
      <c r="R104" s="59">
        <f t="shared" si="55"/>
        <v>889.11808027572647</v>
      </c>
      <c r="S104" s="59">
        <f ca="1">AVERAGE(OFFSET($R$3,0,0,'Données projet'!$E$9+1,1))-AVERAGE(OFFSET($H$3,0,0,'Données projet'!$E$9+1,1))</f>
        <v>295.41366969872354</v>
      </c>
      <c r="T104" s="59">
        <f t="shared" si="88"/>
        <v>415.02188573182912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2.0512913482187782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2.0512913482187782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268.00000000000023</v>
      </c>
      <c r="AJ104" s="13">
        <f>AI104*VLOOKUP('Données projet'!$B$10,Paramètres!$A$1:$I$89,3,0)*VLOOKUP('Données projet'!$B$10,Paramètres!$A$1:$I$89,5,0)</f>
        <v>175.59360000000015</v>
      </c>
      <c r="AK104" s="13">
        <f t="shared" si="89"/>
        <v>44.340433728638573</v>
      </c>
      <c r="AL104" s="20">
        <f t="shared" si="58"/>
        <v>383.05177541071242</v>
      </c>
      <c r="AM104" s="59">
        <f t="shared" si="59"/>
        <v>676.38510874404574</v>
      </c>
      <c r="AN104" s="59">
        <f ca="1">AVERAGE(OFFSET($AM$3,0,0,'Données projet'!$E$10+1,1))-AVERAGE(OFFSET($H$3,0,0,'Données projet'!$E$10+1,1))</f>
        <v>173.80737004674131</v>
      </c>
      <c r="AO104" s="59">
        <f t="shared" si="90"/>
        <v>206.06552061664968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38.8751108921428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38.8751108921428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243</v>
      </c>
      <c r="BE104" s="13">
        <f>BD104*VLOOKUP('Données projet'!$B$11,Paramètres!$A$1:$I$89,3,0)*VLOOKUP('Données projet'!$B$11,Paramètres!$A$1:$I$89,5,0)</f>
        <v>155.4228</v>
      </c>
      <c r="BF104" s="13">
        <f t="shared" si="91"/>
        <v>39.808377687614154</v>
      </c>
      <c r="BG104" s="20">
        <f t="shared" si="61"/>
        <v>340.02763447259463</v>
      </c>
      <c r="BH104" s="59">
        <f t="shared" si="62"/>
        <v>633.36096780592788</v>
      </c>
      <c r="BI104" s="59">
        <f ca="1">AVERAGE(OFFSET($BH$3,0,0,'Données projet'!$E$11+1,1))-AVERAGE(OFFSET($H$3,0,0,'Données projet'!$E$11+1,1))</f>
        <v>136.80149066064263</v>
      </c>
      <c r="BJ104" s="59">
        <f t="shared" si="92"/>
        <v>148.87330541103535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40.295659200204355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40.295659200204355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92.289599999999908</v>
      </c>
      <c r="D105" s="11">
        <f t="shared" si="86"/>
        <v>25.116611431659525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906.29356192859905</v>
      </c>
      <c r="H105" s="66">
        <f t="shared" si="56"/>
        <v>497.81581824347347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304.99999999999994</v>
      </c>
      <c r="O105" s="13">
        <f>N105*VLOOKUP('Données projet'!$B$9,Paramètres!$A$1:$I$89,3,0)*VLOOKUP('Données projet'!$B$9,Paramètres!$A$1:$I$89,5,0)</f>
        <v>275.96399999999994</v>
      </c>
      <c r="P105" s="13">
        <f t="shared" si="87"/>
        <v>66.113366665488911</v>
      </c>
      <c r="Q105" s="20">
        <f t="shared" si="107"/>
        <v>595.7847469423931</v>
      </c>
      <c r="R105" s="59">
        <f t="shared" si="55"/>
        <v>889.11808027572647</v>
      </c>
      <c r="S105" s="59">
        <f ca="1">AVERAGE(OFFSET($R$3,0,0,'Données projet'!$E$9+1,1))-AVERAGE(OFFSET($H$3,0,0,'Données projet'!$E$9+1,1))</f>
        <v>295.41366969872354</v>
      </c>
      <c r="T105" s="59">
        <f t="shared" si="88"/>
        <v>415.02188573182912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2.0110667760443883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2.0110667760443883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268.00000000000023</v>
      </c>
      <c r="AJ105" s="13">
        <f>AI105*VLOOKUP('Données projet'!$B$10,Paramètres!$A$1:$I$89,3,0)*VLOOKUP('Données projet'!$B$10,Paramètres!$A$1:$I$89,5,0)</f>
        <v>175.59360000000015</v>
      </c>
      <c r="AK105" s="13">
        <f t="shared" si="89"/>
        <v>44.340433728638573</v>
      </c>
      <c r="AL105" s="20">
        <f t="shared" si="58"/>
        <v>383.05177541071242</v>
      </c>
      <c r="AM105" s="59">
        <f t="shared" si="59"/>
        <v>676.38510874404574</v>
      </c>
      <c r="AN105" s="59">
        <f ca="1">AVERAGE(OFFSET($AM$3,0,0,'Données projet'!$E$10+1,1))-AVERAGE(OFFSET($H$3,0,0,'Données projet'!$E$10+1,1))</f>
        <v>173.80737004674131</v>
      </c>
      <c r="AO105" s="59">
        <f t="shared" si="90"/>
        <v>206.06552061664968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38.112793679024207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38.112793679024207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243</v>
      </c>
      <c r="BE105" s="13">
        <f>BD105*VLOOKUP('Données projet'!$B$11,Paramètres!$A$1:$I$89,3,0)*VLOOKUP('Données projet'!$B$11,Paramètres!$A$1:$I$89,5,0)</f>
        <v>155.4228</v>
      </c>
      <c r="BF105" s="13">
        <f t="shared" si="91"/>
        <v>39.808377687614154</v>
      </c>
      <c r="BG105" s="20">
        <f t="shared" si="61"/>
        <v>340.02763447259463</v>
      </c>
      <c r="BH105" s="59">
        <f t="shared" si="62"/>
        <v>633.36096780592788</v>
      </c>
      <c r="BI105" s="59">
        <f ca="1">AVERAGE(OFFSET($BH$3,0,0,'Données projet'!$E$11+1,1))-AVERAGE(OFFSET($H$3,0,0,'Données projet'!$E$11+1,1))</f>
        <v>136.80149066064263</v>
      </c>
      <c r="BJ105" s="59">
        <f t="shared" si="92"/>
        <v>148.87330541103535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39.505485901213589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39.505485901213589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93.194399999999902</v>
      </c>
      <c r="D106" s="11">
        <f t="shared" si="86"/>
        <v>25.334066536915259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914.95658379373106</v>
      </c>
      <c r="H106" s="66">
        <f t="shared" si="56"/>
        <v>499.77041255179387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304.99999999999994</v>
      </c>
      <c r="O106" s="13">
        <f>N106*VLOOKUP('Données projet'!$B$9,Paramètres!$A$1:$I$89,3,0)*VLOOKUP('Données projet'!$B$9,Paramètres!$A$1:$I$89,5,0)</f>
        <v>275.96399999999994</v>
      </c>
      <c r="P106" s="13">
        <f t="shared" si="87"/>
        <v>66.113366665488911</v>
      </c>
      <c r="Q106" s="20">
        <f t="shared" si="107"/>
        <v>595.7847469423931</v>
      </c>
      <c r="R106" s="59">
        <f t="shared" si="55"/>
        <v>889.11808027572647</v>
      </c>
      <c r="S106" s="59">
        <f ca="1">AVERAGE(OFFSET($R$3,0,0,'Données projet'!$E$9+1,1))-AVERAGE(OFFSET($H$3,0,0,'Données projet'!$E$9+1,1))</f>
        <v>295.41366969872354</v>
      </c>
      <c r="T106" s="59">
        <f t="shared" si="88"/>
        <v>415.02188573182912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1.9716309831957717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1.9716309831957717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268.00000000000023</v>
      </c>
      <c r="AJ106" s="13">
        <f>AI106*VLOOKUP('Données projet'!$B$10,Paramètres!$A$1:$I$89,3,0)*VLOOKUP('Données projet'!$B$10,Paramètres!$A$1:$I$89,5,0)</f>
        <v>175.59360000000015</v>
      </c>
      <c r="AK106" s="13">
        <f t="shared" si="89"/>
        <v>44.340433728638573</v>
      </c>
      <c r="AL106" s="20">
        <f t="shared" si="58"/>
        <v>383.05177541071242</v>
      </c>
      <c r="AM106" s="59">
        <f t="shared" si="59"/>
        <v>676.38510874404574</v>
      </c>
      <c r="AN106" s="59">
        <f ca="1">AVERAGE(OFFSET($AM$3,0,0,'Données projet'!$E$10+1,1))-AVERAGE(OFFSET($H$3,0,0,'Données projet'!$E$10+1,1))</f>
        <v>173.80737004674131</v>
      </c>
      <c r="AO106" s="59">
        <f t="shared" si="90"/>
        <v>206.06552061664968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37.365425041487285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37.365425041487285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243</v>
      </c>
      <c r="BE106" s="13">
        <f>BD106*VLOOKUP('Données projet'!$B$11,Paramètres!$A$1:$I$89,3,0)*VLOOKUP('Données projet'!$B$11,Paramètres!$A$1:$I$89,5,0)</f>
        <v>155.4228</v>
      </c>
      <c r="BF106" s="13">
        <f t="shared" si="91"/>
        <v>39.808377687614154</v>
      </c>
      <c r="BG106" s="20">
        <f t="shared" si="61"/>
        <v>340.02763447259463</v>
      </c>
      <c r="BH106" s="59">
        <f t="shared" si="62"/>
        <v>633.36096780592788</v>
      </c>
      <c r="BI106" s="59">
        <f ca="1">AVERAGE(OFFSET($BH$3,0,0,'Données projet'!$E$11+1,1))-AVERAGE(OFFSET($H$3,0,0,'Données projet'!$E$11+1,1))</f>
        <v>136.80149066064263</v>
      </c>
      <c r="BJ106" s="59">
        <f t="shared" si="92"/>
        <v>148.87330541103535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38.730807418657911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38.730807418657911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94.099199999999897</v>
      </c>
      <c r="D107" s="11">
        <f t="shared" si="86"/>
        <v>25.551276031514796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923.61770971695569</v>
      </c>
      <c r="H107" s="66">
        <f t="shared" si="56"/>
        <v>501.72457908822139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304.99999999999994</v>
      </c>
      <c r="O107" s="13">
        <f>N107*VLOOKUP('Données projet'!$B$9,Paramètres!$A$1:$I$89,3,0)*VLOOKUP('Données projet'!$B$9,Paramètres!$A$1:$I$89,5,0)</f>
        <v>275.96399999999994</v>
      </c>
      <c r="P107" s="13">
        <f t="shared" si="87"/>
        <v>66.113366665488911</v>
      </c>
      <c r="Q107" s="20">
        <f t="shared" si="107"/>
        <v>595.7847469423931</v>
      </c>
      <c r="R107" s="59">
        <f t="shared" si="55"/>
        <v>889.11808027572647</v>
      </c>
      <c r="S107" s="59">
        <f ca="1">AVERAGE(OFFSET($R$3,0,0,'Données projet'!$E$9+1,1))-AVERAGE(OFFSET($H$3,0,0,'Données projet'!$E$9+1,1))</f>
        <v>295.41366969872354</v>
      </c>
      <c r="T107" s="59">
        <f t="shared" si="88"/>
        <v>415.02188573182912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1.9329685021914578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1.9329685021914578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268.00000000000023</v>
      </c>
      <c r="AJ107" s="13">
        <f>AI107*VLOOKUP('Données projet'!$B$10,Paramètres!$A$1:$I$89,3,0)*VLOOKUP('Données projet'!$B$10,Paramètres!$A$1:$I$89,5,0)</f>
        <v>175.59360000000015</v>
      </c>
      <c r="AK107" s="13">
        <f t="shared" si="89"/>
        <v>44.340433728638573</v>
      </c>
      <c r="AL107" s="20">
        <f t="shared" si="58"/>
        <v>383.05177541071242</v>
      </c>
      <c r="AM107" s="59">
        <f t="shared" si="59"/>
        <v>676.38510874404574</v>
      </c>
      <c r="AN107" s="59">
        <f ca="1">AVERAGE(OFFSET($AM$3,0,0,'Données projet'!$E$10+1,1))-AVERAGE(OFFSET($H$3,0,0,'Données projet'!$E$10+1,1))</f>
        <v>173.80737004674131</v>
      </c>
      <c r="AO107" s="59">
        <f t="shared" si="90"/>
        <v>206.06552061664968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36.632711847082604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36.632711847082604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243</v>
      </c>
      <c r="BE107" s="13">
        <f>BD107*VLOOKUP('Données projet'!$B$11,Paramètres!$A$1:$I$89,3,0)*VLOOKUP('Données projet'!$B$11,Paramètres!$A$1:$I$89,5,0)</f>
        <v>155.4228</v>
      </c>
      <c r="BF107" s="13">
        <f t="shared" si="91"/>
        <v>39.808377687614154</v>
      </c>
      <c r="BG107" s="20">
        <f t="shared" si="61"/>
        <v>340.02763447259463</v>
      </c>
      <c r="BH107" s="59">
        <f t="shared" si="62"/>
        <v>633.36096780592788</v>
      </c>
      <c r="BI107" s="59">
        <f ca="1">AVERAGE(OFFSET($BH$3,0,0,'Données projet'!$E$11+1,1))-AVERAGE(OFFSET($H$3,0,0,'Données projet'!$E$11+1,1))</f>
        <v>136.80149066064263</v>
      </c>
      <c r="BJ107" s="59">
        <f t="shared" si="92"/>
        <v>148.87330541103535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37.97131990863793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37.97131990863793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95.003999999999891</v>
      </c>
      <c r="D108" s="11">
        <f t="shared" si="86"/>
        <v>25.768242550600739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932.27696003972414</v>
      </c>
      <c r="H108" s="66">
        <f t="shared" si="56"/>
        <v>503.67832244229606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304.99999999999994</v>
      </c>
      <c r="O108" s="13">
        <f>N108*VLOOKUP('Données projet'!$B$9,Paramètres!$A$1:$I$89,3,0)*VLOOKUP('Données projet'!$B$9,Paramètres!$A$1:$I$89,5,0)</f>
        <v>275.96399999999994</v>
      </c>
      <c r="P108" s="13">
        <f t="shared" si="87"/>
        <v>66.113366665488911</v>
      </c>
      <c r="Q108" s="20">
        <f t="shared" si="107"/>
        <v>595.7847469423931</v>
      </c>
      <c r="R108" s="59">
        <f t="shared" si="55"/>
        <v>889.11808027572647</v>
      </c>
      <c r="S108" s="59">
        <f ca="1">AVERAGE(OFFSET($R$3,0,0,'Données projet'!$E$9+1,1))-AVERAGE(OFFSET($H$3,0,0,'Données projet'!$E$9+1,1))</f>
        <v>295.41366969872354</v>
      </c>
      <c r="T108" s="59">
        <f t="shared" si="88"/>
        <v>415.02188573182912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1.8950641688578536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1.8950641688578536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268.00000000000023</v>
      </c>
      <c r="AJ108" s="13">
        <f>AI108*VLOOKUP('Données projet'!$B$10,Paramètres!$A$1:$I$89,3,0)*VLOOKUP('Données projet'!$B$10,Paramètres!$A$1:$I$89,5,0)</f>
        <v>175.59360000000015</v>
      </c>
      <c r="AK108" s="13">
        <f t="shared" si="89"/>
        <v>44.340433728638573</v>
      </c>
      <c r="AL108" s="20">
        <f t="shared" si="58"/>
        <v>383.05177541071242</v>
      </c>
      <c r="AM108" s="59">
        <f t="shared" si="59"/>
        <v>676.38510874404574</v>
      </c>
      <c r="AN108" s="59">
        <f ca="1">AVERAGE(OFFSET($AM$3,0,0,'Données projet'!$E$10+1,1))-AVERAGE(OFFSET($H$3,0,0,'Données projet'!$E$10+1,1))</f>
        <v>173.80737004674131</v>
      </c>
      <c r="AO108" s="59">
        <f t="shared" si="90"/>
        <v>206.06552061664968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35.914366711509281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35.914366711509281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243</v>
      </c>
      <c r="BE108" s="13">
        <f>BD108*VLOOKUP('Données projet'!$B$11,Paramètres!$A$1:$I$89,3,0)*VLOOKUP('Données projet'!$B$11,Paramètres!$A$1:$I$89,5,0)</f>
        <v>155.4228</v>
      </c>
      <c r="BF108" s="13">
        <f t="shared" si="91"/>
        <v>39.808377687614154</v>
      </c>
      <c r="BG108" s="20">
        <f t="shared" si="61"/>
        <v>340.02763447259463</v>
      </c>
      <c r="BH108" s="59">
        <f t="shared" si="62"/>
        <v>633.36096780592788</v>
      </c>
      <c r="BI108" s="59">
        <f ca="1">AVERAGE(OFFSET($BH$3,0,0,'Données projet'!$E$11+1,1))-AVERAGE(OFFSET($H$3,0,0,'Données projet'!$E$11+1,1))</f>
        <v>136.80149066064263</v>
      </c>
      <c r="BJ108" s="59">
        <f t="shared" si="92"/>
        <v>148.87330541103535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37.226725485447801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37.226725485447801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95.908799999999886</v>
      </c>
      <c r="D109" s="11">
        <f t="shared" si="86"/>
        <v>25.984968676228309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940.93435469369126</v>
      </c>
      <c r="H109" s="66">
        <f t="shared" si="56"/>
        <v>505.63164711109744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304.99999999999994</v>
      </c>
      <c r="O109" s="13">
        <f>N109*VLOOKUP('Données projet'!$B$9,Paramètres!$A$1:$I$89,3,0)*VLOOKUP('Données projet'!$B$9,Paramètres!$A$1:$I$89,5,0)</f>
        <v>275.96399999999994</v>
      </c>
      <c r="P109" s="13">
        <f t="shared" si="87"/>
        <v>66.113366665488911</v>
      </c>
      <c r="Q109" s="20">
        <f t="shared" si="107"/>
        <v>595.7847469423931</v>
      </c>
      <c r="R109" s="59">
        <f t="shared" si="55"/>
        <v>889.11808027572647</v>
      </c>
      <c r="S109" s="59">
        <f ca="1">AVERAGE(OFFSET($R$3,0,0,'Données projet'!$E$9+1,1))-AVERAGE(OFFSET($H$3,0,0,'Données projet'!$E$9+1,1))</f>
        <v>295.41366969872354</v>
      </c>
      <c r="T109" s="59">
        <f t="shared" si="88"/>
        <v>415.02188573182912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1.8579031163815609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1.8579031163815609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268.00000000000023</v>
      </c>
      <c r="AJ109" s="13">
        <f>AI109*VLOOKUP('Données projet'!$B$10,Paramètres!$A$1:$I$89,3,0)*VLOOKUP('Données projet'!$B$10,Paramètres!$A$1:$I$89,5,0)</f>
        <v>175.59360000000015</v>
      </c>
      <c r="AK109" s="13">
        <f t="shared" si="89"/>
        <v>44.340433728638573</v>
      </c>
      <c r="AL109" s="20">
        <f t="shared" si="58"/>
        <v>383.05177541071242</v>
      </c>
      <c r="AM109" s="59">
        <f t="shared" si="59"/>
        <v>676.38510874404574</v>
      </c>
      <c r="AN109" s="59">
        <f ca="1">AVERAGE(OFFSET($AM$3,0,0,'Données projet'!$E$10+1,1))-AVERAGE(OFFSET($H$3,0,0,'Données projet'!$E$10+1,1))</f>
        <v>173.80737004674131</v>
      </c>
      <c r="AO109" s="59">
        <f t="shared" si="90"/>
        <v>206.06552061664968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35.21010788589728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35.21010788589728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243</v>
      </c>
      <c r="BE109" s="13">
        <f>BD109*VLOOKUP('Données projet'!$B$11,Paramètres!$A$1:$I$89,3,0)*VLOOKUP('Données projet'!$B$11,Paramètres!$A$1:$I$89,5,0)</f>
        <v>155.4228</v>
      </c>
      <c r="BF109" s="13">
        <f t="shared" si="91"/>
        <v>39.808377687614154</v>
      </c>
      <c r="BG109" s="20">
        <f t="shared" si="61"/>
        <v>340.02763447259463</v>
      </c>
      <c r="BH109" s="59">
        <f t="shared" si="62"/>
        <v>633.36096780592788</v>
      </c>
      <c r="BI109" s="59">
        <f ca="1">AVERAGE(OFFSET($BH$3,0,0,'Données projet'!$E$11+1,1))-AVERAGE(OFFSET($H$3,0,0,'Données projet'!$E$11+1,1))</f>
        <v>136.80149066064263</v>
      </c>
      <c r="BJ109" s="59">
        <f t="shared" si="92"/>
        <v>148.87330541103535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36.496732104738676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36.496732104738676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96.81359999999988</v>
      </c>
      <c r="D110" s="11">
        <f t="shared" si="86"/>
        <v>26.20145693892529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949.58991321275573</v>
      </c>
      <c r="H110" s="66">
        <f t="shared" si="56"/>
        <v>507.58455750196129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304.99999999999994</v>
      </c>
      <c r="O110" s="13">
        <f>N110*VLOOKUP('Données projet'!$B$9,Paramètres!$A$1:$I$89,3,0)*VLOOKUP('Données projet'!$B$9,Paramètres!$A$1:$I$89,5,0)</f>
        <v>275.96399999999994</v>
      </c>
      <c r="P110" s="13">
        <f t="shared" si="87"/>
        <v>66.113366665488911</v>
      </c>
      <c r="Q110" s="20">
        <f t="shared" si="107"/>
        <v>595.7847469423931</v>
      </c>
      <c r="R110" s="59">
        <f t="shared" si="55"/>
        <v>889.11808027572647</v>
      </c>
      <c r="S110" s="59">
        <f ca="1">AVERAGE(OFFSET($R$3,0,0,'Données projet'!$E$9+1,1))-AVERAGE(OFFSET($H$3,0,0,'Données projet'!$E$9+1,1))</f>
        <v>295.41366969872354</v>
      </c>
      <c r="T110" s="59">
        <f t="shared" si="88"/>
        <v>415.02188573182912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1.8214707694783243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1.8214707694783243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268.00000000000023</v>
      </c>
      <c r="AJ110" s="13">
        <f>AI110*VLOOKUP('Données projet'!$B$10,Paramètres!$A$1:$I$89,3,0)*VLOOKUP('Données projet'!$B$10,Paramètres!$A$1:$I$89,5,0)</f>
        <v>175.59360000000015</v>
      </c>
      <c r="AK110" s="13">
        <f t="shared" si="89"/>
        <v>44.340433728638573</v>
      </c>
      <c r="AL110" s="20">
        <f t="shared" si="58"/>
        <v>383.05177541071242</v>
      </c>
      <c r="AM110" s="59">
        <f t="shared" si="59"/>
        <v>676.38510874404574</v>
      </c>
      <c r="AN110" s="59">
        <f ca="1">AVERAGE(OFFSET($AM$3,0,0,'Données projet'!$E$10+1,1))-AVERAGE(OFFSET($H$3,0,0,'Données projet'!$E$10+1,1))</f>
        <v>173.80737004674131</v>
      </c>
      <c r="AO110" s="59">
        <f t="shared" si="90"/>
        <v>206.06552061664968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34.519659146300064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34.519659146300064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243</v>
      </c>
      <c r="BE110" s="13">
        <f>BD110*VLOOKUP('Données projet'!$B$11,Paramètres!$A$1:$I$89,3,0)*VLOOKUP('Données projet'!$B$11,Paramètres!$A$1:$I$89,5,0)</f>
        <v>155.4228</v>
      </c>
      <c r="BF110" s="13">
        <f t="shared" si="91"/>
        <v>39.808377687614154</v>
      </c>
      <c r="BG110" s="20">
        <f t="shared" si="61"/>
        <v>340.02763447259463</v>
      </c>
      <c r="BH110" s="59">
        <f t="shared" si="62"/>
        <v>633.36096780592788</v>
      </c>
      <c r="BI110" s="59">
        <f ca="1">AVERAGE(OFFSET($BH$3,0,0,'Données projet'!$E$11+1,1))-AVERAGE(OFFSET($H$3,0,0,'Données projet'!$E$11+1,1))</f>
        <v>136.80149066064263</v>
      </c>
      <c r="BJ110" s="59">
        <f t="shared" si="92"/>
        <v>148.87330541103535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35.78105344897326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35.78105344897326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97.718399999999875</v>
      </c>
      <c r="D111" s="11">
        <f t="shared" si="86"/>
        <v>26.417709819192172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958.24365474464037</v>
      </c>
      <c r="H111" s="66">
        <f t="shared" si="56"/>
        <v>509.53705793509278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304.99999999999994</v>
      </c>
      <c r="O111" s="13">
        <f>N111*VLOOKUP('Données projet'!$B$9,Paramètres!$A$1:$I$89,3,0)*VLOOKUP('Données projet'!$B$9,Paramètres!$A$1:$I$89,5,0)</f>
        <v>275.96399999999994</v>
      </c>
      <c r="P111" s="13">
        <f t="shared" si="87"/>
        <v>66.113366665488911</v>
      </c>
      <c r="Q111" s="20">
        <f t="shared" si="107"/>
        <v>595.7847469423931</v>
      </c>
      <c r="R111" s="59">
        <f t="shared" si="55"/>
        <v>889.11808027572647</v>
      </c>
      <c r="S111" s="59">
        <f ca="1">AVERAGE(OFFSET($R$3,0,0,'Données projet'!$E$9+1,1))-AVERAGE(OFFSET($H$3,0,0,'Données projet'!$E$9+1,1))</f>
        <v>295.41366969872354</v>
      </c>
      <c r="T111" s="59">
        <f t="shared" si="88"/>
        <v>415.02188573182912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1.7857528386763228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1.7857528386763228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268.00000000000023</v>
      </c>
      <c r="AJ111" s="13">
        <f>AI111*VLOOKUP('Données projet'!$B$10,Paramètres!$A$1:$I$89,3,0)*VLOOKUP('Données projet'!$B$10,Paramètres!$A$1:$I$89,5,0)</f>
        <v>175.59360000000015</v>
      </c>
      <c r="AK111" s="13">
        <f t="shared" si="89"/>
        <v>44.340433728638573</v>
      </c>
      <c r="AL111" s="20">
        <f t="shared" si="58"/>
        <v>383.05177541071242</v>
      </c>
      <c r="AM111" s="59">
        <f t="shared" si="59"/>
        <v>676.38510874404574</v>
      </c>
      <c r="AN111" s="59">
        <f ca="1">AVERAGE(OFFSET($AM$3,0,0,'Données projet'!$E$10+1,1))-AVERAGE(OFFSET($H$3,0,0,'Données projet'!$E$10+1,1))</f>
        <v>173.80737004674131</v>
      </c>
      <c r="AO111" s="59">
        <f t="shared" si="90"/>
        <v>206.06552061664968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33.8427496853542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33.8427496853542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243</v>
      </c>
      <c r="BE111" s="13">
        <f>BD111*VLOOKUP('Données projet'!$B$11,Paramètres!$A$1:$I$89,3,0)*VLOOKUP('Données projet'!$B$11,Paramètres!$A$1:$I$89,5,0)</f>
        <v>155.4228</v>
      </c>
      <c r="BF111" s="13">
        <f t="shared" si="91"/>
        <v>39.808377687614154</v>
      </c>
      <c r="BG111" s="20">
        <f t="shared" si="61"/>
        <v>340.02763447259463</v>
      </c>
      <c r="BH111" s="59">
        <f t="shared" si="62"/>
        <v>633.36096780592788</v>
      </c>
      <c r="BI111" s="59">
        <f ca="1">AVERAGE(OFFSET($BH$3,0,0,'Données projet'!$E$11+1,1))-AVERAGE(OFFSET($H$3,0,0,'Données projet'!$E$11+1,1))</f>
        <v>136.80149066064263</v>
      </c>
      <c r="BJ111" s="59">
        <f t="shared" si="92"/>
        <v>148.87330541103535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35.079408815126527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35.079408815126527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98.623199999999869</v>
      </c>
      <c r="D112" s="11">
        <f t="shared" si="86"/>
        <v>26.633729748944887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966.89559806202988</v>
      </c>
      <c r="H112" s="66">
        <f t="shared" si="56"/>
        <v>511.48915264607876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304.99999999999994</v>
      </c>
      <c r="O112" s="13">
        <f>N112*VLOOKUP('Données projet'!$B$9,Paramètres!$A$1:$I$89,3,0)*VLOOKUP('Données projet'!$B$9,Paramètres!$A$1:$I$89,5,0)</f>
        <v>275.96399999999994</v>
      </c>
      <c r="P112" s="13">
        <f t="shared" si="87"/>
        <v>66.113366665488911</v>
      </c>
      <c r="Q112" s="20">
        <f t="shared" si="107"/>
        <v>595.7847469423931</v>
      </c>
      <c r="R112" s="59">
        <f t="shared" si="55"/>
        <v>889.11808027572647</v>
      </c>
      <c r="S112" s="59">
        <f ca="1">AVERAGE(OFFSET($R$3,0,0,'Données projet'!$E$9+1,1))-AVERAGE(OFFSET($H$3,0,0,'Données projet'!$E$9+1,1))</f>
        <v>295.41366969872354</v>
      </c>
      <c r="T112" s="59">
        <f t="shared" si="88"/>
        <v>415.02188573182912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1.7507353147115621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1.7507353147115621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268.00000000000023</v>
      </c>
      <c r="AJ112" s="13">
        <f>AI112*VLOOKUP('Données projet'!$B$10,Paramètres!$A$1:$I$89,3,0)*VLOOKUP('Données projet'!$B$10,Paramètres!$A$1:$I$89,5,0)</f>
        <v>175.59360000000015</v>
      </c>
      <c r="AK112" s="13">
        <f t="shared" si="89"/>
        <v>44.340433728638573</v>
      </c>
      <c r="AL112" s="20">
        <f t="shared" si="58"/>
        <v>383.05177541071242</v>
      </c>
      <c r="AM112" s="59">
        <f t="shared" si="59"/>
        <v>676.38510874404574</v>
      </c>
      <c r="AN112" s="59">
        <f ca="1">AVERAGE(OFFSET($AM$3,0,0,'Données projet'!$E$10+1,1))-AVERAGE(OFFSET($H$3,0,0,'Données projet'!$E$10+1,1))</f>
        <v>173.80737004674131</v>
      </c>
      <c r="AO112" s="59">
        <f t="shared" si="90"/>
        <v>206.06552061664968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33.179114006063479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33.179114006063479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243</v>
      </c>
      <c r="BE112" s="13">
        <f>BD112*VLOOKUP('Données projet'!$B$11,Paramètres!$A$1:$I$89,3,0)*VLOOKUP('Données projet'!$B$11,Paramètres!$A$1:$I$89,5,0)</f>
        <v>155.4228</v>
      </c>
      <c r="BF112" s="13">
        <f t="shared" si="91"/>
        <v>39.808377687614154</v>
      </c>
      <c r="BG112" s="20">
        <f t="shared" si="61"/>
        <v>340.02763447259463</v>
      </c>
      <c r="BH112" s="59">
        <f t="shared" si="62"/>
        <v>633.36096780592788</v>
      </c>
      <c r="BI112" s="59">
        <f ca="1">AVERAGE(OFFSET($BH$3,0,0,'Données projet'!$E$11+1,1))-AVERAGE(OFFSET($H$3,0,0,'Données projet'!$E$11+1,1))</f>
        <v>136.80149066064263</v>
      </c>
      <c r="BJ112" s="59">
        <f t="shared" si="92"/>
        <v>148.87330541103535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34.391523004588564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34.391523004588564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99.527999999999864</v>
      </c>
      <c r="D113" s="11">
        <f t="shared" si="86"/>
        <v>26.849519112903298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975.54576157328768</v>
      </c>
      <c r="H113" s="66">
        <f t="shared" si="56"/>
        <v>513.44084578830632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304.99999999999994</v>
      </c>
      <c r="O113" s="13">
        <f>N113*VLOOKUP('Données projet'!$B$9,Paramètres!$A$1:$I$89,3,0)*VLOOKUP('Données projet'!$B$9,Paramètres!$A$1:$I$89,5,0)</f>
        <v>275.96399999999994</v>
      </c>
      <c r="P113" s="13">
        <f t="shared" si="87"/>
        <v>66.113366665488911</v>
      </c>
      <c r="Q113" s="20">
        <f t="shared" si="107"/>
        <v>595.7847469423931</v>
      </c>
      <c r="R113" s="59">
        <f t="shared" si="55"/>
        <v>889.11808027572647</v>
      </c>
      <c r="S113" s="59">
        <f ca="1">AVERAGE(OFFSET($R$3,0,0,'Données projet'!$E$9+1,1))-AVERAGE(OFFSET($H$3,0,0,'Données projet'!$E$9+1,1))</f>
        <v>295.41366969872354</v>
      </c>
      <c r="T113" s="59">
        <f t="shared" si="88"/>
        <v>415.02188573182912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1.7164044630331696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1.7164044630331696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268.00000000000023</v>
      </c>
      <c r="AJ113" s="13">
        <f>AI113*VLOOKUP('Données projet'!$B$10,Paramètres!$A$1:$I$89,3,0)*VLOOKUP('Données projet'!$B$10,Paramètres!$A$1:$I$89,5,0)</f>
        <v>175.59360000000015</v>
      </c>
      <c r="AK113" s="13">
        <f t="shared" si="89"/>
        <v>44.340433728638573</v>
      </c>
      <c r="AL113" s="20">
        <f t="shared" si="58"/>
        <v>383.05177541071242</v>
      </c>
      <c r="AM113" s="59">
        <f t="shared" si="59"/>
        <v>676.38510874404574</v>
      </c>
      <c r="AN113" s="59">
        <f ca="1">AVERAGE(OFFSET($AM$3,0,0,'Données projet'!$E$10+1,1))-AVERAGE(OFFSET($H$3,0,0,'Données projet'!$E$10+1,1))</f>
        <v>173.80737004674131</v>
      </c>
      <c r="AO113" s="59">
        <f t="shared" si="90"/>
        <v>206.06552061664968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32.528491817665852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32.528491817665852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243</v>
      </c>
      <c r="BE113" s="13">
        <f>BD113*VLOOKUP('Données projet'!$B$11,Paramètres!$A$1:$I$89,3,0)*VLOOKUP('Données projet'!$B$11,Paramètres!$A$1:$I$89,5,0)</f>
        <v>155.4228</v>
      </c>
      <c r="BF113" s="13">
        <f t="shared" si="91"/>
        <v>39.808377687614154</v>
      </c>
      <c r="BG113" s="20">
        <f t="shared" si="61"/>
        <v>340.02763447259463</v>
      </c>
      <c r="BH113" s="59">
        <f t="shared" si="62"/>
        <v>633.36096780592788</v>
      </c>
      <c r="BI113" s="59">
        <f ca="1">AVERAGE(OFFSET($BH$3,0,0,'Données projet'!$E$11+1,1))-AVERAGE(OFFSET($H$3,0,0,'Données projet'!$E$11+1,1))</f>
        <v>136.80149066064263</v>
      </c>
      <c r="BJ113" s="59">
        <f t="shared" si="92"/>
        <v>148.87330541103535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33.71712621522633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33.71712621522633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100.43279999999986</v>
      </c>
      <c r="D114" s="11">
        <f t="shared" si="86"/>
        <v>27.06508024992765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984.19416333277388</v>
      </c>
      <c r="H114" s="66">
        <f t="shared" si="56"/>
        <v>515.39214143529034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304.99999999999994</v>
      </c>
      <c r="O114" s="13">
        <f>N114*VLOOKUP('Données projet'!$B$9,Paramètres!$A$1:$I$89,3,0)*VLOOKUP('Données projet'!$B$9,Paramètres!$A$1:$I$89,5,0)</f>
        <v>275.96399999999994</v>
      </c>
      <c r="P114" s="13">
        <f t="shared" si="87"/>
        <v>66.113366665488911</v>
      </c>
      <c r="Q114" s="20">
        <f t="shared" si="107"/>
        <v>595.7847469423931</v>
      </c>
      <c r="R114" s="59">
        <f t="shared" si="55"/>
        <v>889.11808027572647</v>
      </c>
      <c r="S114" s="59">
        <f ca="1">AVERAGE(OFFSET($R$3,0,0,'Données projet'!$E$9+1,1))-AVERAGE(OFFSET($H$3,0,0,'Données projet'!$E$9+1,1))</f>
        <v>295.41366969872354</v>
      </c>
      <c r="T114" s="59">
        <f t="shared" si="88"/>
        <v>415.02188573182912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1.6827468184164385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1.6827468184164385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268.00000000000023</v>
      </c>
      <c r="AJ114" s="13">
        <f>AI114*VLOOKUP('Données projet'!$B$10,Paramètres!$A$1:$I$89,3,0)*VLOOKUP('Données projet'!$B$10,Paramètres!$A$1:$I$89,5,0)</f>
        <v>175.59360000000015</v>
      </c>
      <c r="AK114" s="13">
        <f t="shared" si="89"/>
        <v>44.340433728638573</v>
      </c>
      <c r="AL114" s="20">
        <f t="shared" si="58"/>
        <v>383.05177541071242</v>
      </c>
      <c r="AM114" s="59">
        <f t="shared" si="59"/>
        <v>676.38510874404574</v>
      </c>
      <c r="AN114" s="59">
        <f ca="1">AVERAGE(OFFSET($AM$3,0,0,'Données projet'!$E$10+1,1))-AVERAGE(OFFSET($H$3,0,0,'Données projet'!$E$10+1,1))</f>
        <v>173.80737004674131</v>
      </c>
      <c r="AO114" s="59">
        <f t="shared" si="90"/>
        <v>206.06552061664968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31.890627933542355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31.890627933542355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243</v>
      </c>
      <c r="BE114" s="13">
        <f>BD114*VLOOKUP('Données projet'!$B$11,Paramètres!$A$1:$I$89,3,0)*VLOOKUP('Données projet'!$B$11,Paramètres!$A$1:$I$89,5,0)</f>
        <v>155.4228</v>
      </c>
      <c r="BF114" s="13">
        <f t="shared" si="91"/>
        <v>39.808377687614154</v>
      </c>
      <c r="BG114" s="20">
        <f t="shared" si="61"/>
        <v>340.02763447259463</v>
      </c>
      <c r="BH114" s="59">
        <f t="shared" si="62"/>
        <v>633.36096780592788</v>
      </c>
      <c r="BI114" s="59">
        <f ca="1">AVERAGE(OFFSET($BH$3,0,0,'Données projet'!$E$11+1,1))-AVERAGE(OFFSET($H$3,0,0,'Données projet'!$E$11+1,1))</f>
        <v>136.80149066064263</v>
      </c>
      <c r="BJ114" s="59">
        <f t="shared" si="92"/>
        <v>148.87330541103535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33.055953935562066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33.055953935562066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101.33759999999985</v>
      </c>
      <c r="D115" s="11">
        <f t="shared" si="86"/>
        <v>27.280415454305516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992.84082105077835</v>
      </c>
      <c r="H115" s="66">
        <f t="shared" si="56"/>
        <v>517.34304358291524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304.99999999999994</v>
      </c>
      <c r="O115" s="13">
        <f>N115*VLOOKUP('Données projet'!$B$9,Paramètres!$A$1:$I$89,3,0)*VLOOKUP('Données projet'!$B$9,Paramètres!$A$1:$I$89,5,0)</f>
        <v>275.96399999999994</v>
      </c>
      <c r="P115" s="13">
        <f t="shared" si="87"/>
        <v>66.113366665488911</v>
      </c>
      <c r="Q115" s="20">
        <f t="shared" si="107"/>
        <v>595.7847469423931</v>
      </c>
      <c r="R115" s="59">
        <f t="shared" si="55"/>
        <v>889.11808027572647</v>
      </c>
      <c r="S115" s="59">
        <f ca="1">AVERAGE(OFFSET($R$3,0,0,'Données projet'!$E$9+1,1))-AVERAGE(OFFSET($H$3,0,0,'Données projet'!$E$9+1,1))</f>
        <v>295.41366969872354</v>
      </c>
      <c r="T115" s="59">
        <f t="shared" si="88"/>
        <v>415.02188573182912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1.6497491796815054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1.6497491796815054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268.00000000000023</v>
      </c>
      <c r="AJ115" s="13">
        <f>AI115*VLOOKUP('Données projet'!$B$10,Paramètres!$A$1:$I$89,3,0)*VLOOKUP('Données projet'!$B$10,Paramètres!$A$1:$I$89,5,0)</f>
        <v>175.59360000000015</v>
      </c>
      <c r="AK115" s="13">
        <f t="shared" si="89"/>
        <v>44.340433728638573</v>
      </c>
      <c r="AL115" s="20">
        <f t="shared" si="58"/>
        <v>383.05177541071242</v>
      </c>
      <c r="AM115" s="59">
        <f t="shared" si="59"/>
        <v>676.38510874404574</v>
      </c>
      <c r="AN115" s="59">
        <f ca="1">AVERAGE(OFFSET($AM$3,0,0,'Données projet'!$E$10+1,1))-AVERAGE(OFFSET($H$3,0,0,'Données projet'!$E$10+1,1))</f>
        <v>173.80737004674131</v>
      </c>
      <c r="AO115" s="59">
        <f t="shared" si="90"/>
        <v>206.06552061664968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31.265272171127965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31.265272171127965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243</v>
      </c>
      <c r="BE115" s="13">
        <f>BD115*VLOOKUP('Données projet'!$B$11,Paramètres!$A$1:$I$89,3,0)*VLOOKUP('Données projet'!$B$11,Paramètres!$A$1:$I$89,5,0)</f>
        <v>155.4228</v>
      </c>
      <c r="BF115" s="13">
        <f t="shared" si="91"/>
        <v>39.808377687614154</v>
      </c>
      <c r="BG115" s="20">
        <f t="shared" si="61"/>
        <v>340.02763447259463</v>
      </c>
      <c r="BH115" s="59">
        <f t="shared" si="62"/>
        <v>633.36096780592788</v>
      </c>
      <c r="BI115" s="59">
        <f ca="1">AVERAGE(OFFSET($BH$3,0,0,'Données projet'!$E$11+1,1))-AVERAGE(OFFSET($H$3,0,0,'Données projet'!$E$11+1,1))</f>
        <v>136.80149066064263</v>
      </c>
      <c r="BJ115" s="59">
        <f t="shared" si="92"/>
        <v>148.87330541103535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32.40774684102675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32.40774684102675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102.24239999999985</v>
      </c>
      <c r="D116" s="11">
        <f t="shared" si="86"/>
        <v>27.495526976991435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1001.4857521030905</v>
      </c>
      <c r="H116" s="66">
        <f t="shared" si="56"/>
        <v>519.29355615159307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304.99999999999994</v>
      </c>
      <c r="O116" s="13">
        <f>N116*VLOOKUP('Données projet'!$B$9,Paramètres!$A$1:$I$89,3,0)*VLOOKUP('Données projet'!$B$9,Paramètres!$A$1:$I$89,5,0)</f>
        <v>275.96399999999994</v>
      </c>
      <c r="P116" s="13">
        <f t="shared" si="87"/>
        <v>66.113366665488911</v>
      </c>
      <c r="Q116" s="20">
        <f t="shared" si="107"/>
        <v>595.7847469423931</v>
      </c>
      <c r="R116" s="59">
        <f t="shared" si="55"/>
        <v>889.11808027572647</v>
      </c>
      <c r="S116" s="59">
        <f ca="1">AVERAGE(OFFSET($R$3,0,0,'Données projet'!$E$9+1,1))-AVERAGE(OFFSET($H$3,0,0,'Données projet'!$E$9+1,1))</f>
        <v>295.41366969872354</v>
      </c>
      <c r="T116" s="59">
        <f t="shared" si="88"/>
        <v>415.02188573182912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1.6173986045155919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1.6173986045155919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268.00000000000023</v>
      </c>
      <c r="AJ116" s="13">
        <f>AI116*VLOOKUP('Données projet'!$B$10,Paramètres!$A$1:$I$89,3,0)*VLOOKUP('Données projet'!$B$10,Paramètres!$A$1:$I$89,5,0)</f>
        <v>175.59360000000015</v>
      </c>
      <c r="AK116" s="13">
        <f t="shared" si="89"/>
        <v>44.340433728638573</v>
      </c>
      <c r="AL116" s="20">
        <f t="shared" si="58"/>
        <v>383.05177541071242</v>
      </c>
      <c r="AM116" s="59">
        <f t="shared" si="59"/>
        <v>676.38510874404574</v>
      </c>
      <c r="AN116" s="59">
        <f ca="1">AVERAGE(OFFSET($AM$3,0,0,'Données projet'!$E$10+1,1))-AVERAGE(OFFSET($H$3,0,0,'Données projet'!$E$10+1,1))</f>
        <v>173.80737004674131</v>
      </c>
      <c r="AO116" s="59">
        <f t="shared" si="90"/>
        <v>206.06552061664968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30.652179253785171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30.652179253785171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243</v>
      </c>
      <c r="BE116" s="13">
        <f>BD116*VLOOKUP('Données projet'!$B$11,Paramètres!$A$1:$I$89,3,0)*VLOOKUP('Données projet'!$B$11,Paramètres!$A$1:$I$89,5,0)</f>
        <v>155.4228</v>
      </c>
      <c r="BF116" s="13">
        <f t="shared" si="91"/>
        <v>39.808377687614154</v>
      </c>
      <c r="BG116" s="20">
        <f t="shared" si="61"/>
        <v>340.02763447259463</v>
      </c>
      <c r="BH116" s="59">
        <f t="shared" si="62"/>
        <v>633.36096780592788</v>
      </c>
      <c r="BI116" s="59">
        <f ca="1">AVERAGE(OFFSET($BH$3,0,0,'Données projet'!$E$11+1,1))-AVERAGE(OFFSET($H$3,0,0,'Données projet'!$E$11+1,1))</f>
        <v>136.80149066064263</v>
      </c>
      <c r="BJ116" s="59">
        <f t="shared" si="92"/>
        <v>148.87330541103535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31.772250692247983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31.772250692247983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103.14719999999984</v>
      </c>
      <c r="D117" s="11">
        <f t="shared" si="86"/>
        <v>27.710417026801426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1010.1289735402205</v>
      </c>
      <c r="H117" s="66">
        <f t="shared" si="56"/>
        <v>521.24368298834554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304.99999999999994</v>
      </c>
      <c r="O117" s="13">
        <f>N117*VLOOKUP('Données projet'!$B$9,Paramètres!$A$1:$I$89,3,0)*VLOOKUP('Données projet'!$B$9,Paramètres!$A$1:$I$89,5,0)</f>
        <v>275.96399999999994</v>
      </c>
      <c r="P117" s="13">
        <f t="shared" si="87"/>
        <v>66.113366665488911</v>
      </c>
      <c r="Q117" s="20">
        <f t="shared" si="107"/>
        <v>595.7847469423931</v>
      </c>
      <c r="R117" s="59">
        <f t="shared" si="55"/>
        <v>889.11808027572647</v>
      </c>
      <c r="S117" s="59">
        <f ca="1">AVERAGE(OFFSET($R$3,0,0,'Données projet'!$E$9+1,1))-AVERAGE(OFFSET($H$3,0,0,'Données projet'!$E$9+1,1))</f>
        <v>295.41366969872354</v>
      </c>
      <c r="T117" s="59">
        <f t="shared" si="88"/>
        <v>415.02188573182912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1.5856824043967797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1.5856824043967797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268.00000000000023</v>
      </c>
      <c r="AJ117" s="13">
        <f>AI117*VLOOKUP('Données projet'!$B$10,Paramètres!$A$1:$I$89,3,0)*VLOOKUP('Données projet'!$B$10,Paramètres!$A$1:$I$89,5,0)</f>
        <v>175.59360000000015</v>
      </c>
      <c r="AK117" s="13">
        <f t="shared" si="89"/>
        <v>44.340433728638573</v>
      </c>
      <c r="AL117" s="20">
        <f t="shared" si="58"/>
        <v>383.05177541071242</v>
      </c>
      <c r="AM117" s="59">
        <f t="shared" si="59"/>
        <v>676.38510874404574</v>
      </c>
      <c r="AN117" s="59">
        <f ca="1">AVERAGE(OFFSET($AM$3,0,0,'Données projet'!$E$10+1,1))-AVERAGE(OFFSET($H$3,0,0,'Données projet'!$E$10+1,1))</f>
        <v>173.80737004674131</v>
      </c>
      <c r="AO117" s="59">
        <f t="shared" si="90"/>
        <v>206.06552061664968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30.051108714601714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30.051108714601714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243</v>
      </c>
      <c r="BE117" s="13">
        <f>BD117*VLOOKUP('Données projet'!$B$11,Paramètres!$A$1:$I$89,3,0)*VLOOKUP('Données projet'!$B$11,Paramètres!$A$1:$I$89,5,0)</f>
        <v>155.4228</v>
      </c>
      <c r="BF117" s="13">
        <f t="shared" si="91"/>
        <v>39.808377687614154</v>
      </c>
      <c r="BG117" s="20">
        <f t="shared" si="61"/>
        <v>340.02763447259463</v>
      </c>
      <c r="BH117" s="59">
        <f t="shared" si="62"/>
        <v>633.36096780592788</v>
      </c>
      <c r="BI117" s="59">
        <f ca="1">AVERAGE(OFFSET($BH$3,0,0,'Données projet'!$E$11+1,1))-AVERAGE(OFFSET($H$3,0,0,'Données projet'!$E$11+1,1))</f>
        <v>136.80149066064263</v>
      </c>
      <c r="BJ117" s="59">
        <f t="shared" si="92"/>
        <v>148.87330541103535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31.149216235332389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31.149216235332389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104.05199999999984</v>
      </c>
      <c r="D118" s="11">
        <f t="shared" si="86"/>
        <v>27.925087771564368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1018.7705020962852</v>
      </c>
      <c r="H118" s="66">
        <f t="shared" si="56"/>
        <v>523.1934278688077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304.99999999999994</v>
      </c>
      <c r="O118" s="13">
        <f>N118*VLOOKUP('Données projet'!$B$9,Paramètres!$A$1:$I$89,3,0)*VLOOKUP('Données projet'!$B$9,Paramètres!$A$1:$I$89,5,0)</f>
        <v>275.96399999999994</v>
      </c>
      <c r="P118" s="13">
        <f t="shared" si="87"/>
        <v>66.113366665488911</v>
      </c>
      <c r="Q118" s="20">
        <f t="shared" si="107"/>
        <v>595.7847469423931</v>
      </c>
      <c r="R118" s="59">
        <f t="shared" si="55"/>
        <v>889.11808027572647</v>
      </c>
      <c r="S118" s="59">
        <f ca="1">AVERAGE(OFFSET($R$3,0,0,'Données projet'!$E$9+1,1))-AVERAGE(OFFSET($H$3,0,0,'Données projet'!$E$9+1,1))</f>
        <v>295.41366969872354</v>
      </c>
      <c r="T118" s="59">
        <f t="shared" si="88"/>
        <v>415.02188573182912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1.5545881396173253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1.5545881396173253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268.00000000000023</v>
      </c>
      <c r="AJ118" s="13">
        <f>AI118*VLOOKUP('Données projet'!$B$10,Paramètres!$A$1:$I$89,3,0)*VLOOKUP('Données projet'!$B$10,Paramètres!$A$1:$I$89,5,0)</f>
        <v>175.59360000000015</v>
      </c>
      <c r="AK118" s="13">
        <f t="shared" si="89"/>
        <v>44.340433728638573</v>
      </c>
      <c r="AL118" s="20">
        <f t="shared" si="58"/>
        <v>383.05177541071242</v>
      </c>
      <c r="AM118" s="59">
        <f t="shared" si="59"/>
        <v>676.38510874404574</v>
      </c>
      <c r="AN118" s="59">
        <f ca="1">AVERAGE(OFFSET($AM$3,0,0,'Données projet'!$E$10+1,1))-AVERAGE(OFFSET($H$3,0,0,'Données projet'!$E$10+1,1))</f>
        <v>173.80737004674131</v>
      </c>
      <c r="AO118" s="59">
        <f t="shared" si="90"/>
        <v>206.06552061664968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29.461824802074815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29.461824802074815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243</v>
      </c>
      <c r="BE118" s="13">
        <f>BD118*VLOOKUP('Données projet'!$B$11,Paramètres!$A$1:$I$89,3,0)*VLOOKUP('Données projet'!$B$11,Paramètres!$A$1:$I$89,5,0)</f>
        <v>155.4228</v>
      </c>
      <c r="BF118" s="13">
        <f t="shared" si="91"/>
        <v>39.808377687614154</v>
      </c>
      <c r="BG118" s="20">
        <f t="shared" si="61"/>
        <v>340.02763447259463</v>
      </c>
      <c r="BH118" s="59">
        <f t="shared" si="62"/>
        <v>633.36096780592788</v>
      </c>
      <c r="BI118" s="59">
        <f ca="1">AVERAGE(OFFSET($BH$3,0,0,'Données projet'!$E$11+1,1))-AVERAGE(OFFSET($H$3,0,0,'Données projet'!$E$11+1,1))</f>
        <v>136.80149066064263</v>
      </c>
      <c r="BJ118" s="59">
        <f t="shared" si="92"/>
        <v>148.87330541103535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30.538399104103416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30.538399104103416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104.95679999999983</v>
      </c>
      <c r="D119" s="11">
        <f t="shared" si="86"/>
        <v>28.139541339232348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1027.4103541975817</v>
      </c>
      <c r="H119" s="66">
        <f t="shared" si="56"/>
        <v>525.14279449916262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304.99999999999994</v>
      </c>
      <c r="O119" s="13">
        <f>N119*VLOOKUP('Données projet'!$B$9,Paramètres!$A$1:$I$89,3,0)*VLOOKUP('Données projet'!$B$9,Paramètres!$A$1:$I$89,5,0)</f>
        <v>275.96399999999994</v>
      </c>
      <c r="P119" s="13">
        <f t="shared" si="87"/>
        <v>66.113366665488911</v>
      </c>
      <c r="Q119" s="20">
        <f t="shared" si="107"/>
        <v>595.7847469423931</v>
      </c>
      <c r="R119" s="59">
        <f t="shared" si="55"/>
        <v>889.11808027572647</v>
      </c>
      <c r="S119" s="59">
        <f ca="1">AVERAGE(OFFSET($R$3,0,0,'Données projet'!$E$9+1,1))-AVERAGE(OFFSET($H$3,0,0,'Données projet'!$E$9+1,1))</f>
        <v>295.41366969872354</v>
      </c>
      <c r="T119" s="59">
        <f t="shared" si="88"/>
        <v>415.02188573182912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1.5241036144045672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1.5241036144045672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268.00000000000023</v>
      </c>
      <c r="AJ119" s="13">
        <f>AI119*VLOOKUP('Données projet'!$B$10,Paramètres!$A$1:$I$89,3,0)*VLOOKUP('Données projet'!$B$10,Paramètres!$A$1:$I$89,5,0)</f>
        <v>175.59360000000015</v>
      </c>
      <c r="AK119" s="13">
        <f t="shared" si="89"/>
        <v>44.340433728638573</v>
      </c>
      <c r="AL119" s="20">
        <f t="shared" si="58"/>
        <v>383.05177541071242</v>
      </c>
      <c r="AM119" s="59">
        <f t="shared" si="59"/>
        <v>676.38510874404574</v>
      </c>
      <c r="AN119" s="59">
        <f ca="1">AVERAGE(OFFSET($AM$3,0,0,'Données projet'!$E$10+1,1))-AVERAGE(OFFSET($H$3,0,0,'Données projet'!$E$10+1,1))</f>
        <v>173.80737004674131</v>
      </c>
      <c r="AO119" s="59">
        <f t="shared" si="90"/>
        <v>206.06552061664968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28.884096387644874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28.884096387644874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243</v>
      </c>
      <c r="BE119" s="13">
        <f>BD119*VLOOKUP('Données projet'!$B$11,Paramètres!$A$1:$I$89,3,0)*VLOOKUP('Données projet'!$B$11,Paramètres!$A$1:$I$89,5,0)</f>
        <v>155.4228</v>
      </c>
      <c r="BF119" s="13">
        <f t="shared" si="91"/>
        <v>39.808377687614154</v>
      </c>
      <c r="BG119" s="20">
        <f t="shared" si="61"/>
        <v>340.02763447259463</v>
      </c>
      <c r="BH119" s="59">
        <f t="shared" si="62"/>
        <v>633.36096780592788</v>
      </c>
      <c r="BI119" s="59">
        <f ca="1">AVERAGE(OFFSET($BH$3,0,0,'Données projet'!$E$11+1,1))-AVERAGE(OFFSET($H$3,0,0,'Données projet'!$E$11+1,1))</f>
        <v>136.80149066064263</v>
      </c>
      <c r="BJ119" s="59">
        <f t="shared" si="92"/>
        <v>148.87330541103535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29.939559724256178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29.939559724256178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105.86159999999983</v>
      </c>
      <c r="D120" s="11">
        <f t="shared" si="86"/>
        <v>28.353779818951264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1036.0485459708505</v>
      </c>
      <c r="H120" s="66">
        <f t="shared" si="56"/>
        <v>527.09178651800642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304.99999999999994</v>
      </c>
      <c r="O120" s="13">
        <f>N120*VLOOKUP('Données projet'!$B$9,Paramètres!$A$1:$I$89,3,0)*VLOOKUP('Données projet'!$B$9,Paramètres!$A$1:$I$89,5,0)</f>
        <v>275.96399999999994</v>
      </c>
      <c r="P120" s="13">
        <f t="shared" si="87"/>
        <v>66.113366665488911</v>
      </c>
      <c r="Q120" s="20">
        <f t="shared" si="107"/>
        <v>595.7847469423931</v>
      </c>
      <c r="R120" s="59">
        <f t="shared" si="55"/>
        <v>889.11808027572647</v>
      </c>
      <c r="S120" s="59">
        <f ca="1">AVERAGE(OFFSET($R$3,0,0,'Données projet'!$E$9+1,1))-AVERAGE(OFFSET($H$3,0,0,'Données projet'!$E$9+1,1))</f>
        <v>295.41366969872354</v>
      </c>
      <c r="T120" s="59">
        <f t="shared" si="88"/>
        <v>415.02188573182912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1.4942168721375069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1.4942168721375069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268.00000000000023</v>
      </c>
      <c r="AJ120" s="13">
        <f>AI120*VLOOKUP('Données projet'!$B$10,Paramètres!$A$1:$I$89,3,0)*VLOOKUP('Données projet'!$B$10,Paramètres!$A$1:$I$89,5,0)</f>
        <v>175.59360000000015</v>
      </c>
      <c r="AK120" s="13">
        <f t="shared" si="89"/>
        <v>44.340433728638573</v>
      </c>
      <c r="AL120" s="20">
        <f t="shared" si="58"/>
        <v>383.05177541071242</v>
      </c>
      <c r="AM120" s="59">
        <f t="shared" si="59"/>
        <v>676.38510874404574</v>
      </c>
      <c r="AN120" s="59">
        <f ca="1">AVERAGE(OFFSET($AM$3,0,0,'Données projet'!$E$10+1,1))-AVERAGE(OFFSET($H$3,0,0,'Données projet'!$E$10+1,1))</f>
        <v>173.80737004674131</v>
      </c>
      <c r="AO120" s="59">
        <f t="shared" si="90"/>
        <v>206.06552061664968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28.317696875042365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28.317696875042365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243</v>
      </c>
      <c r="BE120" s="13">
        <f>BD120*VLOOKUP('Données projet'!$B$11,Paramètres!$A$1:$I$89,3,0)*VLOOKUP('Données projet'!$B$11,Paramètres!$A$1:$I$89,5,0)</f>
        <v>155.4228</v>
      </c>
      <c r="BF120" s="13">
        <f t="shared" si="91"/>
        <v>39.808377687614154</v>
      </c>
      <c r="BG120" s="20">
        <f t="shared" si="61"/>
        <v>340.02763447259463</v>
      </c>
      <c r="BH120" s="59">
        <f t="shared" si="62"/>
        <v>633.36096780592788</v>
      </c>
      <c r="BI120" s="59">
        <f ca="1">AVERAGE(OFFSET($BH$3,0,0,'Données projet'!$E$11+1,1))-AVERAGE(OFFSET($H$3,0,0,'Données projet'!$E$11+1,1))</f>
        <v>136.80149066064263</v>
      </c>
      <c r="BJ120" s="59">
        <f t="shared" si="92"/>
        <v>148.87330541103535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29.35246321939179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29.35246321939179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106.76639999999982</v>
      </c>
      <c r="D121" s="11">
        <f t="shared" si="86"/>
        <v>28.567805262094151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1044.6850932512518</v>
      </c>
      <c r="H121" s="66">
        <f t="shared" si="56"/>
        <v>529.04040749814703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304.99999999999994</v>
      </c>
      <c r="O121" s="13">
        <f>N121*VLOOKUP('Données projet'!$B$9,Paramètres!$A$1:$I$89,3,0)*VLOOKUP('Données projet'!$B$9,Paramètres!$A$1:$I$89,5,0)</f>
        <v>275.96399999999994</v>
      </c>
      <c r="P121" s="13">
        <f t="shared" si="87"/>
        <v>66.113366665488911</v>
      </c>
      <c r="Q121" s="20">
        <f t="shared" si="107"/>
        <v>595.7847469423931</v>
      </c>
      <c r="R121" s="59">
        <f t="shared" si="55"/>
        <v>889.11808027572647</v>
      </c>
      <c r="S121" s="59">
        <f ca="1">AVERAGE(OFFSET($R$3,0,0,'Données projet'!$E$9+1,1))-AVERAGE(OFFSET($H$3,0,0,'Données projet'!$E$9+1,1))</f>
        <v>295.41366969872354</v>
      </c>
      <c r="T121" s="59">
        <f t="shared" si="88"/>
        <v>415.02188573182912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1.4649161906571908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1.4649161906571908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268.00000000000023</v>
      </c>
      <c r="AJ121" s="13">
        <f>AI121*VLOOKUP('Données projet'!$B$10,Paramètres!$A$1:$I$89,3,0)*VLOOKUP('Données projet'!$B$10,Paramètres!$A$1:$I$89,5,0)</f>
        <v>175.59360000000015</v>
      </c>
      <c r="AK121" s="13">
        <f t="shared" si="89"/>
        <v>44.340433728638573</v>
      </c>
      <c r="AL121" s="20">
        <f t="shared" si="58"/>
        <v>383.05177541071242</v>
      </c>
      <c r="AM121" s="59">
        <f t="shared" si="59"/>
        <v>676.38510874404574</v>
      </c>
      <c r="AN121" s="59">
        <f ca="1">AVERAGE(OFFSET($AM$3,0,0,'Données projet'!$E$10+1,1))-AVERAGE(OFFSET($H$3,0,0,'Données projet'!$E$10+1,1))</f>
        <v>173.80737004674131</v>
      </c>
      <c r="AO121" s="59">
        <f t="shared" si="90"/>
        <v>206.06552061664968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27.762404111412401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27.762404111412401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243</v>
      </c>
      <c r="BE121" s="13">
        <f>BD121*VLOOKUP('Données projet'!$B$11,Paramètres!$A$1:$I$89,3,0)*VLOOKUP('Données projet'!$B$11,Paramètres!$A$1:$I$89,5,0)</f>
        <v>155.4228</v>
      </c>
      <c r="BF121" s="13">
        <f t="shared" si="91"/>
        <v>39.808377687614154</v>
      </c>
      <c r="BG121" s="20">
        <f t="shared" si="61"/>
        <v>340.02763447259463</v>
      </c>
      <c r="BH121" s="59">
        <f t="shared" si="62"/>
        <v>633.36096780592788</v>
      </c>
      <c r="BI121" s="59">
        <f ca="1">AVERAGE(OFFSET($BH$3,0,0,'Données projet'!$E$11+1,1))-AVERAGE(OFFSET($H$3,0,0,'Données projet'!$E$11+1,1))</f>
        <v>136.80149066064263</v>
      </c>
      <c r="BJ121" s="59">
        <f t="shared" si="92"/>
        <v>148.87330541103535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28.776879318894284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28.776879318894284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107.67119999999981</v>
      </c>
      <c r="D122" s="11">
        <f t="shared" si="86"/>
        <v>28.781619683258331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1053.3200115900629</v>
      </c>
      <c r="H122" s="66">
        <f t="shared" si="56"/>
        <v>530.98866094834125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304.99999999999994</v>
      </c>
      <c r="O122" s="13">
        <f>N122*VLOOKUP('Données projet'!$B$9,Paramètres!$A$1:$I$89,3,0)*VLOOKUP('Données projet'!$B$9,Paramètres!$A$1:$I$89,5,0)</f>
        <v>275.96399999999994</v>
      </c>
      <c r="P122" s="13">
        <f t="shared" si="87"/>
        <v>66.113366665488911</v>
      </c>
      <c r="Q122" s="20">
        <f t="shared" si="107"/>
        <v>595.7847469423931</v>
      </c>
      <c r="R122" s="59">
        <f t="shared" si="55"/>
        <v>889.11808027572647</v>
      </c>
      <c r="S122" s="59">
        <f ca="1">AVERAGE(OFFSET($R$3,0,0,'Données projet'!$E$9+1,1))-AVERAGE(OFFSET($H$3,0,0,'Données projet'!$E$9+1,1))</f>
        <v>295.41366969872354</v>
      </c>
      <c r="T122" s="59">
        <f t="shared" si="88"/>
        <v>415.02188573182912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1.4361900776690528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1.4361900776690528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268.00000000000023</v>
      </c>
      <c r="AJ122" s="13">
        <f>AI122*VLOOKUP('Données projet'!$B$10,Paramètres!$A$1:$I$89,3,0)*VLOOKUP('Données projet'!$B$10,Paramètres!$A$1:$I$89,5,0)</f>
        <v>175.59360000000015</v>
      </c>
      <c r="AK122" s="13">
        <f t="shared" si="89"/>
        <v>44.340433728638573</v>
      </c>
      <c r="AL122" s="20">
        <f t="shared" si="58"/>
        <v>383.05177541071242</v>
      </c>
      <c r="AM122" s="59">
        <f t="shared" si="59"/>
        <v>676.38510874404574</v>
      </c>
      <c r="AN122" s="59">
        <f ca="1">AVERAGE(OFFSET($AM$3,0,0,'Données projet'!$E$10+1,1))-AVERAGE(OFFSET($H$3,0,0,'Données projet'!$E$10+1,1))</f>
        <v>173.80737004674131</v>
      </c>
      <c r="AO122" s="59">
        <f t="shared" si="90"/>
        <v>206.06552061664968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27.218000300182077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27.218000300182077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243</v>
      </c>
      <c r="BE122" s="13">
        <f>BD122*VLOOKUP('Données projet'!$B$11,Paramètres!$A$1:$I$89,3,0)*VLOOKUP('Données projet'!$B$11,Paramètres!$A$1:$I$89,5,0)</f>
        <v>155.4228</v>
      </c>
      <c r="BF122" s="13">
        <f t="shared" si="91"/>
        <v>39.808377687614154</v>
      </c>
      <c r="BG122" s="20">
        <f t="shared" si="61"/>
        <v>340.02763447259463</v>
      </c>
      <c r="BH122" s="59">
        <f t="shared" si="62"/>
        <v>633.36096780592788</v>
      </c>
      <c r="BI122" s="59">
        <f ca="1">AVERAGE(OFFSET($BH$3,0,0,'Données projet'!$E$11+1,1))-AVERAGE(OFFSET($H$3,0,0,'Données projet'!$E$11+1,1))</f>
        <v>136.80149066064263</v>
      </c>
      <c r="BJ122" s="59">
        <f t="shared" si="92"/>
        <v>148.87330541103535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28.212582267614021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28.212582267614021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108.57599999999981</v>
      </c>
      <c r="D123" s="11">
        <f t="shared" si="86"/>
        <v>28.995225061227977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1061.9533162621092</v>
      </c>
      <c r="H123" s="66">
        <f t="shared" si="56"/>
        <v>532.93655031497167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304.99999999999994</v>
      </c>
      <c r="O123" s="13">
        <f>N123*VLOOKUP('Données projet'!$B$9,Paramètres!$A$1:$I$89,3,0)*VLOOKUP('Données projet'!$B$9,Paramètres!$A$1:$I$89,5,0)</f>
        <v>275.96399999999994</v>
      </c>
      <c r="P123" s="13">
        <f t="shared" si="87"/>
        <v>66.113366665488911</v>
      </c>
      <c r="Q123" s="20">
        <f t="shared" si="107"/>
        <v>595.7847469423931</v>
      </c>
      <c r="R123" s="59">
        <f t="shared" si="55"/>
        <v>889.11808027572647</v>
      </c>
      <c r="S123" s="59">
        <f ca="1">AVERAGE(OFFSET($R$3,0,0,'Données projet'!$E$9+1,1))-AVERAGE(OFFSET($H$3,0,0,'Données projet'!$E$9+1,1))</f>
        <v>295.41366969872354</v>
      </c>
      <c r="T123" s="59">
        <f t="shared" si="88"/>
        <v>415.02188573182912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1.4080272662354134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1.4080272662354134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268.00000000000023</v>
      </c>
      <c r="AJ123" s="13">
        <f>AI123*VLOOKUP('Données projet'!$B$10,Paramètres!$A$1:$I$89,3,0)*VLOOKUP('Données projet'!$B$10,Paramètres!$A$1:$I$89,5,0)</f>
        <v>175.59360000000015</v>
      </c>
      <c r="AK123" s="13">
        <f t="shared" si="89"/>
        <v>44.340433728638573</v>
      </c>
      <c r="AL123" s="20">
        <f t="shared" si="58"/>
        <v>383.05177541071242</v>
      </c>
      <c r="AM123" s="59">
        <f t="shared" si="59"/>
        <v>676.38510874404574</v>
      </c>
      <c r="AN123" s="59">
        <f ca="1">AVERAGE(OFFSET($AM$3,0,0,'Données projet'!$E$10+1,1))-AVERAGE(OFFSET($H$3,0,0,'Données projet'!$E$10+1,1))</f>
        <v>173.80737004674131</v>
      </c>
      <c r="AO123" s="59">
        <f t="shared" si="90"/>
        <v>206.06552061664968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26.684271915636444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26.684271915636444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243</v>
      </c>
      <c r="BE123" s="13">
        <f>BD123*VLOOKUP('Données projet'!$B$11,Paramètres!$A$1:$I$89,3,0)*VLOOKUP('Données projet'!$B$11,Paramètres!$A$1:$I$89,5,0)</f>
        <v>155.4228</v>
      </c>
      <c r="BF123" s="13">
        <f t="shared" si="91"/>
        <v>39.808377687614154</v>
      </c>
      <c r="BG123" s="20">
        <f t="shared" si="61"/>
        <v>340.02763447259463</v>
      </c>
      <c r="BH123" s="59">
        <f t="shared" si="62"/>
        <v>633.36096780592788</v>
      </c>
      <c r="BI123" s="59">
        <f ca="1">AVERAGE(OFFSET($BH$3,0,0,'Données projet'!$E$11+1,1))-AVERAGE(OFFSET($H$3,0,0,'Données projet'!$E$11+1,1))</f>
        <v>136.80149066064263</v>
      </c>
      <c r="BJ123" s="59">
        <f t="shared" si="92"/>
        <v>148.87330541103535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27.659350737322146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27.659350737322146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109.4807999999998</v>
      </c>
      <c r="D124" s="11">
        <f t="shared" si="86"/>
        <v>29.20862333990387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1070.5850222729407</v>
      </c>
      <c r="H124" s="66">
        <f t="shared" si="56"/>
        <v>534.88407898366552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304.99999999999994</v>
      </c>
      <c r="O124" s="13">
        <f>N124*VLOOKUP('Données projet'!$B$9,Paramètres!$A$1:$I$89,3,0)*VLOOKUP('Données projet'!$B$9,Paramètres!$A$1:$I$89,5,0)</f>
        <v>275.96399999999994</v>
      </c>
      <c r="P124" s="13">
        <f t="shared" si="87"/>
        <v>66.113366665488911</v>
      </c>
      <c r="Q124" s="20">
        <f t="shared" si="107"/>
        <v>595.7847469423931</v>
      </c>
      <c r="R124" s="59">
        <f t="shared" si="55"/>
        <v>889.11808027572647</v>
      </c>
      <c r="S124" s="59">
        <f ca="1">AVERAGE(OFFSET($R$3,0,0,'Données projet'!$E$9+1,1))-AVERAGE(OFFSET($H$3,0,0,'Données projet'!$E$9+1,1))</f>
        <v>295.41366969872354</v>
      </c>
      <c r="T124" s="59">
        <f t="shared" si="88"/>
        <v>415.02188573182912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1.3804167103563687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1.3804167103563687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268.00000000000023</v>
      </c>
      <c r="AJ124" s="13">
        <f>AI124*VLOOKUP('Données projet'!$B$10,Paramètres!$A$1:$I$89,3,0)*VLOOKUP('Données projet'!$B$10,Paramètres!$A$1:$I$89,5,0)</f>
        <v>175.59360000000015</v>
      </c>
      <c r="AK124" s="13">
        <f t="shared" si="89"/>
        <v>44.340433728638573</v>
      </c>
      <c r="AL124" s="20">
        <f t="shared" si="58"/>
        <v>383.05177541071242</v>
      </c>
      <c r="AM124" s="59">
        <f t="shared" si="59"/>
        <v>676.38510874404574</v>
      </c>
      <c r="AN124" s="59">
        <f ca="1">AVERAGE(OFFSET($AM$3,0,0,'Données projet'!$E$10+1,1))-AVERAGE(OFFSET($H$3,0,0,'Données projet'!$E$10+1,1))</f>
        <v>173.80737004674131</v>
      </c>
      <c r="AO124" s="59">
        <f t="shared" si="90"/>
        <v>206.06552061664968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26.16100961916958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26.16100961916958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243</v>
      </c>
      <c r="BE124" s="13">
        <f>BD124*VLOOKUP('Données projet'!$B$11,Paramètres!$A$1:$I$89,3,0)*VLOOKUP('Données projet'!$B$11,Paramètres!$A$1:$I$89,5,0)</f>
        <v>155.4228</v>
      </c>
      <c r="BF124" s="13">
        <f t="shared" si="91"/>
        <v>39.808377687614154</v>
      </c>
      <c r="BG124" s="20">
        <f t="shared" si="61"/>
        <v>340.02763447259463</v>
      </c>
      <c r="BH124" s="59">
        <f t="shared" si="62"/>
        <v>633.36096780592788</v>
      </c>
      <c r="BI124" s="59">
        <f ca="1">AVERAGE(OFFSET($BH$3,0,0,'Données projet'!$E$11+1,1))-AVERAGE(OFFSET($H$3,0,0,'Données projet'!$E$11+1,1))</f>
        <v>136.80149066064263</v>
      </c>
      <c r="BJ124" s="59">
        <f t="shared" si="92"/>
        <v>148.87330541103535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27.11696773990138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27.11696773990138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110.3855999999998</v>
      </c>
      <c r="D125" s="11">
        <f t="shared" si="86"/>
        <v>29.421816429201353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1079.2151443657633</v>
      </c>
      <c r="H125" s="66">
        <f t="shared" si="56"/>
        <v>536.83125028085863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304.99999999999994</v>
      </c>
      <c r="O125" s="13">
        <f>N125*VLOOKUP('Données projet'!$B$9,Paramètres!$A$1:$I$89,3,0)*VLOOKUP('Données projet'!$B$9,Paramètres!$A$1:$I$89,5,0)</f>
        <v>275.96399999999994</v>
      </c>
      <c r="P125" s="13">
        <f t="shared" si="87"/>
        <v>66.113366665488911</v>
      </c>
      <c r="Q125" s="20">
        <f t="shared" si="107"/>
        <v>595.7847469423931</v>
      </c>
      <c r="R125" s="59">
        <f t="shared" si="55"/>
        <v>889.11808027572647</v>
      </c>
      <c r="S125" s="59">
        <f ca="1">AVERAGE(OFFSET($R$3,0,0,'Données projet'!$E$9+1,1))-AVERAGE(OFFSET($H$3,0,0,'Données projet'!$E$9+1,1))</f>
        <v>295.41366969872354</v>
      </c>
      <c r="T125" s="59">
        <f t="shared" si="88"/>
        <v>415.02188573182912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1.3533475806373358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1.3533475806373358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268.00000000000023</v>
      </c>
      <c r="AJ125" s="13">
        <f>AI125*VLOOKUP('Données projet'!$B$10,Paramètres!$A$1:$I$89,3,0)*VLOOKUP('Données projet'!$B$10,Paramètres!$A$1:$I$89,5,0)</f>
        <v>175.59360000000015</v>
      </c>
      <c r="AK125" s="13">
        <f t="shared" si="89"/>
        <v>44.340433728638573</v>
      </c>
      <c r="AL125" s="20">
        <f t="shared" si="58"/>
        <v>383.05177541071242</v>
      </c>
      <c r="AM125" s="59">
        <f t="shared" si="59"/>
        <v>676.38510874404574</v>
      </c>
      <c r="AN125" s="59">
        <f ca="1">AVERAGE(OFFSET($AM$3,0,0,'Données projet'!$E$10+1,1))-AVERAGE(OFFSET($H$3,0,0,'Données projet'!$E$10+1,1))</f>
        <v>173.80737004674131</v>
      </c>
      <c r="AO125" s="59">
        <f t="shared" si="90"/>
        <v>206.06552061664968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25.648008177177946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25.648008177177946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243</v>
      </c>
      <c r="BE125" s="13">
        <f>BD125*VLOOKUP('Données projet'!$B$11,Paramètres!$A$1:$I$89,3,0)*VLOOKUP('Données projet'!$B$11,Paramètres!$A$1:$I$89,5,0)</f>
        <v>155.4228</v>
      </c>
      <c r="BF125" s="13">
        <f t="shared" si="91"/>
        <v>39.808377687614154</v>
      </c>
      <c r="BG125" s="20">
        <f t="shared" si="61"/>
        <v>340.02763447259463</v>
      </c>
      <c r="BH125" s="59">
        <f t="shared" si="62"/>
        <v>633.36096780592788</v>
      </c>
      <c r="BI125" s="59">
        <f ca="1">AVERAGE(OFFSET($BH$3,0,0,'Données projet'!$E$11+1,1))-AVERAGE(OFFSET($H$3,0,0,'Données projet'!$E$11+1,1))</f>
        <v>136.80149066064263</v>
      </c>
      <c r="BJ125" s="59">
        <f t="shared" si="92"/>
        <v>148.87330541103535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26.585220542239075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26.585220542239075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111.29039999999979</v>
      </c>
      <c r="D126" s="11">
        <f t="shared" si="86"/>
        <v>29.634806205918192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1087.8436970281389</v>
      </c>
      <c r="H126" s="66">
        <f t="shared" si="56"/>
        <v>538.77806747530713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304.99999999999994</v>
      </c>
      <c r="O126" s="13">
        <f>N126*VLOOKUP('Données projet'!$B$9,Paramètres!$A$1:$I$89,3,0)*VLOOKUP('Données projet'!$B$9,Paramètres!$A$1:$I$89,5,0)</f>
        <v>275.96399999999994</v>
      </c>
      <c r="P126" s="13">
        <f t="shared" si="87"/>
        <v>66.113366665488911</v>
      </c>
      <c r="Q126" s="20">
        <f t="shared" si="107"/>
        <v>595.7847469423931</v>
      </c>
      <c r="R126" s="59">
        <f t="shared" si="55"/>
        <v>889.11808027572647</v>
      </c>
      <c r="S126" s="59">
        <f ca="1">AVERAGE(OFFSET($R$3,0,0,'Données projet'!$E$9+1,1))-AVERAGE(OFFSET($H$3,0,0,'Données projet'!$E$9+1,1))</f>
        <v>295.41366969872354</v>
      </c>
      <c r="T126" s="59">
        <f t="shared" si="88"/>
        <v>415.02188573182912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1.3268092600415544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1.3268092600415544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268.00000000000023</v>
      </c>
      <c r="AJ126" s="13">
        <f>AI126*VLOOKUP('Données projet'!$B$10,Paramètres!$A$1:$I$89,3,0)*VLOOKUP('Données projet'!$B$10,Paramètres!$A$1:$I$89,5,0)</f>
        <v>175.59360000000015</v>
      </c>
      <c r="AK126" s="13">
        <f t="shared" si="89"/>
        <v>44.340433728638573</v>
      </c>
      <c r="AL126" s="20">
        <f t="shared" si="58"/>
        <v>383.05177541071242</v>
      </c>
      <c r="AM126" s="59">
        <f t="shared" si="59"/>
        <v>676.38510874404574</v>
      </c>
      <c r="AN126" s="59">
        <f ca="1">AVERAGE(OFFSET($AM$3,0,0,'Données projet'!$E$10+1,1))-AVERAGE(OFFSET($H$3,0,0,'Données projet'!$E$10+1,1))</f>
        <v>173.80737004674131</v>
      </c>
      <c r="AO126" s="59">
        <f t="shared" si="90"/>
        <v>206.06552061664968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25.145066380563783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25.145066380563783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243</v>
      </c>
      <c r="BE126" s="13">
        <f>BD126*VLOOKUP('Données projet'!$B$11,Paramètres!$A$1:$I$89,3,0)*VLOOKUP('Données projet'!$B$11,Paramètres!$A$1:$I$89,5,0)</f>
        <v>155.4228</v>
      </c>
      <c r="BF126" s="13">
        <f t="shared" si="91"/>
        <v>39.808377687614154</v>
      </c>
      <c r="BG126" s="20">
        <f t="shared" si="61"/>
        <v>340.02763447259463</v>
      </c>
      <c r="BH126" s="59">
        <f t="shared" si="62"/>
        <v>633.36096780592788</v>
      </c>
      <c r="BI126" s="59">
        <f ca="1">AVERAGE(OFFSET($BH$3,0,0,'Données projet'!$E$11+1,1))-AVERAGE(OFFSET($H$3,0,0,'Données projet'!$E$11+1,1))</f>
        <v>136.80149066064263</v>
      </c>
      <c r="BJ126" s="59">
        <f t="shared" si="92"/>
        <v>148.87330541103535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26.063900582789159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26.063900582789159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112.19519999999979</v>
      </c>
      <c r="D127" s="11">
        <f t="shared" si="86"/>
        <v>29.84759451457321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1096.4706944984582</v>
      </c>
      <c r="H127" s="66">
        <f t="shared" si="56"/>
        <v>540.72453377954798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304.99999999999994</v>
      </c>
      <c r="O127" s="13">
        <f>N127*VLOOKUP('Données projet'!$B$9,Paramètres!$A$1:$I$89,3,0)*VLOOKUP('Données projet'!$B$9,Paramètres!$A$1:$I$89,5,0)</f>
        <v>275.96399999999994</v>
      </c>
      <c r="P127" s="13">
        <f t="shared" si="87"/>
        <v>66.113366665488911</v>
      </c>
      <c r="Q127" s="20">
        <f t="shared" si="107"/>
        <v>595.7847469423931</v>
      </c>
      <c r="R127" s="59">
        <f t="shared" si="55"/>
        <v>889.11808027572647</v>
      </c>
      <c r="S127" s="59">
        <f ca="1">AVERAGE(OFFSET($R$3,0,0,'Données projet'!$E$9+1,1))-AVERAGE(OFFSET($H$3,0,0,'Données projet'!$E$9+1,1))</f>
        <v>295.41366969872354</v>
      </c>
      <c r="T127" s="59">
        <f t="shared" si="88"/>
        <v>415.02188573182912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1.300791339725879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1.300791339725879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268.00000000000023</v>
      </c>
      <c r="AJ127" s="13">
        <f>AI127*VLOOKUP('Données projet'!$B$10,Paramètres!$A$1:$I$89,3,0)*VLOOKUP('Données projet'!$B$10,Paramètres!$A$1:$I$89,5,0)</f>
        <v>175.59360000000015</v>
      </c>
      <c r="AK127" s="13">
        <f t="shared" si="89"/>
        <v>44.340433728638573</v>
      </c>
      <c r="AL127" s="20">
        <f t="shared" si="58"/>
        <v>383.05177541071242</v>
      </c>
      <c r="AM127" s="59">
        <f t="shared" si="59"/>
        <v>676.38510874404574</v>
      </c>
      <c r="AN127" s="59">
        <f ca="1">AVERAGE(OFFSET($AM$3,0,0,'Données projet'!$E$10+1,1))-AVERAGE(OFFSET($H$3,0,0,'Données projet'!$E$10+1,1))</f>
        <v>173.80737004674131</v>
      </c>
      <c r="AO127" s="59">
        <f t="shared" si="90"/>
        <v>206.06552061664968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24.65198696581702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24.65198696581702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243</v>
      </c>
      <c r="BE127" s="13">
        <f>BD127*VLOOKUP('Données projet'!$B$11,Paramètres!$A$1:$I$89,3,0)*VLOOKUP('Données projet'!$B$11,Paramètres!$A$1:$I$89,5,0)</f>
        <v>155.4228</v>
      </c>
      <c r="BF127" s="13">
        <f t="shared" si="91"/>
        <v>39.808377687614154</v>
      </c>
      <c r="BG127" s="20">
        <f t="shared" si="61"/>
        <v>340.02763447259463</v>
      </c>
      <c r="BH127" s="59">
        <f t="shared" si="62"/>
        <v>633.36096780592788</v>
      </c>
      <c r="BI127" s="59">
        <f ca="1">AVERAGE(OFFSET($BH$3,0,0,'Données projet'!$E$11+1,1))-AVERAGE(OFFSET($H$3,0,0,'Données projet'!$E$11+1,1))</f>
        <v>136.80149066064263</v>
      </c>
      <c r="BJ127" s="59">
        <f t="shared" si="92"/>
        <v>148.87330541103535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25.552803389770279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25.552803389770279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113.09999999999978</v>
      </c>
      <c r="D128" s="11">
        <f t="shared" si="86"/>
        <v>30.060183168217225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1105.0961507722016</v>
      </c>
      <c r="H128" s="66">
        <f t="shared" si="56"/>
        <v>542.67065235131122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304.99999999999994</v>
      </c>
      <c r="O128" s="13">
        <f>N128*VLOOKUP('Données projet'!$B$9,Paramètres!$A$1:$I$89,3,0)*VLOOKUP('Données projet'!$B$9,Paramètres!$A$1:$I$89,5,0)</f>
        <v>275.96399999999994</v>
      </c>
      <c r="P128" s="13">
        <f t="shared" si="87"/>
        <v>66.113366665488911</v>
      </c>
      <c r="Q128" s="20">
        <f t="shared" si="107"/>
        <v>595.7847469423931</v>
      </c>
      <c r="R128" s="59">
        <f t="shared" si="55"/>
        <v>889.11808027572647</v>
      </c>
      <c r="S128" s="59">
        <f ca="1">AVERAGE(OFFSET($R$3,0,0,'Données projet'!$E$9+1,1))-AVERAGE(OFFSET($H$3,0,0,'Données projet'!$E$9+1,1))</f>
        <v>295.41366969872354</v>
      </c>
      <c r="T128" s="59">
        <f t="shared" si="88"/>
        <v>415.02188573182912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1.2752836149582296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1.2752836149582296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268.00000000000023</v>
      </c>
      <c r="AJ128" s="13">
        <f>AI128*VLOOKUP('Données projet'!$B$10,Paramètres!$A$1:$I$89,3,0)*VLOOKUP('Données projet'!$B$10,Paramètres!$A$1:$I$89,5,0)</f>
        <v>175.59360000000015</v>
      </c>
      <c r="AK128" s="13">
        <f t="shared" si="89"/>
        <v>44.340433728638573</v>
      </c>
      <c r="AL128" s="20">
        <f t="shared" si="58"/>
        <v>383.05177541071242</v>
      </c>
      <c r="AM128" s="59">
        <f t="shared" si="59"/>
        <v>676.38510874404574</v>
      </c>
      <c r="AN128" s="59">
        <f ca="1">AVERAGE(OFFSET($AM$3,0,0,'Données projet'!$E$10+1,1))-AVERAGE(OFFSET($H$3,0,0,'Données projet'!$E$10+1,1))</f>
        <v>173.80737004674131</v>
      </c>
      <c r="AO128" s="59">
        <f t="shared" si="90"/>
        <v>206.06552061664968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24.168576537644693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24.168576537644693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243</v>
      </c>
      <c r="BE128" s="13">
        <f>BD128*VLOOKUP('Données projet'!$B$11,Paramètres!$A$1:$I$89,3,0)*VLOOKUP('Données projet'!$B$11,Paramètres!$A$1:$I$89,5,0)</f>
        <v>155.4228</v>
      </c>
      <c r="BF128" s="13">
        <f t="shared" si="91"/>
        <v>39.808377687614154</v>
      </c>
      <c r="BG128" s="20">
        <f t="shared" si="61"/>
        <v>340.02763447259463</v>
      </c>
      <c r="BH128" s="59">
        <f t="shared" si="62"/>
        <v>633.36096780592788</v>
      </c>
      <c r="BI128" s="59">
        <f ca="1">AVERAGE(OFFSET($BH$3,0,0,'Données projet'!$E$11+1,1))-AVERAGE(OFFSET($H$3,0,0,'Données projet'!$E$11+1,1))</f>
        <v>136.80149066064263</v>
      </c>
      <c r="BJ128" s="59">
        <f t="shared" si="92"/>
        <v>148.87330541103535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25.051728500967993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25.051728500967993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114.00479999999978</v>
      </c>
      <c r="D129" s="11">
        <f t="shared" si="86"/>
        <v>30.27257394921725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1113.7200796079912</v>
      </c>
      <c r="H129" s="66">
        <f t="shared" si="56"/>
        <v>544.61642629488631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304.99999999999994</v>
      </c>
      <c r="O129" s="13">
        <f>N129*VLOOKUP('Données projet'!$B$9,Paramètres!$A$1:$I$89,3,0)*VLOOKUP('Données projet'!$B$9,Paramètres!$A$1:$I$89,5,0)</f>
        <v>275.96399999999994</v>
      </c>
      <c r="P129" s="13">
        <f t="shared" si="87"/>
        <v>66.113366665488911</v>
      </c>
      <c r="Q129" s="20">
        <f t="shared" si="107"/>
        <v>595.7847469423931</v>
      </c>
      <c r="R129" s="59">
        <f t="shared" si="55"/>
        <v>889.11808027572647</v>
      </c>
      <c r="S129" s="59">
        <f ca="1">AVERAGE(OFFSET($R$3,0,0,'Données projet'!$E$9+1,1))-AVERAGE(OFFSET($H$3,0,0,'Données projet'!$E$9+1,1))</f>
        <v>295.41366969872354</v>
      </c>
      <c r="T129" s="59">
        <f t="shared" si="88"/>
        <v>415.02188573182912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1.2502760811150979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1.2502760811150979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268.00000000000023</v>
      </c>
      <c r="AJ129" s="13">
        <f>AI129*VLOOKUP('Données projet'!$B$10,Paramètres!$A$1:$I$89,3,0)*VLOOKUP('Données projet'!$B$10,Paramètres!$A$1:$I$89,5,0)</f>
        <v>175.59360000000015</v>
      </c>
      <c r="AK129" s="13">
        <f t="shared" si="89"/>
        <v>44.340433728638573</v>
      </c>
      <c r="AL129" s="20">
        <f t="shared" si="58"/>
        <v>383.05177541071242</v>
      </c>
      <c r="AM129" s="59">
        <f t="shared" si="59"/>
        <v>676.38510874404574</v>
      </c>
      <c r="AN129" s="59">
        <f ca="1">AVERAGE(OFFSET($AM$3,0,0,'Données projet'!$E$10+1,1))-AVERAGE(OFFSET($H$3,0,0,'Données projet'!$E$10+1,1))</f>
        <v>173.80737004674131</v>
      </c>
      <c r="AO129" s="59">
        <f t="shared" si="90"/>
        <v>206.06552061664968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23.69464549311758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23.69464549311758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243</v>
      </c>
      <c r="BE129" s="13">
        <f>BD129*VLOOKUP('Données projet'!$B$11,Paramètres!$A$1:$I$89,3,0)*VLOOKUP('Données projet'!$B$11,Paramètres!$A$1:$I$89,5,0)</f>
        <v>155.4228</v>
      </c>
      <c r="BF129" s="13">
        <f t="shared" si="91"/>
        <v>39.808377687614154</v>
      </c>
      <c r="BG129" s="20">
        <f t="shared" si="61"/>
        <v>340.02763447259463</v>
      </c>
      <c r="BH129" s="59">
        <f t="shared" si="62"/>
        <v>633.36096780592788</v>
      </c>
      <c r="BI129" s="59">
        <f ca="1">AVERAGE(OFFSET($BH$3,0,0,'Données projet'!$E$11+1,1))-AVERAGE(OFFSET($H$3,0,0,'Données projet'!$E$11+1,1))</f>
        <v>136.80149066064263</v>
      </c>
      <c r="BJ129" s="59">
        <f t="shared" si="92"/>
        <v>148.87330541103535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24.560479385109616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24.560479385109616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114.90959999999977</v>
      </c>
      <c r="D130" s="11">
        <f t="shared" si="86"/>
        <v>30.484768610015109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1122.3424945334484</v>
      </c>
      <c r="H130" s="66">
        <f t="shared" si="56"/>
        <v>546.56185866244255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304.99999999999994</v>
      </c>
      <c r="O130" s="13">
        <f>N130*VLOOKUP('Données projet'!$B$9,Paramètres!$A$1:$I$89,3,0)*VLOOKUP('Données projet'!$B$9,Paramètres!$A$1:$I$89,5,0)</f>
        <v>275.96399999999994</v>
      </c>
      <c r="P130" s="13">
        <f t="shared" si="87"/>
        <v>66.113366665488911</v>
      </c>
      <c r="Q130" s="20">
        <f t="shared" si="107"/>
        <v>595.7847469423931</v>
      </c>
      <c r="R130" s="59">
        <f t="shared" si="55"/>
        <v>889.11808027572647</v>
      </c>
      <c r="S130" s="59">
        <f ca="1">AVERAGE(OFFSET($R$3,0,0,'Données projet'!$E$9+1,1))-AVERAGE(OFFSET($H$3,0,0,'Données projet'!$E$9+1,1))</f>
        <v>295.41366969872354</v>
      </c>
      <c r="T130" s="59">
        <f t="shared" si="88"/>
        <v>415.02188573182912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1.2257589297575404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1.2257589297575404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268.00000000000023</v>
      </c>
      <c r="AJ130" s="13">
        <f>AI130*VLOOKUP('Données projet'!$B$10,Paramètres!$A$1:$I$89,3,0)*VLOOKUP('Données projet'!$B$10,Paramètres!$A$1:$I$89,5,0)</f>
        <v>175.59360000000015</v>
      </c>
      <c r="AK130" s="13">
        <f t="shared" si="89"/>
        <v>44.340433728638573</v>
      </c>
      <c r="AL130" s="20">
        <f t="shared" si="58"/>
        <v>383.05177541071242</v>
      </c>
      <c r="AM130" s="59">
        <f t="shared" si="59"/>
        <v>676.38510874404574</v>
      </c>
      <c r="AN130" s="59">
        <f ca="1">AVERAGE(OFFSET($AM$3,0,0,'Données projet'!$E$10+1,1))-AVERAGE(OFFSET($H$3,0,0,'Données projet'!$E$10+1,1))</f>
        <v>173.80737004674131</v>
      </c>
      <c r="AO130" s="59">
        <f t="shared" si="90"/>
        <v>206.06552061664968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23.230007947304248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23.230007947304248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243</v>
      </c>
      <c r="BE130" s="13">
        <f>BD130*VLOOKUP('Données projet'!$B$11,Paramètres!$A$1:$I$89,3,0)*VLOOKUP('Données projet'!$B$11,Paramètres!$A$1:$I$89,5,0)</f>
        <v>155.4228</v>
      </c>
      <c r="BF130" s="13">
        <f t="shared" si="91"/>
        <v>39.808377687614154</v>
      </c>
      <c r="BG130" s="20">
        <f t="shared" si="61"/>
        <v>340.02763447259463</v>
      </c>
      <c r="BH130" s="59">
        <f t="shared" si="62"/>
        <v>633.36096780592788</v>
      </c>
      <c r="BI130" s="59">
        <f ca="1">AVERAGE(OFFSET($BH$3,0,0,'Données projet'!$E$11+1,1))-AVERAGE(OFFSET($H$3,0,0,'Données projet'!$E$11+1,1))</f>
        <v>136.80149066064263</v>
      </c>
      <c r="BJ130" s="59">
        <f t="shared" si="92"/>
        <v>148.87330541103535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24.078863364780847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24.078863364780847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115.81439999999976</v>
      </c>
      <c r="D131" s="11">
        <f t="shared" si="86"/>
        <v>30.696768873861345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1130.9634088508576</v>
      </c>
      <c r="H131" s="66">
        <f t="shared" si="56"/>
        <v>548.50695245530801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304.99999999999994</v>
      </c>
      <c r="O131" s="13">
        <f>N131*VLOOKUP('Données projet'!$B$9,Paramètres!$A$1:$I$89,3,0)*VLOOKUP('Données projet'!$B$9,Paramètres!$A$1:$I$89,5,0)</f>
        <v>275.96399999999994</v>
      </c>
      <c r="P131" s="13">
        <f t="shared" si="87"/>
        <v>66.113366665488911</v>
      </c>
      <c r="Q131" s="20">
        <f t="shared" ref="Q131:Q153" si="108">(O131+P131)*0.475*44/12</f>
        <v>595.7847469423931</v>
      </c>
      <c r="R131" s="59">
        <f t="shared" ref="R131:R194" si="109">Q131+(I131+J131)*44/12</f>
        <v>889.11808027572647</v>
      </c>
      <c r="S131" s="59">
        <f ca="1">AVERAGE(OFFSET($R$3,0,0,'Données projet'!$E$9+1,1))-AVERAGE(OFFSET($H$3,0,0,'Données projet'!$E$9+1,1))</f>
        <v>295.41366969872354</v>
      </c>
      <c r="T131" s="59">
        <f t="shared" si="88"/>
        <v>415.02188573182912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1.2017225447841189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1.2017225447841189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268.00000000000023</v>
      </c>
      <c r="AJ131" s="13">
        <f>AI131*VLOOKUP('Données projet'!$B$10,Paramètres!$A$1:$I$89,3,0)*VLOOKUP('Données projet'!$B$10,Paramètres!$A$1:$I$89,5,0)</f>
        <v>175.59360000000015</v>
      </c>
      <c r="AK131" s="13">
        <f t="shared" si="89"/>
        <v>44.340433728638573</v>
      </c>
      <c r="AL131" s="20">
        <f t="shared" si="58"/>
        <v>383.05177541071242</v>
      </c>
      <c r="AM131" s="59">
        <f t="shared" si="59"/>
        <v>676.38510874404574</v>
      </c>
      <c r="AN131" s="59">
        <f ca="1">AVERAGE(OFFSET($AM$3,0,0,'Données projet'!$E$10+1,1))-AVERAGE(OFFSET($H$3,0,0,'Données projet'!$E$10+1,1))</f>
        <v>173.80737004674131</v>
      </c>
      <c r="AO131" s="59">
        <f t="shared" si="90"/>
        <v>206.06552061664968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22.774481660363396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22.774481660363396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243</v>
      </c>
      <c r="BE131" s="13">
        <f>BD131*VLOOKUP('Données projet'!$B$11,Paramètres!$A$1:$I$89,3,0)*VLOOKUP('Données projet'!$B$11,Paramètres!$A$1:$I$89,5,0)</f>
        <v>155.4228</v>
      </c>
      <c r="BF131" s="13">
        <f t="shared" si="91"/>
        <v>39.808377687614154</v>
      </c>
      <c r="BG131" s="20">
        <f t="shared" si="61"/>
        <v>340.02763447259463</v>
      </c>
      <c r="BH131" s="59">
        <f t="shared" si="62"/>
        <v>633.36096780592788</v>
      </c>
      <c r="BI131" s="59">
        <f ca="1">AVERAGE(OFFSET($BH$3,0,0,'Données projet'!$E$11+1,1))-AVERAGE(OFFSET($H$3,0,0,'Données projet'!$E$11+1,1))</f>
        <v>136.80149066064263</v>
      </c>
      <c r="BJ131" s="59">
        <f t="shared" si="92"/>
        <v>148.87330541103535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23.606691540853962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23.606691540853962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116.71919999999976</v>
      </c>
      <c r="D132" s="11">
        <f t="shared" si="86"/>
        <v>30.908576435525834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1139.5828356426539</v>
      </c>
      <c r="H132" s="66">
        <f t="shared" ref="H132:H195" si="110">(B132+E132+F132)*44/12+(C132+D132)*0.475*44/12</f>
        <v>550.45171062520706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304.99999999999994</v>
      </c>
      <c r="O132" s="13">
        <f>N132*VLOOKUP('Données projet'!$B$9,Paramètres!$A$1:$I$89,3,0)*VLOOKUP('Données projet'!$B$9,Paramètres!$A$1:$I$89,5,0)</f>
        <v>275.96399999999994</v>
      </c>
      <c r="P132" s="13">
        <f t="shared" si="87"/>
        <v>66.113366665488911</v>
      </c>
      <c r="Q132" s="20">
        <f t="shared" si="108"/>
        <v>595.7847469423931</v>
      </c>
      <c r="R132" s="59">
        <f t="shared" si="109"/>
        <v>889.11808027572647</v>
      </c>
      <c r="S132" s="59">
        <f ca="1">AVERAGE(OFFSET($R$3,0,0,'Données projet'!$E$9+1,1))-AVERAGE(OFFSET($H$3,0,0,'Données projet'!$E$9+1,1))</f>
        <v>295.41366969872354</v>
      </c>
      <c r="T132" s="59">
        <f t="shared" si="88"/>
        <v>415.02188573182912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1.1781574986592791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1.1781574986592791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268.00000000000023</v>
      </c>
      <c r="AJ132" s="13">
        <f>AI132*VLOOKUP('Données projet'!$B$10,Paramètres!$A$1:$I$89,3,0)*VLOOKUP('Données projet'!$B$10,Paramètres!$A$1:$I$89,5,0)</f>
        <v>175.59360000000015</v>
      </c>
      <c r="AK132" s="13">
        <f t="shared" si="89"/>
        <v>44.340433728638573</v>
      </c>
      <c r="AL132" s="20">
        <f t="shared" ref="AL132:AL153" si="112">(AJ132+AK132)*0.475*44/12</f>
        <v>383.05177541071242</v>
      </c>
      <c r="AM132" s="59">
        <f t="shared" ref="AM132:AM195" si="113">AL132+(AD132+AE132)*44/12</f>
        <v>676.38510874404574</v>
      </c>
      <c r="AN132" s="59">
        <f ca="1">AVERAGE(OFFSET($AM$3,0,0,'Données projet'!$E$10+1,1))-AVERAGE(OFFSET($H$3,0,0,'Données projet'!$E$10+1,1))</f>
        <v>173.80737004674131</v>
      </c>
      <c r="AO132" s="59">
        <f t="shared" si="90"/>
        <v>206.06552061664968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22.327887966065855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22.327887966065855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243</v>
      </c>
      <c r="BE132" s="13">
        <f>BD132*VLOOKUP('Données projet'!$B$11,Paramètres!$A$1:$I$89,3,0)*VLOOKUP('Données projet'!$B$11,Paramètres!$A$1:$I$89,5,0)</f>
        <v>155.4228</v>
      </c>
      <c r="BF132" s="13">
        <f t="shared" si="91"/>
        <v>39.808377687614154</v>
      </c>
      <c r="BG132" s="20">
        <f t="shared" ref="BG132:BG153" si="115">(BE132+BF132)*0.475*44/12</f>
        <v>340.02763447259463</v>
      </c>
      <c r="BH132" s="59">
        <f t="shared" ref="BH132:BH195" si="116">BG132+(AY132+AZ132)*44/12</f>
        <v>633.36096780592788</v>
      </c>
      <c r="BI132" s="59">
        <f ca="1">AVERAGE(OFFSET($BH$3,0,0,'Données projet'!$E$11+1,1))-AVERAGE(OFFSET($H$3,0,0,'Données projet'!$E$11+1,1))</f>
        <v>136.80149066064263</v>
      </c>
      <c r="BJ132" s="59">
        <f t="shared" si="92"/>
        <v>148.87330541103535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23.143778718397908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23.143778718397908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117.62399999999975</v>
      </c>
      <c r="D133" s="11">
        <f t="shared" ref="D133:D196" si="140">IFERROR(EXP(-1.0587+0.8836*LN(C133)+0.284),0)</f>
        <v>31.120192961985357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1148.2007877767273</v>
      </c>
      <c r="H133" s="66">
        <f t="shared" si="110"/>
        <v>552.39613607545732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304.99999999999994</v>
      </c>
      <c r="O133" s="13">
        <f>N133*VLOOKUP('Données projet'!$B$9,Paramètres!$A$1:$I$89,3,0)*VLOOKUP('Données projet'!$B$9,Paramètres!$A$1:$I$89,5,0)</f>
        <v>275.96399999999994</v>
      </c>
      <c r="P133" s="13">
        <f t="shared" ref="P133:P196" si="141">EXP(-1.0587+0.8836*LN(O133)+0.284)</f>
        <v>66.113366665488911</v>
      </c>
      <c r="Q133" s="20">
        <f t="shared" si="108"/>
        <v>595.7847469423931</v>
      </c>
      <c r="R133" s="59">
        <f t="shared" si="109"/>
        <v>889.11808027572647</v>
      </c>
      <c r="S133" s="59">
        <f ca="1">AVERAGE(OFFSET($R$3,0,0,'Données projet'!$E$9+1,1))-AVERAGE(OFFSET($H$3,0,0,'Données projet'!$E$9+1,1))</f>
        <v>295.41366969872354</v>
      </c>
      <c r="T133" s="59">
        <f t="shared" ref="T133:T196" si="142">$T$3</f>
        <v>415.02188573182912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1.1550545487156885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1.1550545487156885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268.00000000000023</v>
      </c>
      <c r="AJ133" s="13">
        <f>AI133*VLOOKUP('Données projet'!$B$10,Paramètres!$A$1:$I$89,3,0)*VLOOKUP('Données projet'!$B$10,Paramètres!$A$1:$I$89,5,0)</f>
        <v>175.59360000000015</v>
      </c>
      <c r="AK133" s="13">
        <f t="shared" ref="AK133:AK153" si="143">EXP(-1.0587+0.8836*LN(AJ133)+0.284)</f>
        <v>44.340433728638573</v>
      </c>
      <c r="AL133" s="20">
        <f t="shared" si="112"/>
        <v>383.05177541071242</v>
      </c>
      <c r="AM133" s="59">
        <f t="shared" si="113"/>
        <v>676.38510874404574</v>
      </c>
      <c r="AN133" s="59">
        <f ca="1">AVERAGE(OFFSET($AM$3,0,0,'Données projet'!$E$10+1,1))-AVERAGE(OFFSET($H$3,0,0,'Données projet'!$E$10+1,1))</f>
        <v>173.80737004674131</v>
      </c>
      <c r="AO133" s="59">
        <f t="shared" ref="AO133:AO196" si="144">$AO$3</f>
        <v>206.06552061664968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21.890051701718232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21.890051701718232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243</v>
      </c>
      <c r="BE133" s="13">
        <f>BD133*VLOOKUP('Données projet'!$B$11,Paramètres!$A$1:$I$89,3,0)*VLOOKUP('Données projet'!$B$11,Paramètres!$A$1:$I$89,5,0)</f>
        <v>155.4228</v>
      </c>
      <c r="BF133" s="13">
        <f t="shared" ref="BF133:BF153" si="145">EXP(-1.0587+0.8836*LN(BE133)+0.284)</f>
        <v>39.808377687614154</v>
      </c>
      <c r="BG133" s="20">
        <f t="shared" si="115"/>
        <v>340.02763447259463</v>
      </c>
      <c r="BH133" s="59">
        <f t="shared" si="116"/>
        <v>633.36096780592788</v>
      </c>
      <c r="BI133" s="59">
        <f ca="1">AVERAGE(OFFSET($BH$3,0,0,'Données projet'!$E$11+1,1))-AVERAGE(OFFSET($H$3,0,0,'Données projet'!$E$11+1,1))</f>
        <v>136.80149066064263</v>
      </c>
      <c r="BJ133" s="59">
        <f t="shared" ref="BJ133:BJ196" si="146">$BJ$3</f>
        <v>148.87330541103535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22.689943334041274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22.689943334041274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118.52879999999975</v>
      </c>
      <c r="D134" s="11">
        <f t="shared" si="140"/>
        <v>31.331620093089665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1156.8172779115673</v>
      </c>
      <c r="H134" s="66">
        <f t="shared" si="110"/>
        <v>554.34023166213069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304.99999999999994</v>
      </c>
      <c r="O134" s="13">
        <f>N134*VLOOKUP('Données projet'!$B$9,Paramètres!$A$1:$I$89,3,0)*VLOOKUP('Données projet'!$B$9,Paramètres!$A$1:$I$89,5,0)</f>
        <v>275.96399999999994</v>
      </c>
      <c r="P134" s="13">
        <f t="shared" si="141"/>
        <v>66.113366665488911</v>
      </c>
      <c r="Q134" s="20">
        <f t="shared" si="108"/>
        <v>595.7847469423931</v>
      </c>
      <c r="R134" s="59">
        <f t="shared" si="109"/>
        <v>889.11808027572647</v>
      </c>
      <c r="S134" s="59">
        <f ca="1">AVERAGE(OFFSET($R$3,0,0,'Données projet'!$E$9+1,1))-AVERAGE(OFFSET($H$3,0,0,'Données projet'!$E$9+1,1))</f>
        <v>295.41366969872354</v>
      </c>
      <c r="T134" s="59">
        <f t="shared" si="142"/>
        <v>415.02188573182912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1.1324046335290836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1.1324046335290836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268.00000000000023</v>
      </c>
      <c r="AJ134" s="13">
        <f>AI134*VLOOKUP('Données projet'!$B$10,Paramètres!$A$1:$I$89,3,0)*VLOOKUP('Données projet'!$B$10,Paramètres!$A$1:$I$89,5,0)</f>
        <v>175.59360000000015</v>
      </c>
      <c r="AK134" s="13">
        <f t="shared" si="143"/>
        <v>44.340433728638573</v>
      </c>
      <c r="AL134" s="20">
        <f t="shared" si="112"/>
        <v>383.05177541071242</v>
      </c>
      <c r="AM134" s="59">
        <f t="shared" si="113"/>
        <v>676.38510874404574</v>
      </c>
      <c r="AN134" s="59">
        <f ca="1">AVERAGE(OFFSET($AM$3,0,0,'Données projet'!$E$10+1,1))-AVERAGE(OFFSET($H$3,0,0,'Données projet'!$E$10+1,1))</f>
        <v>173.80737004674131</v>
      </c>
      <c r="AO134" s="59">
        <f t="shared" si="144"/>
        <v>206.06552061664968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21.460801139460713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21.460801139460713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243</v>
      </c>
      <c r="BE134" s="13">
        <f>BD134*VLOOKUP('Données projet'!$B$11,Paramètres!$A$1:$I$89,3,0)*VLOOKUP('Données projet'!$B$11,Paramètres!$A$1:$I$89,5,0)</f>
        <v>155.4228</v>
      </c>
      <c r="BF134" s="13">
        <f t="shared" si="145"/>
        <v>39.808377687614154</v>
      </c>
      <c r="BG134" s="20">
        <f t="shared" si="115"/>
        <v>340.02763447259463</v>
      </c>
      <c r="BH134" s="59">
        <f t="shared" si="116"/>
        <v>633.36096780592788</v>
      </c>
      <c r="BI134" s="59">
        <f ca="1">AVERAGE(OFFSET($BH$3,0,0,'Données projet'!$E$11+1,1))-AVERAGE(OFFSET($H$3,0,0,'Données projet'!$E$11+1,1))</f>
        <v>136.80149066064263</v>
      </c>
      <c r="BJ134" s="59">
        <f t="shared" si="146"/>
        <v>148.87330541103535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22.245007384759621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22.245007384759621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119.43359999999974</v>
      </c>
      <c r="D135" s="11">
        <f t="shared" si="140"/>
        <v>31.542859442206623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1165.4323185012422</v>
      </c>
      <c r="H135" s="66">
        <f t="shared" si="110"/>
        <v>556.28400019517608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304.99999999999994</v>
      </c>
      <c r="O135" s="13">
        <f>N135*VLOOKUP('Données projet'!$B$9,Paramètres!$A$1:$I$89,3,0)*VLOOKUP('Données projet'!$B$9,Paramètres!$A$1:$I$89,5,0)</f>
        <v>275.96399999999994</v>
      </c>
      <c r="P135" s="13">
        <f t="shared" si="141"/>
        <v>66.113366665488911</v>
      </c>
      <c r="Q135" s="20">
        <f t="shared" si="108"/>
        <v>595.7847469423931</v>
      </c>
      <c r="R135" s="59">
        <f t="shared" si="109"/>
        <v>889.11808027572647</v>
      </c>
      <c r="S135" s="59">
        <f ca="1">AVERAGE(OFFSET($R$3,0,0,'Données projet'!$E$9+1,1))-AVERAGE(OFFSET($H$3,0,0,'Données projet'!$E$9+1,1))</f>
        <v>295.41366969872354</v>
      </c>
      <c r="T135" s="59">
        <f t="shared" si="142"/>
        <v>415.02188573182912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1.110198869364204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1.110198869364204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268.00000000000023</v>
      </c>
      <c r="AJ135" s="13">
        <f>AI135*VLOOKUP('Données projet'!$B$10,Paramètres!$A$1:$I$89,3,0)*VLOOKUP('Données projet'!$B$10,Paramètres!$A$1:$I$89,5,0)</f>
        <v>175.59360000000015</v>
      </c>
      <c r="AK135" s="13">
        <f t="shared" si="143"/>
        <v>44.340433728638573</v>
      </c>
      <c r="AL135" s="20">
        <f t="shared" si="112"/>
        <v>383.05177541071242</v>
      </c>
      <c r="AM135" s="59">
        <f t="shared" si="113"/>
        <v>676.38510874404574</v>
      </c>
      <c r="AN135" s="59">
        <f ca="1">AVERAGE(OFFSET($AM$3,0,0,'Données projet'!$E$10+1,1))-AVERAGE(OFFSET($H$3,0,0,'Données projet'!$E$10+1,1))</f>
        <v>173.80737004674131</v>
      </c>
      <c r="AO135" s="59">
        <f t="shared" si="144"/>
        <v>206.06552061664968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21.039967918912073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21.039967918912073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243</v>
      </c>
      <c r="BE135" s="13">
        <f>BD135*VLOOKUP('Données projet'!$B$11,Paramètres!$A$1:$I$89,3,0)*VLOOKUP('Données projet'!$B$11,Paramètres!$A$1:$I$89,5,0)</f>
        <v>155.4228</v>
      </c>
      <c r="BF135" s="13">
        <f t="shared" si="145"/>
        <v>39.808377687614154</v>
      </c>
      <c r="BG135" s="20">
        <f t="shared" si="115"/>
        <v>340.02763447259463</v>
      </c>
      <c r="BH135" s="59">
        <f t="shared" si="116"/>
        <v>633.36096780592788</v>
      </c>
      <c r="BI135" s="59">
        <f ca="1">AVERAGE(OFFSET($BH$3,0,0,'Données projet'!$E$11+1,1))-AVERAGE(OFFSET($H$3,0,0,'Données projet'!$E$11+1,1))</f>
        <v>136.80149066064263</v>
      </c>
      <c r="BJ135" s="59">
        <f t="shared" si="146"/>
        <v>148.87330541103535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21.808796358059251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21.808796358059251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120.33839999999974</v>
      </c>
      <c r="D136" s="11">
        <f t="shared" si="140"/>
        <v>31.753912596847002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1174.0459218002206</v>
      </c>
      <c r="H136" s="66">
        <f t="shared" si="110"/>
        <v>558.22744443950796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304.99999999999994</v>
      </c>
      <c r="O136" s="13">
        <f>N136*VLOOKUP('Données projet'!$B$9,Paramètres!$A$1:$I$89,3,0)*VLOOKUP('Données projet'!$B$9,Paramètres!$A$1:$I$89,5,0)</f>
        <v>275.96399999999994</v>
      </c>
      <c r="P136" s="13">
        <f t="shared" si="141"/>
        <v>66.113366665488911</v>
      </c>
      <c r="Q136" s="20">
        <f t="shared" si="108"/>
        <v>595.7847469423931</v>
      </c>
      <c r="R136" s="59">
        <f t="shared" si="109"/>
        <v>889.11808027572647</v>
      </c>
      <c r="S136" s="59">
        <f ca="1">AVERAGE(OFFSET($R$3,0,0,'Données projet'!$E$9+1,1))-AVERAGE(OFFSET($H$3,0,0,'Données projet'!$E$9+1,1))</f>
        <v>295.41366969872354</v>
      </c>
      <c r="T136" s="59">
        <f t="shared" si="142"/>
        <v>415.02188573182912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1.0884285466904189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1.0884285466904189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268.00000000000023</v>
      </c>
      <c r="AJ136" s="13">
        <f>AI136*VLOOKUP('Données projet'!$B$10,Paramètres!$A$1:$I$89,3,0)*VLOOKUP('Données projet'!$B$10,Paramètres!$A$1:$I$89,5,0)</f>
        <v>175.59360000000015</v>
      </c>
      <c r="AK136" s="13">
        <f t="shared" si="143"/>
        <v>44.340433728638573</v>
      </c>
      <c r="AL136" s="20">
        <f t="shared" si="112"/>
        <v>383.05177541071242</v>
      </c>
      <c r="AM136" s="59">
        <f t="shared" si="113"/>
        <v>676.38510874404574</v>
      </c>
      <c r="AN136" s="59">
        <f ca="1">AVERAGE(OFFSET($AM$3,0,0,'Données projet'!$E$10+1,1))-AVERAGE(OFFSET($H$3,0,0,'Données projet'!$E$10+1,1))</f>
        <v>173.80737004674131</v>
      </c>
      <c r="AO136" s="59">
        <f t="shared" si="144"/>
        <v>206.06552061664968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20.627386981135473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20.627386981135473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243</v>
      </c>
      <c r="BE136" s="13">
        <f>BD136*VLOOKUP('Données projet'!$B$11,Paramètres!$A$1:$I$89,3,0)*VLOOKUP('Données projet'!$B$11,Paramètres!$A$1:$I$89,5,0)</f>
        <v>155.4228</v>
      </c>
      <c r="BF136" s="13">
        <f t="shared" si="145"/>
        <v>39.808377687614154</v>
      </c>
      <c r="BG136" s="20">
        <f t="shared" si="115"/>
        <v>340.02763447259463</v>
      </c>
      <c r="BH136" s="59">
        <f t="shared" si="116"/>
        <v>633.36096780592788</v>
      </c>
      <c r="BI136" s="59">
        <f ca="1">AVERAGE(OFFSET($BH$3,0,0,'Données projet'!$E$11+1,1))-AVERAGE(OFFSET($H$3,0,0,'Données projet'!$E$11+1,1))</f>
        <v>136.80149066064263</v>
      </c>
      <c r="BJ136" s="59">
        <f t="shared" si="146"/>
        <v>148.87330541103535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21.381139163530019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21.381139163530019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121.24319999999973</v>
      </c>
      <c r="D137" s="11">
        <f t="shared" si="140"/>
        <v>31.964781119270278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1182.6580998680492</v>
      </c>
      <c r="H137" s="66">
        <f t="shared" si="110"/>
        <v>560.17056711606187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304.99999999999994</v>
      </c>
      <c r="O137" s="13">
        <f>N137*VLOOKUP('Données projet'!$B$9,Paramètres!$A$1:$I$89,3,0)*VLOOKUP('Données projet'!$B$9,Paramètres!$A$1:$I$89,5,0)</f>
        <v>275.96399999999994</v>
      </c>
      <c r="P137" s="13">
        <f t="shared" si="141"/>
        <v>66.113366665488911</v>
      </c>
      <c r="Q137" s="20">
        <f t="shared" si="108"/>
        <v>595.7847469423931</v>
      </c>
      <c r="R137" s="59">
        <f t="shared" si="109"/>
        <v>889.11808027572647</v>
      </c>
      <c r="S137" s="59">
        <f ca="1">AVERAGE(OFFSET($R$3,0,0,'Données projet'!$E$9+1,1))-AVERAGE(OFFSET($H$3,0,0,'Données projet'!$E$9+1,1))</f>
        <v>295.41366969872354</v>
      </c>
      <c r="T137" s="59">
        <f t="shared" si="142"/>
        <v>415.02188573182912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1.0670851267656809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1.0670851267656809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268.00000000000023</v>
      </c>
      <c r="AJ137" s="13">
        <f>AI137*VLOOKUP('Données projet'!$B$10,Paramètres!$A$1:$I$89,3,0)*VLOOKUP('Données projet'!$B$10,Paramètres!$A$1:$I$89,5,0)</f>
        <v>175.59360000000015</v>
      </c>
      <c r="AK137" s="13">
        <f t="shared" si="143"/>
        <v>44.340433728638573</v>
      </c>
      <c r="AL137" s="20">
        <f t="shared" si="112"/>
        <v>383.05177541071242</v>
      </c>
      <c r="AM137" s="59">
        <f t="shared" si="113"/>
        <v>676.38510874404574</v>
      </c>
      <c r="AN137" s="59">
        <f ca="1">AVERAGE(OFFSET($AM$3,0,0,'Données projet'!$E$10+1,1))-AVERAGE(OFFSET($H$3,0,0,'Données projet'!$E$10+1,1))</f>
        <v>173.80737004674131</v>
      </c>
      <c r="AO137" s="59">
        <f t="shared" si="144"/>
        <v>206.06552061664968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20.222896503899147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20.222896503899147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243</v>
      </c>
      <c r="BE137" s="13">
        <f>BD137*VLOOKUP('Données projet'!$B$11,Paramètres!$A$1:$I$89,3,0)*VLOOKUP('Données projet'!$B$11,Paramètres!$A$1:$I$89,5,0)</f>
        <v>155.4228</v>
      </c>
      <c r="BF137" s="13">
        <f t="shared" si="145"/>
        <v>39.808377687614154</v>
      </c>
      <c r="BG137" s="20">
        <f t="shared" si="115"/>
        <v>340.02763447259463</v>
      </c>
      <c r="BH137" s="59">
        <f t="shared" si="116"/>
        <v>633.36096780592788</v>
      </c>
      <c r="BI137" s="59">
        <f ca="1">AVERAGE(OFFSET($BH$3,0,0,'Données projet'!$E$11+1,1))-AVERAGE(OFFSET($H$3,0,0,'Données projet'!$E$11+1,1))</f>
        <v>136.80149066064263</v>
      </c>
      <c r="BJ137" s="59">
        <f t="shared" si="146"/>
        <v>148.87330541103535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20.961868065740372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20.961868065740372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122.14799999999973</v>
      </c>
      <c r="D138" s="11">
        <f t="shared" si="140"/>
        <v>32.17546654707153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1191.2688645738835</v>
      </c>
      <c r="H138" s="66">
        <f t="shared" si="110"/>
        <v>562.11337090281575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304.99999999999994</v>
      </c>
      <c r="O138" s="13">
        <f>N138*VLOOKUP('Données projet'!$B$9,Paramètres!$A$1:$I$89,3,0)*VLOOKUP('Données projet'!$B$9,Paramètres!$A$1:$I$89,5,0)</f>
        <v>275.96399999999994</v>
      </c>
      <c r="P138" s="13">
        <f t="shared" si="141"/>
        <v>66.113366665488911</v>
      </c>
      <c r="Q138" s="20">
        <f t="shared" si="108"/>
        <v>595.7847469423931</v>
      </c>
      <c r="R138" s="59">
        <f t="shared" si="109"/>
        <v>889.11808027572647</v>
      </c>
      <c r="S138" s="59">
        <f ca="1">AVERAGE(OFFSET($R$3,0,0,'Données projet'!$E$9+1,1))-AVERAGE(OFFSET($H$3,0,0,'Données projet'!$E$9+1,1))</f>
        <v>295.41366969872354</v>
      </c>
      <c r="T138" s="59">
        <f t="shared" si="142"/>
        <v>415.02188573182912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1.0461602382874664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1.0461602382874664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268.00000000000023</v>
      </c>
      <c r="AJ138" s="13">
        <f>AI138*VLOOKUP('Données projet'!$B$10,Paramètres!$A$1:$I$89,3,0)*VLOOKUP('Données projet'!$B$10,Paramètres!$A$1:$I$89,5,0)</f>
        <v>175.59360000000015</v>
      </c>
      <c r="AK138" s="13">
        <f t="shared" si="143"/>
        <v>44.340433728638573</v>
      </c>
      <c r="AL138" s="20">
        <f t="shared" si="112"/>
        <v>383.05177541071242</v>
      </c>
      <c r="AM138" s="59">
        <f t="shared" si="113"/>
        <v>676.38510874404574</v>
      </c>
      <c r="AN138" s="59">
        <f ca="1">AVERAGE(OFFSET($AM$3,0,0,'Données projet'!$E$10+1,1))-AVERAGE(OFFSET($H$3,0,0,'Données projet'!$E$10+1,1))</f>
        <v>173.80737004674131</v>
      </c>
      <c r="AO138" s="59">
        <f t="shared" si="144"/>
        <v>206.06552061664968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19.826337838206598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19.826337838206598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243</v>
      </c>
      <c r="BE138" s="13">
        <f>BD138*VLOOKUP('Données projet'!$B$11,Paramètres!$A$1:$I$89,3,0)*VLOOKUP('Données projet'!$B$11,Paramètres!$A$1:$I$89,5,0)</f>
        <v>155.4228</v>
      </c>
      <c r="BF138" s="13">
        <f t="shared" si="145"/>
        <v>39.808377687614154</v>
      </c>
      <c r="BG138" s="20">
        <f t="shared" si="115"/>
        <v>340.02763447259463</v>
      </c>
      <c r="BH138" s="59">
        <f t="shared" si="116"/>
        <v>633.36096780592788</v>
      </c>
      <c r="BI138" s="59">
        <f ca="1">AVERAGE(OFFSET($BH$3,0,0,'Données projet'!$E$11+1,1))-AVERAGE(OFFSET($H$3,0,0,'Données projet'!$E$11+1,1))</f>
        <v>136.80149066064263</v>
      </c>
      <c r="BJ138" s="59">
        <f t="shared" si="146"/>
        <v>148.87330541103535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20.550818618448261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20.550818618448261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123.05279999999972</v>
      </c>
      <c r="D139" s="11">
        <f t="shared" si="140"/>
        <v>32.385970393750767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1199.8782276008808</v>
      </c>
      <c r="H139" s="66">
        <f t="shared" si="110"/>
        <v>564.05585843578206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304.99999999999994</v>
      </c>
      <c r="O139" s="13">
        <f>N139*VLOOKUP('Données projet'!$B$9,Paramètres!$A$1:$I$89,3,0)*VLOOKUP('Données projet'!$B$9,Paramètres!$A$1:$I$89,5,0)</f>
        <v>275.96399999999994</v>
      </c>
      <c r="P139" s="13">
        <f t="shared" si="141"/>
        <v>66.113366665488911</v>
      </c>
      <c r="Q139" s="20">
        <f t="shared" si="108"/>
        <v>595.7847469423931</v>
      </c>
      <c r="R139" s="59">
        <f t="shared" si="109"/>
        <v>889.11808027572647</v>
      </c>
      <c r="S139" s="59">
        <f ca="1">AVERAGE(OFFSET($R$3,0,0,'Données projet'!$E$9+1,1))-AVERAGE(OFFSET($H$3,0,0,'Données projet'!$E$9+1,1))</f>
        <v>295.41366969872354</v>
      </c>
      <c r="T139" s="59">
        <f t="shared" si="142"/>
        <v>415.02188573182912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1.025645674109388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1.025645674109388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268.00000000000023</v>
      </c>
      <c r="AJ139" s="13">
        <f>AI139*VLOOKUP('Données projet'!$B$10,Paramètres!$A$1:$I$89,3,0)*VLOOKUP('Données projet'!$B$10,Paramètres!$A$1:$I$89,5,0)</f>
        <v>175.59360000000015</v>
      </c>
      <c r="AK139" s="13">
        <f t="shared" si="143"/>
        <v>44.340433728638573</v>
      </c>
      <c r="AL139" s="20">
        <f t="shared" si="112"/>
        <v>383.05177541071242</v>
      </c>
      <c r="AM139" s="59">
        <f t="shared" si="113"/>
        <v>676.38510874404574</v>
      </c>
      <c r="AN139" s="59">
        <f ca="1">AVERAGE(OFFSET($AM$3,0,0,'Données projet'!$E$10+1,1))-AVERAGE(OFFSET($H$3,0,0,'Données projet'!$E$10+1,1))</f>
        <v>173.80737004674131</v>
      </c>
      <c r="AO139" s="59">
        <f t="shared" si="144"/>
        <v>206.06552061664968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19.437555446071375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19.437555446071375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243</v>
      </c>
      <c r="BE139" s="13">
        <f>BD139*VLOOKUP('Données projet'!$B$11,Paramètres!$A$1:$I$89,3,0)*VLOOKUP('Données projet'!$B$11,Paramètres!$A$1:$I$89,5,0)</f>
        <v>155.4228</v>
      </c>
      <c r="BF139" s="13">
        <f t="shared" si="145"/>
        <v>39.808377687614154</v>
      </c>
      <c r="BG139" s="20">
        <f t="shared" si="115"/>
        <v>340.02763447259463</v>
      </c>
      <c r="BH139" s="59">
        <f t="shared" si="116"/>
        <v>633.36096780592788</v>
      </c>
      <c r="BI139" s="59">
        <f ca="1">AVERAGE(OFFSET($BH$3,0,0,'Données projet'!$E$11+1,1))-AVERAGE(OFFSET($H$3,0,0,'Données projet'!$E$11+1,1))</f>
        <v>136.80149066064263</v>
      </c>
      <c r="BJ139" s="59">
        <f t="shared" si="146"/>
        <v>148.87330541103535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20.147829600102142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20.147829600102142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123.95759999999972</v>
      </c>
      <c r="D140" s="11">
        <f t="shared" si="140"/>
        <v>32.596294149264523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1208.486200450461</v>
      </c>
      <c r="H140" s="66">
        <f t="shared" si="110"/>
        <v>565.99803230996849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304.99999999999994</v>
      </c>
      <c r="O140" s="13">
        <f>N140*VLOOKUP('Données projet'!$B$9,Paramètres!$A$1:$I$89,3,0)*VLOOKUP('Données projet'!$B$9,Paramètres!$A$1:$I$89,5,0)</f>
        <v>275.96399999999994</v>
      </c>
      <c r="P140" s="13">
        <f t="shared" si="141"/>
        <v>66.113366665488911</v>
      </c>
      <c r="Q140" s="20">
        <f t="shared" si="108"/>
        <v>595.7847469423931</v>
      </c>
      <c r="R140" s="59">
        <f t="shared" si="109"/>
        <v>889.11808027572647</v>
      </c>
      <c r="S140" s="59">
        <f ca="1">AVERAGE(OFFSET($R$3,0,0,'Données projet'!$E$9+1,1))-AVERAGE(OFFSET($H$3,0,0,'Données projet'!$E$9+1,1))</f>
        <v>295.41366969872354</v>
      </c>
      <c r="T140" s="59">
        <f t="shared" si="142"/>
        <v>415.02188573182912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1.0055333880221931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1.0055333880221931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268.00000000000023</v>
      </c>
      <c r="AJ140" s="13">
        <f>AI140*VLOOKUP('Données projet'!$B$10,Paramètres!$A$1:$I$89,3,0)*VLOOKUP('Données projet'!$B$10,Paramètres!$A$1:$I$89,5,0)</f>
        <v>175.59360000000015</v>
      </c>
      <c r="AK140" s="13">
        <f t="shared" si="143"/>
        <v>44.340433728638573</v>
      </c>
      <c r="AL140" s="20">
        <f t="shared" si="112"/>
        <v>383.05177541071242</v>
      </c>
      <c r="AM140" s="59">
        <f t="shared" si="113"/>
        <v>676.38510874404574</v>
      </c>
      <c r="AN140" s="59">
        <f ca="1">AVERAGE(OFFSET($AM$3,0,0,'Données projet'!$E$10+1,1))-AVERAGE(OFFSET($H$3,0,0,'Données projet'!$E$10+1,1))</f>
        <v>173.80737004674131</v>
      </c>
      <c r="AO140" s="59">
        <f t="shared" si="144"/>
        <v>206.06552061664968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19.056396839512079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19.056396839512079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243</v>
      </c>
      <c r="BE140" s="13">
        <f>BD140*VLOOKUP('Données projet'!$B$11,Paramètres!$A$1:$I$89,3,0)*VLOOKUP('Données projet'!$B$11,Paramètres!$A$1:$I$89,5,0)</f>
        <v>155.4228</v>
      </c>
      <c r="BF140" s="13">
        <f t="shared" si="145"/>
        <v>39.808377687614154</v>
      </c>
      <c r="BG140" s="20">
        <f t="shared" si="115"/>
        <v>340.02763447259463</v>
      </c>
      <c r="BH140" s="59">
        <f t="shared" si="116"/>
        <v>633.36096780592788</v>
      </c>
      <c r="BI140" s="59">
        <f ca="1">AVERAGE(OFFSET($BH$3,0,0,'Données projet'!$E$11+1,1))-AVERAGE(OFFSET($H$3,0,0,'Données projet'!$E$11+1,1))</f>
        <v>136.80149066064263</v>
      </c>
      <c r="BJ140" s="59">
        <f t="shared" si="146"/>
        <v>148.87330541103535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19.752742950606759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19.752742950606759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124.86239999999971</v>
      </c>
      <c r="D141" s="11">
        <f t="shared" si="140"/>
        <v>32.806439280561541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1217.0927944464379</v>
      </c>
      <c r="H141" s="66">
        <f t="shared" si="110"/>
        <v>567.93989508031086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304.99999999999994</v>
      </c>
      <c r="O141" s="13">
        <f>N141*VLOOKUP('Données projet'!$B$9,Paramètres!$A$1:$I$89,3,0)*VLOOKUP('Données projet'!$B$9,Paramètres!$A$1:$I$89,5,0)</f>
        <v>275.96399999999994</v>
      </c>
      <c r="P141" s="13">
        <f t="shared" si="141"/>
        <v>66.113366665488911</v>
      </c>
      <c r="Q141" s="20">
        <f t="shared" si="108"/>
        <v>595.7847469423931</v>
      </c>
      <c r="R141" s="59">
        <f t="shared" si="109"/>
        <v>889.11808027572647</v>
      </c>
      <c r="S141" s="59">
        <f ca="1">AVERAGE(OFFSET($R$3,0,0,'Données projet'!$E$9+1,1))-AVERAGE(OFFSET($H$3,0,0,'Données projet'!$E$9+1,1))</f>
        <v>295.41366969872354</v>
      </c>
      <c r="T141" s="59">
        <f t="shared" si="142"/>
        <v>415.02188573182912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0.98581549159788473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0.98581549159788473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268.00000000000023</v>
      </c>
      <c r="AJ141" s="13">
        <f>AI141*VLOOKUP('Données projet'!$B$10,Paramètres!$A$1:$I$89,3,0)*VLOOKUP('Données projet'!$B$10,Paramètres!$A$1:$I$89,5,0)</f>
        <v>175.59360000000015</v>
      </c>
      <c r="AK141" s="13">
        <f t="shared" si="143"/>
        <v>44.340433728638573</v>
      </c>
      <c r="AL141" s="20">
        <f t="shared" si="112"/>
        <v>383.05177541071242</v>
      </c>
      <c r="AM141" s="59">
        <f t="shared" si="113"/>
        <v>676.38510874404574</v>
      </c>
      <c r="AN141" s="59">
        <f ca="1">AVERAGE(OFFSET($AM$3,0,0,'Données projet'!$E$10+1,1))-AVERAGE(OFFSET($H$3,0,0,'Données projet'!$E$10+1,1))</f>
        <v>173.80737004674131</v>
      </c>
      <c r="AO141" s="59">
        <f t="shared" si="144"/>
        <v>206.06552061664968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18.682712520743618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18.682712520743618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243</v>
      </c>
      <c r="BE141" s="13">
        <f>BD141*VLOOKUP('Données projet'!$B$11,Paramètres!$A$1:$I$89,3,0)*VLOOKUP('Données projet'!$B$11,Paramètres!$A$1:$I$89,5,0)</f>
        <v>155.4228</v>
      </c>
      <c r="BF141" s="13">
        <f t="shared" si="145"/>
        <v>39.808377687614154</v>
      </c>
      <c r="BG141" s="20">
        <f t="shared" si="115"/>
        <v>340.02763447259463</v>
      </c>
      <c r="BH141" s="59">
        <f t="shared" si="116"/>
        <v>633.36096780592788</v>
      </c>
      <c r="BI141" s="59">
        <f ca="1">AVERAGE(OFFSET($BH$3,0,0,'Données projet'!$E$11+1,1))-AVERAGE(OFFSET($H$3,0,0,'Données projet'!$E$11+1,1))</f>
        <v>136.80149066064263</v>
      </c>
      <c r="BJ141" s="59">
        <f t="shared" si="146"/>
        <v>148.87330541103535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19.36540370932892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19.36540370932892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125.7671999999997</v>
      </c>
      <c r="D142" s="11">
        <f t="shared" si="140"/>
        <v>33.01640723210194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1225.6980207390304</v>
      </c>
      <c r="H142" s="66">
        <f t="shared" si="110"/>
        <v>569.88144926257701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304.99999999999994</v>
      </c>
      <c r="O142" s="13">
        <f>N142*VLOOKUP('Données projet'!$B$9,Paramètres!$A$1:$I$89,3,0)*VLOOKUP('Données projet'!$B$9,Paramètres!$A$1:$I$89,5,0)</f>
        <v>275.96399999999994</v>
      </c>
      <c r="P142" s="13">
        <f t="shared" si="141"/>
        <v>66.113366665488911</v>
      </c>
      <c r="Q142" s="20">
        <f t="shared" si="108"/>
        <v>595.7847469423931</v>
      </c>
      <c r="R142" s="59">
        <f t="shared" si="109"/>
        <v>889.11808027572647</v>
      </c>
      <c r="S142" s="59">
        <f ca="1">AVERAGE(OFFSET($R$3,0,0,'Données projet'!$E$9+1,1))-AVERAGE(OFFSET($H$3,0,0,'Données projet'!$E$9+1,1))</f>
        <v>295.41366969872354</v>
      </c>
      <c r="T142" s="59">
        <f t="shared" si="142"/>
        <v>415.02188573182912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0.96648425109572778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0.96648425109572778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268.00000000000023</v>
      </c>
      <c r="AJ142" s="13">
        <f>AI142*VLOOKUP('Données projet'!$B$10,Paramètres!$A$1:$I$89,3,0)*VLOOKUP('Données projet'!$B$10,Paramètres!$A$1:$I$89,5,0)</f>
        <v>175.59360000000015</v>
      </c>
      <c r="AK142" s="13">
        <f t="shared" si="143"/>
        <v>44.340433728638573</v>
      </c>
      <c r="AL142" s="20">
        <f t="shared" si="112"/>
        <v>383.05177541071242</v>
      </c>
      <c r="AM142" s="59">
        <f t="shared" si="113"/>
        <v>676.38510874404574</v>
      </c>
      <c r="AN142" s="59">
        <f ca="1">AVERAGE(OFFSET($AM$3,0,0,'Données projet'!$E$10+1,1))-AVERAGE(OFFSET($H$3,0,0,'Données projet'!$E$10+1,1))</f>
        <v>173.80737004674131</v>
      </c>
      <c r="AO142" s="59">
        <f t="shared" si="144"/>
        <v>206.06552061664968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18.316355923541277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18.316355923541277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243</v>
      </c>
      <c r="BE142" s="13">
        <f>BD142*VLOOKUP('Données projet'!$B$11,Paramètres!$A$1:$I$89,3,0)*VLOOKUP('Données projet'!$B$11,Paramètres!$A$1:$I$89,5,0)</f>
        <v>155.4228</v>
      </c>
      <c r="BF142" s="13">
        <f t="shared" si="145"/>
        <v>39.808377687614154</v>
      </c>
      <c r="BG142" s="20">
        <f t="shared" si="115"/>
        <v>340.02763447259463</v>
      </c>
      <c r="BH142" s="59">
        <f t="shared" si="116"/>
        <v>633.36096780592788</v>
      </c>
      <c r="BI142" s="59">
        <f ca="1">AVERAGE(OFFSET($BH$3,0,0,'Données projet'!$E$11+1,1))-AVERAGE(OFFSET($H$3,0,0,'Données projet'!$E$11+1,1))</f>
        <v>136.80149066064263</v>
      </c>
      <c r="BJ142" s="59">
        <f t="shared" si="146"/>
        <v>148.87330541103535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18.98565995431893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18.98565995431893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126.6719999999997</v>
      </c>
      <c r="D143" s="11">
        <f t="shared" si="140"/>
        <v>33.226199426361262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1234.3018903087514</v>
      </c>
      <c r="H143" s="66">
        <f t="shared" si="110"/>
        <v>571.82269733424528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304.99999999999994</v>
      </c>
      <c r="O143" s="13">
        <f>N143*VLOOKUP('Données projet'!$B$9,Paramètres!$A$1:$I$89,3,0)*VLOOKUP('Données projet'!$B$9,Paramètres!$A$1:$I$89,5,0)</f>
        <v>275.96399999999994</v>
      </c>
      <c r="P143" s="13">
        <f t="shared" si="141"/>
        <v>66.113366665488911</v>
      </c>
      <c r="Q143" s="20">
        <f t="shared" si="108"/>
        <v>595.7847469423931</v>
      </c>
      <c r="R143" s="59">
        <f t="shared" si="109"/>
        <v>889.11808027572647</v>
      </c>
      <c r="S143" s="59">
        <f ca="1">AVERAGE(OFFSET($R$3,0,0,'Données projet'!$E$9+1,1))-AVERAGE(OFFSET($H$3,0,0,'Données projet'!$E$9+1,1))</f>
        <v>295.41366969872354</v>
      </c>
      <c r="T143" s="59">
        <f t="shared" si="142"/>
        <v>415.02188573182912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0.94753208442892567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0.94753208442892567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268.00000000000023</v>
      </c>
      <c r="AJ143" s="13">
        <f>AI143*VLOOKUP('Données projet'!$B$10,Paramètres!$A$1:$I$89,3,0)*VLOOKUP('Données projet'!$B$10,Paramètres!$A$1:$I$89,5,0)</f>
        <v>175.59360000000015</v>
      </c>
      <c r="AK143" s="13">
        <f t="shared" si="143"/>
        <v>44.340433728638573</v>
      </c>
      <c r="AL143" s="20">
        <f t="shared" si="112"/>
        <v>383.05177541071242</v>
      </c>
      <c r="AM143" s="59">
        <f t="shared" si="113"/>
        <v>676.38510874404574</v>
      </c>
      <c r="AN143" s="59">
        <f ca="1">AVERAGE(OFFSET($AM$3,0,0,'Données projet'!$E$10+1,1))-AVERAGE(OFFSET($H$3,0,0,'Données projet'!$E$10+1,1))</f>
        <v>173.80737004674131</v>
      </c>
      <c r="AO143" s="59">
        <f t="shared" si="144"/>
        <v>206.06552061664968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17.957183355754616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17.957183355754616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243</v>
      </c>
      <c r="BE143" s="13">
        <f>BD143*VLOOKUP('Données projet'!$B$11,Paramètres!$A$1:$I$89,3,0)*VLOOKUP('Données projet'!$B$11,Paramètres!$A$1:$I$89,5,0)</f>
        <v>155.4228</v>
      </c>
      <c r="BF143" s="13">
        <f t="shared" si="145"/>
        <v>39.808377687614154</v>
      </c>
      <c r="BG143" s="20">
        <f t="shared" si="115"/>
        <v>340.02763447259463</v>
      </c>
      <c r="BH143" s="59">
        <f t="shared" si="116"/>
        <v>633.36096780592788</v>
      </c>
      <c r="BI143" s="59">
        <f ca="1">AVERAGE(OFFSET($BH$3,0,0,'Données projet'!$E$11+1,1))-AVERAGE(OFFSET($H$3,0,0,'Données projet'!$E$11+1,1))</f>
        <v>136.80149066064263</v>
      </c>
      <c r="BJ143" s="59">
        <f t="shared" si="146"/>
        <v>148.87330541103535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18.613362742723869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18.613362742723869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127.57679999999969</v>
      </c>
      <c r="D144" s="11">
        <f t="shared" si="140"/>
        <v>33.435817264319766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1242.9044139701853</v>
      </c>
      <c r="H144" s="66">
        <f t="shared" si="110"/>
        <v>573.76364173535637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304.99999999999994</v>
      </c>
      <c r="O144" s="13">
        <f>N144*VLOOKUP('Données projet'!$B$9,Paramètres!$A$1:$I$89,3,0)*VLOOKUP('Données projet'!$B$9,Paramètres!$A$1:$I$89,5,0)</f>
        <v>275.96399999999994</v>
      </c>
      <c r="P144" s="13">
        <f t="shared" si="141"/>
        <v>66.113366665488911</v>
      </c>
      <c r="Q144" s="20">
        <f t="shared" si="108"/>
        <v>595.7847469423931</v>
      </c>
      <c r="R144" s="59">
        <f t="shared" si="109"/>
        <v>889.11808027572647</v>
      </c>
      <c r="S144" s="59">
        <f ca="1">AVERAGE(OFFSET($R$3,0,0,'Données projet'!$E$9+1,1))-AVERAGE(OFFSET($H$3,0,0,'Données projet'!$E$9+1,1))</f>
        <v>295.41366969872354</v>
      </c>
      <c r="T144" s="59">
        <f t="shared" si="142"/>
        <v>415.02188573182912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0.92895155819077935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0.92895155819077935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268.00000000000023</v>
      </c>
      <c r="AJ144" s="13">
        <f>AI144*VLOOKUP('Données projet'!$B$10,Paramètres!$A$1:$I$89,3,0)*VLOOKUP('Données projet'!$B$10,Paramètres!$A$1:$I$89,5,0)</f>
        <v>175.59360000000015</v>
      </c>
      <c r="AK144" s="13">
        <f t="shared" si="143"/>
        <v>44.340433728638573</v>
      </c>
      <c r="AL144" s="20">
        <f t="shared" si="112"/>
        <v>383.05177541071242</v>
      </c>
      <c r="AM144" s="59">
        <f t="shared" si="113"/>
        <v>676.38510874404574</v>
      </c>
      <c r="AN144" s="59">
        <f ca="1">AVERAGE(OFFSET($AM$3,0,0,'Données projet'!$E$10+1,1))-AVERAGE(OFFSET($H$3,0,0,'Données projet'!$E$10+1,1))</f>
        <v>173.80737004674131</v>
      </c>
      <c r="AO144" s="59">
        <f t="shared" si="144"/>
        <v>206.06552061664968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17.605053942948615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17.605053942948615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243</v>
      </c>
      <c r="BE144" s="13">
        <f>BD144*VLOOKUP('Données projet'!$B$11,Paramètres!$A$1:$I$89,3,0)*VLOOKUP('Données projet'!$B$11,Paramètres!$A$1:$I$89,5,0)</f>
        <v>155.4228</v>
      </c>
      <c r="BF144" s="13">
        <f t="shared" si="145"/>
        <v>39.808377687614154</v>
      </c>
      <c r="BG144" s="20">
        <f t="shared" si="115"/>
        <v>340.02763447259463</v>
      </c>
      <c r="BH144" s="59">
        <f t="shared" si="116"/>
        <v>633.36096780592788</v>
      </c>
      <c r="BI144" s="59">
        <f ca="1">AVERAGE(OFFSET($BH$3,0,0,'Données projet'!$E$11+1,1))-AVERAGE(OFFSET($H$3,0,0,'Données projet'!$E$11+1,1))</f>
        <v>136.80149066064263</v>
      </c>
      <c r="BJ144" s="59">
        <f t="shared" si="146"/>
        <v>148.87330541103535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18.24836605236931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18.24836605236931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128.4815999999997</v>
      </c>
      <c r="D145" s="11">
        <f t="shared" si="140"/>
        <v>33.64526212593713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1251.5056023756529</v>
      </c>
      <c r="H145" s="66">
        <f t="shared" si="110"/>
        <v>575.70428486933997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304.99999999999994</v>
      </c>
      <c r="O145" s="13">
        <f>N145*VLOOKUP('Données projet'!$B$9,Paramètres!$A$1:$I$89,3,0)*VLOOKUP('Données projet'!$B$9,Paramètres!$A$1:$I$89,5,0)</f>
        <v>275.96399999999994</v>
      </c>
      <c r="P145" s="13">
        <f t="shared" si="141"/>
        <v>66.113366665488911</v>
      </c>
      <c r="Q145" s="20">
        <f t="shared" si="108"/>
        <v>595.7847469423931</v>
      </c>
      <c r="R145" s="59">
        <f t="shared" si="109"/>
        <v>889.11808027572647</v>
      </c>
      <c r="S145" s="59">
        <f ca="1">AVERAGE(OFFSET($R$3,0,0,'Données projet'!$E$9+1,1))-AVERAGE(OFFSET($H$3,0,0,'Données projet'!$E$9+1,1))</f>
        <v>295.41366969872354</v>
      </c>
      <c r="T145" s="59">
        <f t="shared" si="142"/>
        <v>415.02188573182912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0.91073538473916116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0.91073538473916116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268.00000000000023</v>
      </c>
      <c r="AJ145" s="13">
        <f>AI145*VLOOKUP('Données projet'!$B$10,Paramètres!$A$1:$I$89,3,0)*VLOOKUP('Données projet'!$B$10,Paramètres!$A$1:$I$89,5,0)</f>
        <v>175.59360000000015</v>
      </c>
      <c r="AK145" s="13">
        <f t="shared" si="143"/>
        <v>44.340433728638573</v>
      </c>
      <c r="AL145" s="20">
        <f t="shared" si="112"/>
        <v>383.05177541071242</v>
      </c>
      <c r="AM145" s="59">
        <f t="shared" si="113"/>
        <v>676.38510874404574</v>
      </c>
      <c r="AN145" s="59">
        <f ca="1">AVERAGE(OFFSET($AM$3,0,0,'Données projet'!$E$10+1,1))-AVERAGE(OFFSET($H$3,0,0,'Données projet'!$E$10+1,1))</f>
        <v>173.80737004674131</v>
      </c>
      <c r="AO145" s="59">
        <f t="shared" si="144"/>
        <v>206.06552061664968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17.259829573150007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17.259829573150007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243</v>
      </c>
      <c r="BE145" s="13">
        <f>BD145*VLOOKUP('Données projet'!$B$11,Paramètres!$A$1:$I$89,3,0)*VLOOKUP('Données projet'!$B$11,Paramètres!$A$1:$I$89,5,0)</f>
        <v>155.4228</v>
      </c>
      <c r="BF145" s="13">
        <f t="shared" si="145"/>
        <v>39.808377687614154</v>
      </c>
      <c r="BG145" s="20">
        <f t="shared" si="115"/>
        <v>340.02763447259463</v>
      </c>
      <c r="BH145" s="59">
        <f t="shared" si="116"/>
        <v>633.36096780592788</v>
      </c>
      <c r="BI145" s="59">
        <f ca="1">AVERAGE(OFFSET($BH$3,0,0,'Données projet'!$E$11+1,1))-AVERAGE(OFFSET($H$3,0,0,'Données projet'!$E$11+1,1))</f>
        <v>136.80149066064263</v>
      </c>
      <c r="BJ145" s="59">
        <f t="shared" si="146"/>
        <v>148.87330541103535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17.890526724486602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17.890526724486602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129.3863999999997</v>
      </c>
      <c r="D146" s="11">
        <f t="shared" si="140"/>
        <v>33.85453537061386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1260.1054660187713</v>
      </c>
      <c r="H146" s="66">
        <f t="shared" si="110"/>
        <v>577.6446291038186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304.99999999999994</v>
      </c>
      <c r="O146" s="13">
        <f>N146*VLOOKUP('Données projet'!$B$9,Paramètres!$A$1:$I$89,3,0)*VLOOKUP('Données projet'!$B$9,Paramètres!$A$1:$I$89,5,0)</f>
        <v>275.96399999999994</v>
      </c>
      <c r="P146" s="13">
        <f t="shared" si="141"/>
        <v>66.113366665488911</v>
      </c>
      <c r="Q146" s="20">
        <f t="shared" si="108"/>
        <v>595.7847469423931</v>
      </c>
      <c r="R146" s="59">
        <f t="shared" si="109"/>
        <v>889.11808027572647</v>
      </c>
      <c r="S146" s="59">
        <f ca="1">AVERAGE(OFFSET($R$3,0,0,'Données projet'!$E$9+1,1))-AVERAGE(OFFSET($H$3,0,0,'Données projet'!$E$9+1,1))</f>
        <v>295.41366969872354</v>
      </c>
      <c r="T146" s="59">
        <f t="shared" si="142"/>
        <v>415.02188573182912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0.89287641933816042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0.89287641933816042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268.00000000000023</v>
      </c>
      <c r="AJ146" s="13">
        <f>AI146*VLOOKUP('Données projet'!$B$10,Paramètres!$A$1:$I$89,3,0)*VLOOKUP('Données projet'!$B$10,Paramètres!$A$1:$I$89,5,0)</f>
        <v>175.59360000000015</v>
      </c>
      <c r="AK146" s="13">
        <f t="shared" si="143"/>
        <v>44.340433728638573</v>
      </c>
      <c r="AL146" s="20">
        <f t="shared" si="112"/>
        <v>383.05177541071242</v>
      </c>
      <c r="AM146" s="59">
        <f t="shared" si="113"/>
        <v>676.38510874404574</v>
      </c>
      <c r="AN146" s="59">
        <f ca="1">AVERAGE(OFFSET($AM$3,0,0,'Données projet'!$E$10+1,1))-AVERAGE(OFFSET($H$3,0,0,'Données projet'!$E$10+1,1))</f>
        <v>173.80737004674131</v>
      </c>
      <c r="AO146" s="59">
        <f t="shared" si="144"/>
        <v>206.06552061664968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16.921374842677075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16.921374842677075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243</v>
      </c>
      <c r="BE146" s="13">
        <f>BD146*VLOOKUP('Données projet'!$B$11,Paramètres!$A$1:$I$89,3,0)*VLOOKUP('Données projet'!$B$11,Paramètres!$A$1:$I$89,5,0)</f>
        <v>155.4228</v>
      </c>
      <c r="BF146" s="13">
        <f t="shared" si="145"/>
        <v>39.808377687614154</v>
      </c>
      <c r="BG146" s="20">
        <f t="shared" si="115"/>
        <v>340.02763447259463</v>
      </c>
      <c r="BH146" s="59">
        <f t="shared" si="116"/>
        <v>633.36096780592788</v>
      </c>
      <c r="BI146" s="59">
        <f ca="1">AVERAGE(OFFSET($BH$3,0,0,'Données projet'!$E$11+1,1))-AVERAGE(OFFSET($H$3,0,0,'Données projet'!$E$11+1,1))</f>
        <v>136.80149066064263</v>
      </c>
      <c r="BJ146" s="59">
        <f t="shared" si="146"/>
        <v>148.87330541103535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17.539704407563235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17.539704407563235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130.29119999999969</v>
      </c>
      <c r="D147" s="11">
        <f t="shared" si="140"/>
        <v>34.063638337638892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1268.7040152379116</v>
      </c>
      <c r="H147" s="66">
        <f t="shared" si="110"/>
        <v>579.58467677138708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304.99999999999994</v>
      </c>
      <c r="O147" s="13">
        <f>N147*VLOOKUP('Données projet'!$B$9,Paramètres!$A$1:$I$89,3,0)*VLOOKUP('Données projet'!$B$9,Paramètres!$A$1:$I$89,5,0)</f>
        <v>275.96399999999994</v>
      </c>
      <c r="P147" s="13">
        <f t="shared" si="141"/>
        <v>66.113366665488911</v>
      </c>
      <c r="Q147" s="20">
        <f t="shared" si="108"/>
        <v>595.7847469423931</v>
      </c>
      <c r="R147" s="59">
        <f t="shared" si="109"/>
        <v>889.11808027572647</v>
      </c>
      <c r="S147" s="59">
        <f ca="1">AVERAGE(OFFSET($R$3,0,0,'Données projet'!$E$9+1,1))-AVERAGE(OFFSET($H$3,0,0,'Données projet'!$E$9+1,1))</f>
        <v>295.41366969872354</v>
      </c>
      <c r="T147" s="59">
        <f t="shared" si="142"/>
        <v>415.02188573182912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0.87536765735578004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0.87536765735578004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268.00000000000023</v>
      </c>
      <c r="AJ147" s="13">
        <f>AI147*VLOOKUP('Données projet'!$B$10,Paramètres!$A$1:$I$89,3,0)*VLOOKUP('Données projet'!$B$10,Paramètres!$A$1:$I$89,5,0)</f>
        <v>175.59360000000015</v>
      </c>
      <c r="AK147" s="13">
        <f t="shared" si="143"/>
        <v>44.340433728638573</v>
      </c>
      <c r="AL147" s="20">
        <f t="shared" si="112"/>
        <v>383.05177541071242</v>
      </c>
      <c r="AM147" s="59">
        <f t="shared" si="113"/>
        <v>676.38510874404574</v>
      </c>
      <c r="AN147" s="59">
        <f ca="1">AVERAGE(OFFSET($AM$3,0,0,'Données projet'!$E$10+1,1))-AVERAGE(OFFSET($H$3,0,0,'Données projet'!$E$10+1,1))</f>
        <v>173.80737004674131</v>
      </c>
      <c r="AO147" s="59">
        <f t="shared" si="144"/>
        <v>206.06552061664968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16.589557003031715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16.589557003031715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243</v>
      </c>
      <c r="BE147" s="13">
        <f>BD147*VLOOKUP('Données projet'!$B$11,Paramètres!$A$1:$I$89,3,0)*VLOOKUP('Données projet'!$B$11,Paramètres!$A$1:$I$89,5,0)</f>
        <v>155.4228</v>
      </c>
      <c r="BF147" s="13">
        <f t="shared" si="145"/>
        <v>39.808377687614154</v>
      </c>
      <c r="BG147" s="20">
        <f t="shared" si="115"/>
        <v>340.02763447259463</v>
      </c>
      <c r="BH147" s="59">
        <f t="shared" si="116"/>
        <v>633.36096780592788</v>
      </c>
      <c r="BI147" s="59">
        <f ca="1">AVERAGE(OFFSET($BH$3,0,0,'Données projet'!$E$11+1,1))-AVERAGE(OFFSET($H$3,0,0,'Données projet'!$E$11+1,1))</f>
        <v>136.80149066064263</v>
      </c>
      <c r="BJ147" s="59">
        <f t="shared" si="146"/>
        <v>148.87330541103535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17.195761502294253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17.195761502294253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131.19599999999969</v>
      </c>
      <c r="D148" s="11">
        <f t="shared" si="140"/>
        <v>34.272572346624933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1277.3012602195586</v>
      </c>
      <c r="H148" s="66">
        <f t="shared" si="110"/>
        <v>581.52443017037126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304.99999999999994</v>
      </c>
      <c r="O148" s="13">
        <f>N148*VLOOKUP('Données projet'!$B$9,Paramètres!$A$1:$I$89,3,0)*VLOOKUP('Données projet'!$B$9,Paramètres!$A$1:$I$89,5,0)</f>
        <v>275.96399999999994</v>
      </c>
      <c r="P148" s="13">
        <f t="shared" si="141"/>
        <v>66.113366665488911</v>
      </c>
      <c r="Q148" s="20">
        <f t="shared" si="108"/>
        <v>595.7847469423931</v>
      </c>
      <c r="R148" s="59">
        <f t="shared" si="109"/>
        <v>889.11808027572647</v>
      </c>
      <c r="S148" s="59">
        <f ca="1">AVERAGE(OFFSET($R$3,0,0,'Données projet'!$E$9+1,1))-AVERAGE(OFFSET($H$3,0,0,'Données projet'!$E$9+1,1))</f>
        <v>295.41366969872354</v>
      </c>
      <c r="T148" s="59">
        <f t="shared" si="142"/>
        <v>415.02188573182912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0.85820223151658381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0.85820223151658381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268.00000000000023</v>
      </c>
      <c r="AJ148" s="13">
        <f>AI148*VLOOKUP('Données projet'!$B$10,Paramètres!$A$1:$I$89,3,0)*VLOOKUP('Données projet'!$B$10,Paramètres!$A$1:$I$89,5,0)</f>
        <v>175.59360000000015</v>
      </c>
      <c r="AK148" s="13">
        <f t="shared" si="143"/>
        <v>44.340433728638573</v>
      </c>
      <c r="AL148" s="20">
        <f t="shared" si="112"/>
        <v>383.05177541071242</v>
      </c>
      <c r="AM148" s="59">
        <f t="shared" si="113"/>
        <v>676.38510874404574</v>
      </c>
      <c r="AN148" s="59">
        <f ca="1">AVERAGE(OFFSET($AM$3,0,0,'Données projet'!$E$10+1,1))-AVERAGE(OFFSET($H$3,0,0,'Données projet'!$E$10+1,1))</f>
        <v>173.80737004674131</v>
      </c>
      <c r="AO148" s="59">
        <f t="shared" si="144"/>
        <v>206.06552061664968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16.264245908832901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16.264245908832901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243</v>
      </c>
      <c r="BE148" s="13">
        <f>BD148*VLOOKUP('Données projet'!$B$11,Paramètres!$A$1:$I$89,3,0)*VLOOKUP('Données projet'!$B$11,Paramètres!$A$1:$I$89,5,0)</f>
        <v>155.4228</v>
      </c>
      <c r="BF148" s="13">
        <f t="shared" si="145"/>
        <v>39.808377687614154</v>
      </c>
      <c r="BG148" s="20">
        <f t="shared" si="115"/>
        <v>340.02763447259463</v>
      </c>
      <c r="BH148" s="59">
        <f t="shared" si="116"/>
        <v>633.36096780592788</v>
      </c>
      <c r="BI148" s="59">
        <f ca="1">AVERAGE(OFFSET($BH$3,0,0,'Données projet'!$E$11+1,1))-AVERAGE(OFFSET($H$3,0,0,'Données projet'!$E$11+1,1))</f>
        <v>136.80149066064263</v>
      </c>
      <c r="BJ148" s="59">
        <f t="shared" si="146"/>
        <v>148.87330541103535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16.858563107613136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16.858563107613136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132.10079999999968</v>
      </c>
      <c r="D149" s="11">
        <f t="shared" si="140"/>
        <v>34.481338697931058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1285.8972110015707</v>
      </c>
      <c r="H149" s="66">
        <f t="shared" si="110"/>
        <v>583.46389156556268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304.99999999999994</v>
      </c>
      <c r="O149" s="13">
        <f>N149*VLOOKUP('Données projet'!$B$9,Paramètres!$A$1:$I$89,3,0)*VLOOKUP('Données projet'!$B$9,Paramètres!$A$1:$I$89,5,0)</f>
        <v>275.96399999999994</v>
      </c>
      <c r="P149" s="13">
        <f t="shared" si="141"/>
        <v>66.113366665488911</v>
      </c>
      <c r="Q149" s="20">
        <f t="shared" si="108"/>
        <v>595.7847469423931</v>
      </c>
      <c r="R149" s="59">
        <f t="shared" si="109"/>
        <v>889.11808027572647</v>
      </c>
      <c r="S149" s="59">
        <f ca="1">AVERAGE(OFFSET($R$3,0,0,'Données projet'!$E$9+1,1))-AVERAGE(OFFSET($H$3,0,0,'Données projet'!$E$9+1,1))</f>
        <v>295.41366969872354</v>
      </c>
      <c r="T149" s="59">
        <f t="shared" si="142"/>
        <v>415.02188573182912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0.84137340920821824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0.84137340920821824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268.00000000000023</v>
      </c>
      <c r="AJ149" s="13">
        <f>AI149*VLOOKUP('Données projet'!$B$10,Paramètres!$A$1:$I$89,3,0)*VLOOKUP('Données projet'!$B$10,Paramètres!$A$1:$I$89,5,0)</f>
        <v>175.59360000000015</v>
      </c>
      <c r="AK149" s="13">
        <f t="shared" si="143"/>
        <v>44.340433728638573</v>
      </c>
      <c r="AL149" s="20">
        <f t="shared" si="112"/>
        <v>383.05177541071242</v>
      </c>
      <c r="AM149" s="59">
        <f t="shared" si="113"/>
        <v>676.38510874404574</v>
      </c>
      <c r="AN149" s="59">
        <f ca="1">AVERAGE(OFFSET($AM$3,0,0,'Données projet'!$E$10+1,1))-AVERAGE(OFFSET($H$3,0,0,'Données projet'!$E$10+1,1))</f>
        <v>173.80737004674131</v>
      </c>
      <c r="AO149" s="59">
        <f t="shared" si="144"/>
        <v>206.06552061664968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15.945313966771153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15.945313966771153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243</v>
      </c>
      <c r="BE149" s="13">
        <f>BD149*VLOOKUP('Données projet'!$B$11,Paramètres!$A$1:$I$89,3,0)*VLOOKUP('Données projet'!$B$11,Paramètres!$A$1:$I$89,5,0)</f>
        <v>155.4228</v>
      </c>
      <c r="BF149" s="13">
        <f t="shared" si="145"/>
        <v>39.808377687614154</v>
      </c>
      <c r="BG149" s="20">
        <f t="shared" si="115"/>
        <v>340.02763447259463</v>
      </c>
      <c r="BH149" s="59">
        <f t="shared" si="116"/>
        <v>633.36096780592788</v>
      </c>
      <c r="BI149" s="59">
        <f ca="1">AVERAGE(OFFSET($BH$3,0,0,'Données projet'!$E$11+1,1))-AVERAGE(OFFSET($H$3,0,0,'Données projet'!$E$11+1,1))</f>
        <v>136.80149066064263</v>
      </c>
      <c r="BJ149" s="59">
        <f t="shared" si="146"/>
        <v>148.87330541103535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16.527976967781004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16.527976967781004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133.00559999999967</v>
      </c>
      <c r="D150" s="11">
        <f t="shared" si="140"/>
        <v>34.689938673073485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1294.4918774763544</v>
      </c>
      <c r="H150" s="66">
        <f t="shared" si="110"/>
        <v>585.40306318893568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304.99999999999994</v>
      </c>
      <c r="O150" s="13">
        <f>N150*VLOOKUP('Données projet'!$B$9,Paramètres!$A$1:$I$89,3,0)*VLOOKUP('Données projet'!$B$9,Paramètres!$A$1:$I$89,5,0)</f>
        <v>275.96399999999994</v>
      </c>
      <c r="P150" s="13">
        <f t="shared" si="141"/>
        <v>66.113366665488911</v>
      </c>
      <c r="Q150" s="20">
        <f t="shared" si="108"/>
        <v>595.7847469423931</v>
      </c>
      <c r="R150" s="59">
        <f t="shared" si="109"/>
        <v>889.11808027572647</v>
      </c>
      <c r="S150" s="59">
        <f ca="1">AVERAGE(OFFSET($R$3,0,0,'Données projet'!$E$9+1,1))-AVERAGE(OFFSET($H$3,0,0,'Données projet'!$E$9+1,1))</f>
        <v>295.41366969872354</v>
      </c>
      <c r="T150" s="59">
        <f t="shared" si="142"/>
        <v>415.02188573182912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0.82487458984075168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0.82487458984075168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268.00000000000023</v>
      </c>
      <c r="AJ150" s="13">
        <f>AI150*VLOOKUP('Données projet'!$B$10,Paramètres!$A$1:$I$89,3,0)*VLOOKUP('Données projet'!$B$10,Paramètres!$A$1:$I$89,5,0)</f>
        <v>175.59360000000015</v>
      </c>
      <c r="AK150" s="13">
        <f t="shared" si="143"/>
        <v>44.340433728638573</v>
      </c>
      <c r="AL150" s="20">
        <f t="shared" si="112"/>
        <v>383.05177541071242</v>
      </c>
      <c r="AM150" s="59">
        <f t="shared" si="113"/>
        <v>676.38510874404574</v>
      </c>
      <c r="AN150" s="59">
        <f ca="1">AVERAGE(OFFSET($AM$3,0,0,'Données projet'!$E$10+1,1))-AVERAGE(OFFSET($H$3,0,0,'Données projet'!$E$10+1,1))</f>
        <v>173.80737004674131</v>
      </c>
      <c r="AO150" s="59">
        <f t="shared" si="144"/>
        <v>206.06552061664968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15.632636085563959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15.632636085563959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243</v>
      </c>
      <c r="BE150" s="13">
        <f>BD150*VLOOKUP('Données projet'!$B$11,Paramètres!$A$1:$I$89,3,0)*VLOOKUP('Données projet'!$B$11,Paramètres!$A$1:$I$89,5,0)</f>
        <v>155.4228</v>
      </c>
      <c r="BF150" s="13">
        <f t="shared" si="145"/>
        <v>39.808377687614154</v>
      </c>
      <c r="BG150" s="20">
        <f t="shared" si="115"/>
        <v>340.02763447259463</v>
      </c>
      <c r="BH150" s="59">
        <f t="shared" si="116"/>
        <v>633.36096780592788</v>
      </c>
      <c r="BI150" s="59">
        <f ca="1">AVERAGE(OFFSET($BH$3,0,0,'Données projet'!$E$11+1,1))-AVERAGE(OFFSET($H$3,0,0,'Données projet'!$E$11+1,1))</f>
        <v>136.80149066064263</v>
      </c>
      <c r="BJ150" s="59">
        <f t="shared" si="146"/>
        <v>148.87330541103535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16.203873420513347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16.203873420513347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133.91039999999967</v>
      </c>
      <c r="D151" s="11">
        <f t="shared" si="140"/>
        <v>34.89837353512506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1303.0852693939453</v>
      </c>
      <c r="H151" s="66">
        <f t="shared" si="110"/>
        <v>587.34194724034217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304.99999999999994</v>
      </c>
      <c r="O151" s="13">
        <f>N151*VLOOKUP('Données projet'!$B$9,Paramètres!$A$1:$I$89,3,0)*VLOOKUP('Données projet'!$B$9,Paramètres!$A$1:$I$89,5,0)</f>
        <v>275.96399999999994</v>
      </c>
      <c r="P151" s="13">
        <f t="shared" si="141"/>
        <v>66.113366665488911</v>
      </c>
      <c r="Q151" s="20">
        <f t="shared" si="108"/>
        <v>595.7847469423931</v>
      </c>
      <c r="R151" s="59">
        <f t="shared" si="109"/>
        <v>889.11808027572647</v>
      </c>
      <c r="S151" s="59">
        <f ca="1">AVERAGE(OFFSET($R$3,0,0,'Données projet'!$E$9+1,1))-AVERAGE(OFFSET($H$3,0,0,'Données projet'!$E$9+1,1))</f>
        <v>295.41366969872354</v>
      </c>
      <c r="T151" s="59">
        <f t="shared" si="142"/>
        <v>415.02188573182912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0.80869930225779496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0.80869930225779496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268.00000000000023</v>
      </c>
      <c r="AJ151" s="13">
        <f>AI151*VLOOKUP('Données projet'!$B$10,Paramètres!$A$1:$I$89,3,0)*VLOOKUP('Données projet'!$B$10,Paramètres!$A$1:$I$89,5,0)</f>
        <v>175.59360000000015</v>
      </c>
      <c r="AK151" s="13">
        <f t="shared" si="143"/>
        <v>44.340433728638573</v>
      </c>
      <c r="AL151" s="20">
        <f t="shared" si="112"/>
        <v>383.05177541071242</v>
      </c>
      <c r="AM151" s="59">
        <f t="shared" si="113"/>
        <v>676.38510874404574</v>
      </c>
      <c r="AN151" s="59">
        <f ca="1">AVERAGE(OFFSET($AM$3,0,0,'Données projet'!$E$10+1,1))-AVERAGE(OFFSET($H$3,0,0,'Données projet'!$E$10+1,1))</f>
        <v>173.80737004674131</v>
      </c>
      <c r="AO151" s="59">
        <f t="shared" si="144"/>
        <v>206.06552061664968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15.326089626892562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15.326089626892562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243</v>
      </c>
      <c r="BE151" s="13">
        <f>BD151*VLOOKUP('Données projet'!$B$11,Paramètres!$A$1:$I$89,3,0)*VLOOKUP('Données projet'!$B$11,Paramètres!$A$1:$I$89,5,0)</f>
        <v>155.4228</v>
      </c>
      <c r="BF151" s="13">
        <f t="shared" si="145"/>
        <v>39.808377687614154</v>
      </c>
      <c r="BG151" s="20">
        <f t="shared" si="115"/>
        <v>340.02763447259463</v>
      </c>
      <c r="BH151" s="59">
        <f t="shared" si="116"/>
        <v>633.36096780592788</v>
      </c>
      <c r="BI151" s="59">
        <f ca="1">AVERAGE(OFFSET($BH$3,0,0,'Données projet'!$E$11+1,1))-AVERAGE(OFFSET($H$3,0,0,'Données projet'!$E$11+1,1))</f>
        <v>136.80149066064263</v>
      </c>
      <c r="BJ151" s="59">
        <f t="shared" si="146"/>
        <v>148.87330541103535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15.886125346123963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15.886125346123963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134.81519999999966</v>
      </c>
      <c r="D152" s="11">
        <f t="shared" si="140"/>
        <v>35.106644529103299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1311.6773963650055</v>
      </c>
      <c r="H152" s="66">
        <f t="shared" si="110"/>
        <v>589.28054588818759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304.99999999999994</v>
      </c>
      <c r="O152" s="13">
        <f>N152*VLOOKUP('Données projet'!$B$9,Paramètres!$A$1:$I$89,3,0)*VLOOKUP('Données projet'!$B$9,Paramètres!$A$1:$I$89,5,0)</f>
        <v>275.96399999999994</v>
      </c>
      <c r="P152" s="13">
        <f t="shared" si="141"/>
        <v>66.113366665488911</v>
      </c>
      <c r="Q152" s="20">
        <f t="shared" si="108"/>
        <v>595.7847469423931</v>
      </c>
      <c r="R152" s="59">
        <f t="shared" si="109"/>
        <v>889.11808027572647</v>
      </c>
      <c r="S152" s="59">
        <f ca="1">AVERAGE(OFFSET($R$3,0,0,'Données projet'!$E$9+1,1))-AVERAGE(OFFSET($H$3,0,0,'Données projet'!$E$9+1,1))</f>
        <v>295.41366969872354</v>
      </c>
      <c r="T152" s="59">
        <f t="shared" si="142"/>
        <v>415.02188573182912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0.79284120219838883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0.79284120219838883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268.00000000000023</v>
      </c>
      <c r="AJ152" s="13">
        <f>AI152*VLOOKUP('Données projet'!$B$10,Paramètres!$A$1:$I$89,3,0)*VLOOKUP('Données projet'!$B$10,Paramètres!$A$1:$I$89,5,0)</f>
        <v>175.59360000000015</v>
      </c>
      <c r="AK152" s="13">
        <f t="shared" si="143"/>
        <v>44.340433728638573</v>
      </c>
      <c r="AL152" s="20">
        <f t="shared" si="112"/>
        <v>383.05177541071242</v>
      </c>
      <c r="AM152" s="59">
        <f t="shared" si="113"/>
        <v>676.38510874404574</v>
      </c>
      <c r="AN152" s="59">
        <f ca="1">AVERAGE(OFFSET($AM$3,0,0,'Données projet'!$E$10+1,1))-AVERAGE(OFFSET($H$3,0,0,'Données projet'!$E$10+1,1))</f>
        <v>173.80737004674131</v>
      </c>
      <c r="AO152" s="59">
        <f t="shared" si="144"/>
        <v>206.06552061664968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15.025554357300834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15.025554357300834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243</v>
      </c>
      <c r="BE152" s="13">
        <f>BD152*VLOOKUP('Données projet'!$B$11,Paramètres!$A$1:$I$89,3,0)*VLOOKUP('Données projet'!$B$11,Paramètres!$A$1:$I$89,5,0)</f>
        <v>155.4228</v>
      </c>
      <c r="BF152" s="13">
        <f t="shared" si="145"/>
        <v>39.808377687614154</v>
      </c>
      <c r="BG152" s="20">
        <f t="shared" si="115"/>
        <v>340.02763447259463</v>
      </c>
      <c r="BH152" s="59">
        <f t="shared" si="116"/>
        <v>633.36096780592788</v>
      </c>
      <c r="BI152" s="59">
        <f ca="1">AVERAGE(OFFSET($BH$3,0,0,'Données projet'!$E$11+1,1))-AVERAGE(OFFSET($H$3,0,0,'Données projet'!$E$11+1,1))</f>
        <v>136.80149066064263</v>
      </c>
      <c r="BJ152" s="59">
        <f t="shared" si="146"/>
        <v>148.87330541103535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15.574608117666166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15.574608117666166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135.71999999999966</v>
      </c>
      <c r="D153" s="11">
        <f t="shared" si="140"/>
        <v>35.314752882348067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1320.2682678637368</v>
      </c>
      <c r="H153" s="66">
        <f t="shared" si="110"/>
        <v>591.21886127008895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304.99999999999994</v>
      </c>
      <c r="O153" s="13">
        <f>N153*VLOOKUP('Données projet'!$B$9,Paramètres!$A$1:$I$89,3,0)*VLOOKUP('Données projet'!$B$9,Paramètres!$A$1:$I$89,5,0)</f>
        <v>275.96399999999994</v>
      </c>
      <c r="P153" s="13">
        <f t="shared" si="141"/>
        <v>66.113366665488911</v>
      </c>
      <c r="Q153" s="20">
        <f t="shared" si="108"/>
        <v>595.7847469423931</v>
      </c>
      <c r="R153" s="59">
        <f t="shared" si="109"/>
        <v>889.11808027572647</v>
      </c>
      <c r="S153" s="59">
        <f ca="1">AVERAGE(OFFSET($R$3,0,0,'Données projet'!$E$9+1,1))-AVERAGE(OFFSET($H$3,0,0,'Données projet'!$E$9+1,1))</f>
        <v>295.41366969872354</v>
      </c>
      <c r="T153" s="59">
        <f t="shared" si="142"/>
        <v>415.02188573182912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0.77729406980866167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0.77729406980866167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268.00000000000023</v>
      </c>
      <c r="AJ153" s="13">
        <f>AI153*VLOOKUP('Données projet'!$B$10,Paramètres!$A$1:$I$89,3,0)*VLOOKUP('Données projet'!$B$10,Paramètres!$A$1:$I$89,5,0)</f>
        <v>175.59360000000015</v>
      </c>
      <c r="AK153" s="13">
        <f t="shared" si="143"/>
        <v>44.340433728638573</v>
      </c>
      <c r="AL153" s="20">
        <f t="shared" si="112"/>
        <v>383.05177541071242</v>
      </c>
      <c r="AM153" s="59">
        <f t="shared" si="113"/>
        <v>676.38510874404574</v>
      </c>
      <c r="AN153" s="59">
        <f ca="1">AVERAGE(OFFSET($AM$3,0,0,'Données projet'!$E$10+1,1))-AVERAGE(OFFSET($H$3,0,0,'Données projet'!$E$10+1,1))</f>
        <v>173.80737004674131</v>
      </c>
      <c r="AO153" s="59">
        <f t="shared" si="144"/>
        <v>206.06552061664968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14.730912401037385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14.730912401037385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243</v>
      </c>
      <c r="BE153" s="13">
        <f>BD153*VLOOKUP('Données projet'!$B$11,Paramètres!$A$1:$I$89,3,0)*VLOOKUP('Données projet'!$B$11,Paramètres!$A$1:$I$89,5,0)</f>
        <v>155.4228</v>
      </c>
      <c r="BF153" s="13">
        <f t="shared" si="145"/>
        <v>39.808377687614154</v>
      </c>
      <c r="BG153" s="20">
        <f t="shared" si="115"/>
        <v>340.02763447259463</v>
      </c>
      <c r="BH153" s="59">
        <f t="shared" si="116"/>
        <v>633.36096780592788</v>
      </c>
      <c r="BI153" s="59">
        <f ca="1">AVERAGE(OFFSET($BH$3,0,0,'Données projet'!$E$11+1,1))-AVERAGE(OFFSET($H$3,0,0,'Données projet'!$E$11+1,1))</f>
        <v>136.80149066064263</v>
      </c>
      <c r="BJ153" s="59">
        <f t="shared" si="146"/>
        <v>148.87330541103535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15.269199552051679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15.269199552051679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136.62479999999965</v>
      </c>
      <c r="D154" s="11">
        <f t="shared" si="140"/>
        <v>35.522699804888539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1328.8578932307157</v>
      </c>
      <c r="H154" s="66">
        <f t="shared" si="110"/>
        <v>593.1568954935135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304.99999999999994</v>
      </c>
      <c r="O154" s="13">
        <f>N154*VLOOKUP('Données projet'!$B$9,Paramètres!$A$1:$I$89,3,0)*VLOOKUP('Données projet'!$B$9,Paramètres!$A$1:$I$89,5,0)</f>
        <v>275.96399999999994</v>
      </c>
      <c r="P154" s="13">
        <f t="shared" si="141"/>
        <v>66.113366665488911</v>
      </c>
      <c r="Q154" s="20">
        <f t="shared" ref="Q154:Q203" si="162">(O154+P154)*0.475*44/12</f>
        <v>595.7847469423931</v>
      </c>
      <c r="R154" s="59">
        <f t="shared" si="109"/>
        <v>889.11808027572647</v>
      </c>
      <c r="S154" s="59">
        <f ca="1">AVERAGE(OFFSET($R$3,0,0,'Données projet'!$E$9+1,1))-AVERAGE(OFFSET($H$3,0,0,'Données projet'!$E$9+1,1))</f>
        <v>295.41366969872354</v>
      </c>
      <c r="T154" s="59">
        <f t="shared" si="142"/>
        <v>415.02188573182912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0.76205180720228261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0.76205180720228261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268.00000000000023</v>
      </c>
      <c r="AJ154" s="13">
        <f>AI154*VLOOKUP('Données projet'!$B$10,Paramètres!$A$1:$I$89,3,0)*VLOOKUP('Données projet'!$B$10,Paramètres!$A$1:$I$89,5,0)</f>
        <v>175.59360000000015</v>
      </c>
      <c r="AK154" s="13">
        <f t="shared" ref="AK154:AK203" si="164">EXP(-1.0587+0.8836*LN(AJ154)+0.284)</f>
        <v>44.340433728638573</v>
      </c>
      <c r="AL154" s="20">
        <f t="shared" ref="AL154:AL203" si="165">(AJ154+AK154)*0.475*44/12</f>
        <v>383.05177541071242</v>
      </c>
      <c r="AM154" s="59">
        <f t="shared" si="113"/>
        <v>676.38510874404574</v>
      </c>
      <c r="AN154" s="59">
        <f ca="1">AVERAGE(OFFSET($AM$3,0,0,'Données projet'!$E$10+1,1))-AVERAGE(OFFSET($H$3,0,0,'Données projet'!$E$10+1,1))</f>
        <v>173.80737004674131</v>
      </c>
      <c r="AO154" s="59">
        <f t="shared" si="144"/>
        <v>206.06552061664968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14.442048193822414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14.442048193822414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243</v>
      </c>
      <c r="BE154" s="13">
        <f>BD154*VLOOKUP('Données projet'!$B$11,Paramètres!$A$1:$I$89,3,0)*VLOOKUP('Données projet'!$B$11,Paramètres!$A$1:$I$89,5,0)</f>
        <v>155.4228</v>
      </c>
      <c r="BF154" s="13">
        <f t="shared" ref="BF154:BF203" si="167">EXP(-1.0587+0.8836*LN(BE154)+0.284)</f>
        <v>39.808377687614154</v>
      </c>
      <c r="BG154" s="20">
        <f t="shared" ref="BG154:BG203" si="168">(BE154+BF154)*0.475*44/12</f>
        <v>340.02763447259463</v>
      </c>
      <c r="BH154" s="59">
        <f t="shared" si="116"/>
        <v>633.36096780592788</v>
      </c>
      <c r="BI154" s="59">
        <f ca="1">AVERAGE(OFFSET($BH$3,0,0,'Données projet'!$E$11+1,1))-AVERAGE(OFFSET($H$3,0,0,'Données projet'!$E$11+1,1))</f>
        <v>136.80149066064263</v>
      </c>
      <c r="BJ154" s="59">
        <f t="shared" si="146"/>
        <v>148.87330541103535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14.969779862128062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14.969779862128062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137.52959999999965</v>
      </c>
      <c r="D155" s="11">
        <f t="shared" si="140"/>
        <v>35.730486489800448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1337.44628167565</v>
      </c>
      <c r="H155" s="66">
        <f t="shared" si="110"/>
        <v>595.09465063640187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304.99999999999994</v>
      </c>
      <c r="O155" s="13">
        <f>N155*VLOOKUP('Données projet'!$B$9,Paramètres!$A$1:$I$89,3,0)*VLOOKUP('Données projet'!$B$9,Paramètres!$A$1:$I$89,5,0)</f>
        <v>275.96399999999994</v>
      </c>
      <c r="P155" s="13">
        <f t="shared" si="141"/>
        <v>66.113366665488911</v>
      </c>
      <c r="Q155" s="20">
        <f t="shared" si="162"/>
        <v>595.7847469423931</v>
      </c>
      <c r="R155" s="59">
        <f t="shared" si="109"/>
        <v>889.11808027572647</v>
      </c>
      <c r="S155" s="59">
        <f ca="1">AVERAGE(OFFSET($R$3,0,0,'Données projet'!$E$9+1,1))-AVERAGE(OFFSET($H$3,0,0,'Données projet'!$E$9+1,1))</f>
        <v>295.41366969872354</v>
      </c>
      <c r="T155" s="59">
        <f t="shared" si="142"/>
        <v>415.02188573182912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0.74710843606875244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0.74710843606875244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268.00000000000023</v>
      </c>
      <c r="AJ155" s="13">
        <f>AI155*VLOOKUP('Données projet'!$B$10,Paramètres!$A$1:$I$89,3,0)*VLOOKUP('Données projet'!$B$10,Paramètres!$A$1:$I$89,5,0)</f>
        <v>175.59360000000015</v>
      </c>
      <c r="AK155" s="13">
        <f t="shared" si="164"/>
        <v>44.340433728638573</v>
      </c>
      <c r="AL155" s="20">
        <f t="shared" si="165"/>
        <v>383.05177541071242</v>
      </c>
      <c r="AM155" s="59">
        <f t="shared" si="113"/>
        <v>676.38510874404574</v>
      </c>
      <c r="AN155" s="59">
        <f ca="1">AVERAGE(OFFSET($AM$3,0,0,'Données projet'!$E$10+1,1))-AVERAGE(OFFSET($H$3,0,0,'Données projet'!$E$10+1,1))</f>
        <v>173.80737004674131</v>
      </c>
      <c r="AO155" s="59">
        <f t="shared" si="144"/>
        <v>206.06552061664968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14.15884843752116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14.15884843752116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243</v>
      </c>
      <c r="BE155" s="13">
        <f>BD155*VLOOKUP('Données projet'!$B$11,Paramètres!$A$1:$I$89,3,0)*VLOOKUP('Données projet'!$B$11,Paramètres!$A$1:$I$89,5,0)</f>
        <v>155.4228</v>
      </c>
      <c r="BF155" s="13">
        <f t="shared" si="167"/>
        <v>39.808377687614154</v>
      </c>
      <c r="BG155" s="20">
        <f t="shared" si="168"/>
        <v>340.02763447259463</v>
      </c>
      <c r="BH155" s="59">
        <f t="shared" si="116"/>
        <v>633.36096780592788</v>
      </c>
      <c r="BI155" s="59">
        <f ca="1">AVERAGE(OFFSET($BH$3,0,0,'Données projet'!$E$11+1,1))-AVERAGE(OFFSET($H$3,0,0,'Données projet'!$E$11+1,1))</f>
        <v>136.80149066064263</v>
      </c>
      <c r="BJ155" s="59">
        <f t="shared" si="146"/>
        <v>148.87330541103535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14.676231609695868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14.676231609695868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138.43439999999964</v>
      </c>
      <c r="D156" s="11">
        <f t="shared" si="140"/>
        <v>35.938114113553482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1346.033442280059</v>
      </c>
      <c r="H156" s="66">
        <f t="shared" si="110"/>
        <v>597.03212874777159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304.99999999999994</v>
      </c>
      <c r="O156" s="13">
        <f>N156*VLOOKUP('Données projet'!$B$9,Paramètres!$A$1:$I$89,3,0)*VLOOKUP('Données projet'!$B$9,Paramètres!$A$1:$I$89,5,0)</f>
        <v>275.96399999999994</v>
      </c>
      <c r="P156" s="13">
        <f t="shared" si="141"/>
        <v>66.113366665488911</v>
      </c>
      <c r="Q156" s="20">
        <f t="shared" si="162"/>
        <v>595.7847469423931</v>
      </c>
      <c r="R156" s="59">
        <f t="shared" si="109"/>
        <v>889.11808027572647</v>
      </c>
      <c r="S156" s="59">
        <f ca="1">AVERAGE(OFFSET($R$3,0,0,'Données projet'!$E$9+1,1))-AVERAGE(OFFSET($H$3,0,0,'Données projet'!$E$9+1,1))</f>
        <v>295.41366969872354</v>
      </c>
      <c r="T156" s="59">
        <f t="shared" si="142"/>
        <v>415.02188573182912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0.73245809532859441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0.73245809532859441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268.00000000000023</v>
      </c>
      <c r="AJ156" s="13">
        <f>AI156*VLOOKUP('Données projet'!$B$10,Paramètres!$A$1:$I$89,3,0)*VLOOKUP('Données projet'!$B$10,Paramètres!$A$1:$I$89,5,0)</f>
        <v>175.59360000000015</v>
      </c>
      <c r="AK156" s="13">
        <f t="shared" si="164"/>
        <v>44.340433728638573</v>
      </c>
      <c r="AL156" s="20">
        <f t="shared" si="165"/>
        <v>383.05177541071242</v>
      </c>
      <c r="AM156" s="59">
        <f t="shared" si="113"/>
        <v>676.38510874404574</v>
      </c>
      <c r="AN156" s="59">
        <f ca="1">AVERAGE(OFFSET($AM$3,0,0,'Données projet'!$E$10+1,1))-AVERAGE(OFFSET($H$3,0,0,'Données projet'!$E$10+1,1))</f>
        <v>173.80737004674131</v>
      </c>
      <c r="AO156" s="59">
        <f t="shared" si="144"/>
        <v>206.06552061664968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13.881202055706177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13.881202055706177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243</v>
      </c>
      <c r="BE156" s="13">
        <f>BD156*VLOOKUP('Données projet'!$B$11,Paramètres!$A$1:$I$89,3,0)*VLOOKUP('Données projet'!$B$11,Paramètres!$A$1:$I$89,5,0)</f>
        <v>155.4228</v>
      </c>
      <c r="BF156" s="13">
        <f t="shared" si="167"/>
        <v>39.808377687614154</v>
      </c>
      <c r="BG156" s="20">
        <f t="shared" si="168"/>
        <v>340.02763447259463</v>
      </c>
      <c r="BH156" s="59">
        <f t="shared" si="116"/>
        <v>633.36096780592788</v>
      </c>
      <c r="BI156" s="59">
        <f ca="1">AVERAGE(OFFSET($BH$3,0,0,'Données projet'!$E$11+1,1))-AVERAGE(OFFSET($H$3,0,0,'Données projet'!$E$11+1,1))</f>
        <v>136.80149066064263</v>
      </c>
      <c r="BJ156" s="59">
        <f t="shared" si="146"/>
        <v>148.87330541103535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14.388439659447116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14.388439659447116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139.33919999999964</v>
      </c>
      <c r="D157" s="11">
        <f t="shared" si="140"/>
        <v>36.145583836349559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1354.6193839998889</v>
      </c>
      <c r="H157" s="66">
        <f t="shared" si="110"/>
        <v>598.96933184830823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304.99999999999994</v>
      </c>
      <c r="O157" s="13">
        <f>N157*VLOOKUP('Données projet'!$B$9,Paramètres!$A$1:$I$89,3,0)*VLOOKUP('Données projet'!$B$9,Paramètres!$A$1:$I$89,5,0)</f>
        <v>275.96399999999994</v>
      </c>
      <c r="P157" s="13">
        <f t="shared" si="141"/>
        <v>66.113366665488911</v>
      </c>
      <c r="Q157" s="20">
        <f t="shared" si="162"/>
        <v>595.7847469423931</v>
      </c>
      <c r="R157" s="59">
        <f t="shared" si="109"/>
        <v>889.11808027572647</v>
      </c>
      <c r="S157" s="59">
        <f ca="1">AVERAGE(OFFSET($R$3,0,0,'Données projet'!$E$9+1,1))-AVERAGE(OFFSET($H$3,0,0,'Données projet'!$E$9+1,1))</f>
        <v>295.41366969872354</v>
      </c>
      <c r="T157" s="59">
        <f t="shared" si="142"/>
        <v>415.02188573182912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0.71809503883452541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0.71809503883452541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268.00000000000023</v>
      </c>
      <c r="AJ157" s="13">
        <f>AI157*VLOOKUP('Données projet'!$B$10,Paramètres!$A$1:$I$89,3,0)*VLOOKUP('Données projet'!$B$10,Paramètres!$A$1:$I$89,5,0)</f>
        <v>175.59360000000015</v>
      </c>
      <c r="AK157" s="13">
        <f t="shared" si="164"/>
        <v>44.340433728638573</v>
      </c>
      <c r="AL157" s="20">
        <f t="shared" si="165"/>
        <v>383.05177541071242</v>
      </c>
      <c r="AM157" s="59">
        <f t="shared" si="113"/>
        <v>676.38510874404574</v>
      </c>
      <c r="AN157" s="59">
        <f ca="1">AVERAGE(OFFSET($AM$3,0,0,'Données projet'!$E$10+1,1))-AVERAGE(OFFSET($H$3,0,0,'Données projet'!$E$10+1,1))</f>
        <v>173.80737004674131</v>
      </c>
      <c r="AO157" s="59">
        <f t="shared" si="144"/>
        <v>206.06552061664968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13.609000150091017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13.609000150091017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243</v>
      </c>
      <c r="BE157" s="13">
        <f>BD157*VLOOKUP('Données projet'!$B$11,Paramètres!$A$1:$I$89,3,0)*VLOOKUP('Données projet'!$B$11,Paramètres!$A$1:$I$89,5,0)</f>
        <v>155.4228</v>
      </c>
      <c r="BF157" s="13">
        <f t="shared" si="167"/>
        <v>39.808377687614154</v>
      </c>
      <c r="BG157" s="20">
        <f t="shared" si="168"/>
        <v>340.02763447259463</v>
      </c>
      <c r="BH157" s="59">
        <f t="shared" si="116"/>
        <v>633.36096780592788</v>
      </c>
      <c r="BI157" s="59">
        <f ca="1">AVERAGE(OFFSET($BH$3,0,0,'Données projet'!$E$11+1,1))-AVERAGE(OFFSET($H$3,0,0,'Données projet'!$E$11+1,1))</f>
        <v>136.80149066064263</v>
      </c>
      <c r="BJ157" s="59">
        <f t="shared" si="146"/>
        <v>148.87330541103535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14.106291133806984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14.106291133806984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140.24399999999963</v>
      </c>
      <c r="D158" s="11">
        <f t="shared" si="140"/>
        <v>36.35289680245166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1363.204115668045</v>
      </c>
      <c r="H158" s="66">
        <f t="shared" si="110"/>
        <v>600.9062619309359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304.99999999999994</v>
      </c>
      <c r="O158" s="13">
        <f>N158*VLOOKUP('Données projet'!$B$9,Paramètres!$A$1:$I$89,3,0)*VLOOKUP('Données projet'!$B$9,Paramètres!$A$1:$I$89,5,0)</f>
        <v>275.96399999999994</v>
      </c>
      <c r="P158" s="13">
        <f t="shared" si="141"/>
        <v>66.113366665488911</v>
      </c>
      <c r="Q158" s="20">
        <f t="shared" si="162"/>
        <v>595.7847469423931</v>
      </c>
      <c r="R158" s="59">
        <f t="shared" si="109"/>
        <v>889.11808027572647</v>
      </c>
      <c r="S158" s="59">
        <f ca="1">AVERAGE(OFFSET($R$3,0,0,'Données projet'!$E$9+1,1))-AVERAGE(OFFSET($H$3,0,0,'Données projet'!$E$9+1,1))</f>
        <v>295.41366969872354</v>
      </c>
      <c r="T158" s="59">
        <f t="shared" si="142"/>
        <v>415.02188573182912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0.70401363311770571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0.70401363311770571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268.00000000000023</v>
      </c>
      <c r="AJ158" s="13">
        <f>AI158*VLOOKUP('Données projet'!$B$10,Paramètres!$A$1:$I$89,3,0)*VLOOKUP('Données projet'!$B$10,Paramètres!$A$1:$I$89,5,0)</f>
        <v>175.59360000000015</v>
      </c>
      <c r="AK158" s="13">
        <f t="shared" si="164"/>
        <v>44.340433728638573</v>
      </c>
      <c r="AL158" s="20">
        <f t="shared" si="165"/>
        <v>383.05177541071242</v>
      </c>
      <c r="AM158" s="59">
        <f t="shared" si="113"/>
        <v>676.38510874404574</v>
      </c>
      <c r="AN158" s="59">
        <f ca="1">AVERAGE(OFFSET($AM$3,0,0,'Données projet'!$E$10+1,1))-AVERAGE(OFFSET($H$3,0,0,'Données projet'!$E$10+1,1))</f>
        <v>173.80737004674131</v>
      </c>
      <c r="AO158" s="59">
        <f t="shared" si="144"/>
        <v>206.06552061664968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13.342135957818201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13.342135957818201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243</v>
      </c>
      <c r="BE158" s="13">
        <f>BD158*VLOOKUP('Données projet'!$B$11,Paramètres!$A$1:$I$89,3,0)*VLOOKUP('Données projet'!$B$11,Paramètres!$A$1:$I$89,5,0)</f>
        <v>155.4228</v>
      </c>
      <c r="BF158" s="13">
        <f t="shared" si="167"/>
        <v>39.808377687614154</v>
      </c>
      <c r="BG158" s="20">
        <f t="shared" si="168"/>
        <v>340.02763447259463</v>
      </c>
      <c r="BH158" s="59">
        <f t="shared" si="116"/>
        <v>633.36096780592788</v>
      </c>
      <c r="BI158" s="59">
        <f ca="1">AVERAGE(OFFSET($BH$3,0,0,'Données projet'!$E$11+1,1))-AVERAGE(OFFSET($H$3,0,0,'Données projet'!$E$11+1,1))</f>
        <v>136.80149066064263</v>
      </c>
      <c r="BJ158" s="59">
        <f t="shared" si="146"/>
        <v>148.87330541103535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13.829675368661047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13.829675368661047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141.14879999999962</v>
      </c>
      <c r="D159" s="11">
        <f t="shared" si="140"/>
        <v>36.560054140504384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1371.7876459968732</v>
      </c>
      <c r="H159" s="66">
        <f t="shared" si="110"/>
        <v>602.84292096137779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304.99999999999994</v>
      </c>
      <c r="O159" s="13">
        <f>N159*VLOOKUP('Données projet'!$B$9,Paramètres!$A$1:$I$89,3,0)*VLOOKUP('Données projet'!$B$9,Paramètres!$A$1:$I$89,5,0)</f>
        <v>275.96399999999994</v>
      </c>
      <c r="P159" s="13">
        <f t="shared" si="141"/>
        <v>66.113366665488911</v>
      </c>
      <c r="Q159" s="20">
        <f t="shared" si="162"/>
        <v>595.7847469423931</v>
      </c>
      <c r="R159" s="59">
        <f t="shared" si="109"/>
        <v>889.11808027572647</v>
      </c>
      <c r="S159" s="59">
        <f ca="1">AVERAGE(OFFSET($R$3,0,0,'Données projet'!$E$9+1,1))-AVERAGE(OFFSET($H$3,0,0,'Données projet'!$E$9+1,1))</f>
        <v>295.41366969872354</v>
      </c>
      <c r="T159" s="59">
        <f t="shared" si="142"/>
        <v>415.02188573182912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0.69020835517818335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0.69020835517818335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268.00000000000023</v>
      </c>
      <c r="AJ159" s="13">
        <f>AI159*VLOOKUP('Données projet'!$B$10,Paramètres!$A$1:$I$89,3,0)*VLOOKUP('Données projet'!$B$10,Paramètres!$A$1:$I$89,5,0)</f>
        <v>175.59360000000015</v>
      </c>
      <c r="AK159" s="13">
        <f t="shared" si="164"/>
        <v>44.340433728638573</v>
      </c>
      <c r="AL159" s="20">
        <f t="shared" si="165"/>
        <v>383.05177541071242</v>
      </c>
      <c r="AM159" s="59">
        <f t="shared" si="113"/>
        <v>676.38510874404574</v>
      </c>
      <c r="AN159" s="59">
        <f ca="1">AVERAGE(OFFSET($AM$3,0,0,'Données projet'!$E$10+1,1))-AVERAGE(OFFSET($H$3,0,0,'Données projet'!$E$10+1,1))</f>
        <v>173.80737004674131</v>
      </c>
      <c r="AO159" s="59">
        <f t="shared" si="144"/>
        <v>206.06552061664968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13.080504809584768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13.080504809584768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243</v>
      </c>
      <c r="BE159" s="13">
        <f>BD159*VLOOKUP('Données projet'!$B$11,Paramètres!$A$1:$I$89,3,0)*VLOOKUP('Données projet'!$B$11,Paramètres!$A$1:$I$89,5,0)</f>
        <v>155.4228</v>
      </c>
      <c r="BF159" s="13">
        <f t="shared" si="167"/>
        <v>39.808377687614154</v>
      </c>
      <c r="BG159" s="20">
        <f t="shared" si="168"/>
        <v>340.02763447259463</v>
      </c>
      <c r="BH159" s="59">
        <f t="shared" si="116"/>
        <v>633.36096780592788</v>
      </c>
      <c r="BI159" s="59">
        <f ca="1">AVERAGE(OFFSET($BH$3,0,0,'Données projet'!$E$11+1,1))-AVERAGE(OFFSET($H$3,0,0,'Données projet'!$E$11+1,1))</f>
        <v>136.80149066064263</v>
      </c>
      <c r="BJ159" s="59">
        <f t="shared" si="146"/>
        <v>148.87330541103535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13.558483869950665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13.558483869950665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142.05359999999962</v>
      </c>
      <c r="D160" s="11">
        <f t="shared" si="140"/>
        <v>36.767056963845825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1380.3699835805612</v>
      </c>
      <c r="H160" s="66">
        <f t="shared" si="110"/>
        <v>604.7793108786974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304.99999999999994</v>
      </c>
      <c r="O160" s="13">
        <f>N160*VLOOKUP('Données projet'!$B$9,Paramètres!$A$1:$I$89,3,0)*VLOOKUP('Données projet'!$B$9,Paramètres!$A$1:$I$89,5,0)</f>
        <v>275.96399999999994</v>
      </c>
      <c r="P160" s="13">
        <f t="shared" si="141"/>
        <v>66.113366665488911</v>
      </c>
      <c r="Q160" s="20">
        <f t="shared" si="162"/>
        <v>595.7847469423931</v>
      </c>
      <c r="R160" s="59">
        <f t="shared" si="109"/>
        <v>889.11808027572647</v>
      </c>
      <c r="S160" s="59">
        <f ca="1">AVERAGE(OFFSET($R$3,0,0,'Données projet'!$E$9+1,1))-AVERAGE(OFFSET($H$3,0,0,'Données projet'!$E$9+1,1))</f>
        <v>295.41366969872354</v>
      </c>
      <c r="T160" s="59">
        <f t="shared" si="142"/>
        <v>415.02188573182912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0.67667379031866692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0.67667379031866692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268.00000000000023</v>
      </c>
      <c r="AJ160" s="13">
        <f>AI160*VLOOKUP('Données projet'!$B$10,Paramètres!$A$1:$I$89,3,0)*VLOOKUP('Données projet'!$B$10,Paramètres!$A$1:$I$89,5,0)</f>
        <v>175.59360000000015</v>
      </c>
      <c r="AK160" s="13">
        <f t="shared" si="164"/>
        <v>44.340433728638573</v>
      </c>
      <c r="AL160" s="20">
        <f t="shared" si="165"/>
        <v>383.05177541071242</v>
      </c>
      <c r="AM160" s="59">
        <f t="shared" si="113"/>
        <v>676.38510874404574</v>
      </c>
      <c r="AN160" s="59">
        <f ca="1">AVERAGE(OFFSET($AM$3,0,0,'Données projet'!$E$10+1,1))-AVERAGE(OFFSET($H$3,0,0,'Données projet'!$E$10+1,1))</f>
        <v>173.80737004674131</v>
      </c>
      <c r="AO160" s="59">
        <f t="shared" si="144"/>
        <v>206.06552061664968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12.824004088588952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12.824004088588952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243</v>
      </c>
      <c r="BE160" s="13">
        <f>BD160*VLOOKUP('Données projet'!$B$11,Paramètres!$A$1:$I$89,3,0)*VLOOKUP('Données projet'!$B$11,Paramètres!$A$1:$I$89,5,0)</f>
        <v>155.4228</v>
      </c>
      <c r="BF160" s="13">
        <f t="shared" si="167"/>
        <v>39.808377687614154</v>
      </c>
      <c r="BG160" s="20">
        <f t="shared" si="168"/>
        <v>340.02763447259463</v>
      </c>
      <c r="BH160" s="59">
        <f t="shared" si="116"/>
        <v>633.36096780592788</v>
      </c>
      <c r="BI160" s="59">
        <f ca="1">AVERAGE(OFFSET($BH$3,0,0,'Données projet'!$E$11+1,1))-AVERAGE(OFFSET($H$3,0,0,'Données projet'!$E$11+1,1))</f>
        <v>136.80149066064263</v>
      </c>
      <c r="BJ160" s="59">
        <f t="shared" si="146"/>
        <v>148.87330541103535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13.292610271119512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13.292610271119512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142.95839999999961</v>
      </c>
      <c r="D161" s="11">
        <f t="shared" si="140"/>
        <v>36.973906370811164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1388.9511368974865</v>
      </c>
      <c r="H161" s="66">
        <f t="shared" si="110"/>
        <v>606.7154335958287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304.99999999999994</v>
      </c>
      <c r="O161" s="13">
        <f>N161*VLOOKUP('Données projet'!$B$9,Paramètres!$A$1:$I$89,3,0)*VLOOKUP('Données projet'!$B$9,Paramètres!$A$1:$I$89,5,0)</f>
        <v>275.96399999999994</v>
      </c>
      <c r="P161" s="13">
        <f t="shared" si="141"/>
        <v>66.113366665488911</v>
      </c>
      <c r="Q161" s="20">
        <f t="shared" si="162"/>
        <v>595.7847469423931</v>
      </c>
      <c r="R161" s="59">
        <f t="shared" si="109"/>
        <v>889.11808027572647</v>
      </c>
      <c r="S161" s="59">
        <f ca="1">AVERAGE(OFFSET($R$3,0,0,'Données projet'!$E$9+1,1))-AVERAGE(OFFSET($H$3,0,0,'Données projet'!$E$9+1,1))</f>
        <v>295.41366969872354</v>
      </c>
      <c r="T161" s="59">
        <f t="shared" si="142"/>
        <v>415.02188573182912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0.66340463002077621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0.66340463002077621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268.00000000000023</v>
      </c>
      <c r="AJ161" s="13">
        <f>AI161*VLOOKUP('Données projet'!$B$10,Paramètres!$A$1:$I$89,3,0)*VLOOKUP('Données projet'!$B$10,Paramètres!$A$1:$I$89,5,0)</f>
        <v>175.59360000000015</v>
      </c>
      <c r="AK161" s="13">
        <f t="shared" si="164"/>
        <v>44.340433728638573</v>
      </c>
      <c r="AL161" s="20">
        <f t="shared" si="165"/>
        <v>383.05177541071242</v>
      </c>
      <c r="AM161" s="59">
        <f t="shared" si="113"/>
        <v>676.38510874404574</v>
      </c>
      <c r="AN161" s="59">
        <f ca="1">AVERAGE(OFFSET($AM$3,0,0,'Données projet'!$E$10+1,1))-AVERAGE(OFFSET($H$3,0,0,'Données projet'!$E$10+1,1))</f>
        <v>173.80737004674131</v>
      </c>
      <c r="AO161" s="59">
        <f t="shared" si="144"/>
        <v>206.06552061664968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12.57253319028187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12.57253319028187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243</v>
      </c>
      <c r="BE161" s="13">
        <f>BD161*VLOOKUP('Données projet'!$B$11,Paramètres!$A$1:$I$89,3,0)*VLOOKUP('Données projet'!$B$11,Paramètres!$A$1:$I$89,5,0)</f>
        <v>155.4228</v>
      </c>
      <c r="BF161" s="13">
        <f t="shared" si="167"/>
        <v>39.808377687614154</v>
      </c>
      <c r="BG161" s="20">
        <f t="shared" si="168"/>
        <v>340.02763447259463</v>
      </c>
      <c r="BH161" s="59">
        <f t="shared" si="116"/>
        <v>633.36096780592788</v>
      </c>
      <c r="BI161" s="59">
        <f ca="1">AVERAGE(OFFSET($BH$3,0,0,'Données projet'!$E$11+1,1))-AVERAGE(OFFSET($H$3,0,0,'Données projet'!$E$11+1,1))</f>
        <v>136.80149066064263</v>
      </c>
      <c r="BJ161" s="59">
        <f t="shared" si="146"/>
        <v>148.87330541103535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13.031950291394557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13.031950291394557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143.86319999999961</v>
      </c>
      <c r="D162" s="11">
        <f t="shared" si="140"/>
        <v>37.180603445028673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1397.5311143124991</v>
      </c>
      <c r="H162" s="66">
        <f t="shared" si="110"/>
        <v>608.65129100009085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304.99999999999994</v>
      </c>
      <c r="O162" s="13">
        <f>N162*VLOOKUP('Données projet'!$B$9,Paramètres!$A$1:$I$89,3,0)*VLOOKUP('Données projet'!$B$9,Paramètres!$A$1:$I$89,5,0)</f>
        <v>275.96399999999994</v>
      </c>
      <c r="P162" s="13">
        <f t="shared" si="141"/>
        <v>66.113366665488911</v>
      </c>
      <c r="Q162" s="20">
        <f t="shared" si="162"/>
        <v>595.7847469423931</v>
      </c>
      <c r="R162" s="59">
        <f t="shared" si="109"/>
        <v>889.11808027572647</v>
      </c>
      <c r="S162" s="59">
        <f ca="1">AVERAGE(OFFSET($R$3,0,0,'Données projet'!$E$9+1,1))-AVERAGE(OFFSET($H$3,0,0,'Données projet'!$E$9+1,1))</f>
        <v>295.41366969872354</v>
      </c>
      <c r="T162" s="59">
        <f t="shared" si="142"/>
        <v>415.02188573182912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0.65039566986293851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0.65039566986293851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268.00000000000023</v>
      </c>
      <c r="AJ162" s="13">
        <f>AI162*VLOOKUP('Données projet'!$B$10,Paramètres!$A$1:$I$89,3,0)*VLOOKUP('Données projet'!$B$10,Paramètres!$A$1:$I$89,5,0)</f>
        <v>175.59360000000015</v>
      </c>
      <c r="AK162" s="13">
        <f t="shared" si="164"/>
        <v>44.340433728638573</v>
      </c>
      <c r="AL162" s="20">
        <f t="shared" si="165"/>
        <v>383.05177541071242</v>
      </c>
      <c r="AM162" s="59">
        <f t="shared" si="113"/>
        <v>676.38510874404574</v>
      </c>
      <c r="AN162" s="59">
        <f ca="1">AVERAGE(OFFSET($AM$3,0,0,'Données projet'!$E$10+1,1))-AVERAGE(OFFSET($H$3,0,0,'Données projet'!$E$10+1,1))</f>
        <v>173.80737004674131</v>
      </c>
      <c r="AO162" s="59">
        <f t="shared" si="144"/>
        <v>206.06552061664968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12.325993482908489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12.325993482908489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243</v>
      </c>
      <c r="BE162" s="13">
        <f>BD162*VLOOKUP('Données projet'!$B$11,Paramètres!$A$1:$I$89,3,0)*VLOOKUP('Données projet'!$B$11,Paramètres!$A$1:$I$89,5,0)</f>
        <v>155.4228</v>
      </c>
      <c r="BF162" s="13">
        <f t="shared" si="167"/>
        <v>39.808377687614154</v>
      </c>
      <c r="BG162" s="20">
        <f t="shared" si="168"/>
        <v>340.02763447259463</v>
      </c>
      <c r="BH162" s="59">
        <f t="shared" si="116"/>
        <v>633.36096780592788</v>
      </c>
      <c r="BI162" s="59">
        <f ca="1">AVERAGE(OFFSET($BH$3,0,0,'Données projet'!$E$11+1,1))-AVERAGE(OFFSET($H$3,0,0,'Données projet'!$E$11+1,1))</f>
        <v>136.80149066064263</v>
      </c>
      <c r="BJ162" s="59">
        <f t="shared" si="146"/>
        <v>148.87330541103535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12.776401694885118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12.776401694885118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144.7679999999996</v>
      </c>
      <c r="D163" s="11">
        <f t="shared" si="140"/>
        <v>37.387149255707726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1406.1099240791443</v>
      </c>
      <c r="H163" s="66">
        <f t="shared" si="110"/>
        <v>610.58688495369029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304.99999999999994</v>
      </c>
      <c r="O163" s="13">
        <f>N163*VLOOKUP('Données projet'!$B$9,Paramètres!$A$1:$I$89,3,0)*VLOOKUP('Données projet'!$B$9,Paramètres!$A$1:$I$89,5,0)</f>
        <v>275.96399999999994</v>
      </c>
      <c r="P163" s="13">
        <f t="shared" si="141"/>
        <v>66.113366665488911</v>
      </c>
      <c r="Q163" s="20">
        <f t="shared" si="162"/>
        <v>595.7847469423931</v>
      </c>
      <c r="R163" s="59">
        <f t="shared" si="109"/>
        <v>889.11808027572647</v>
      </c>
      <c r="S163" s="59">
        <f ca="1">AVERAGE(OFFSET($R$3,0,0,'Données projet'!$E$9+1,1))-AVERAGE(OFFSET($H$3,0,0,'Données projet'!$E$9+1,1))</f>
        <v>295.41366969872354</v>
      </c>
      <c r="T163" s="59">
        <f t="shared" si="142"/>
        <v>415.02188573182912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0.63764180747911381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0.63764180747911381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268.00000000000023</v>
      </c>
      <c r="AJ163" s="13">
        <f>AI163*VLOOKUP('Données projet'!$B$10,Paramètres!$A$1:$I$89,3,0)*VLOOKUP('Données projet'!$B$10,Paramètres!$A$1:$I$89,5,0)</f>
        <v>175.59360000000015</v>
      </c>
      <c r="AK163" s="13">
        <f t="shared" si="164"/>
        <v>44.340433728638573</v>
      </c>
      <c r="AL163" s="20">
        <f t="shared" si="165"/>
        <v>383.05177541071242</v>
      </c>
      <c r="AM163" s="59">
        <f t="shared" si="113"/>
        <v>676.38510874404574</v>
      </c>
      <c r="AN163" s="59">
        <f ca="1">AVERAGE(OFFSET($AM$3,0,0,'Données projet'!$E$10+1,1))-AVERAGE(OFFSET($H$3,0,0,'Données projet'!$E$10+1,1))</f>
        <v>173.80737004674131</v>
      </c>
      <c r="AO163" s="59">
        <f t="shared" si="144"/>
        <v>206.06552061664968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12.084288268822325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12.084288268822325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243</v>
      </c>
      <c r="BE163" s="13">
        <f>BD163*VLOOKUP('Données projet'!$B$11,Paramètres!$A$1:$I$89,3,0)*VLOOKUP('Données projet'!$B$11,Paramètres!$A$1:$I$89,5,0)</f>
        <v>155.4228</v>
      </c>
      <c r="BF163" s="13">
        <f t="shared" si="167"/>
        <v>39.808377687614154</v>
      </c>
      <c r="BG163" s="20">
        <f t="shared" si="168"/>
        <v>340.02763447259463</v>
      </c>
      <c r="BH163" s="59">
        <f t="shared" si="116"/>
        <v>633.36096780592788</v>
      </c>
      <c r="BI163" s="59">
        <f ca="1">AVERAGE(OFFSET($BH$3,0,0,'Données projet'!$E$11+1,1))-AVERAGE(OFFSET($H$3,0,0,'Données projet'!$E$11+1,1))</f>
        <v>136.80149066064263</v>
      </c>
      <c r="BJ163" s="59">
        <f t="shared" si="146"/>
        <v>148.87330541103535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12.525864250483977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12.525864250483977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145.6727999999996</v>
      </c>
      <c r="D164" s="11">
        <f t="shared" si="140"/>
        <v>37.593544857919632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1414.6875743418329</v>
      </c>
      <c r="H164" s="66">
        <f t="shared" si="110"/>
        <v>612.52221729420921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304.99999999999994</v>
      </c>
      <c r="O164" s="13">
        <f>N164*VLOOKUP('Données projet'!$B$9,Paramètres!$A$1:$I$89,3,0)*VLOOKUP('Données projet'!$B$9,Paramètres!$A$1:$I$89,5,0)</f>
        <v>275.96399999999994</v>
      </c>
      <c r="P164" s="13">
        <f t="shared" si="141"/>
        <v>66.113366665488911</v>
      </c>
      <c r="Q164" s="20">
        <f t="shared" si="162"/>
        <v>595.7847469423931</v>
      </c>
      <c r="R164" s="59">
        <f t="shared" si="109"/>
        <v>889.11808027572647</v>
      </c>
      <c r="S164" s="59">
        <f ca="1">AVERAGE(OFFSET($R$3,0,0,'Données projet'!$E$9+1,1))-AVERAGE(OFFSET($H$3,0,0,'Données projet'!$E$9+1,1))</f>
        <v>295.41366969872354</v>
      </c>
      <c r="T164" s="59">
        <f t="shared" si="142"/>
        <v>415.02188573182912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0.62513804055754796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0.62513804055754796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268.00000000000023</v>
      </c>
      <c r="AJ164" s="13">
        <f>AI164*VLOOKUP('Données projet'!$B$10,Paramètres!$A$1:$I$89,3,0)*VLOOKUP('Données projet'!$B$10,Paramètres!$A$1:$I$89,5,0)</f>
        <v>175.59360000000015</v>
      </c>
      <c r="AK164" s="13">
        <f t="shared" si="164"/>
        <v>44.340433728638573</v>
      </c>
      <c r="AL164" s="20">
        <f t="shared" si="165"/>
        <v>383.05177541071242</v>
      </c>
      <c r="AM164" s="59">
        <f t="shared" si="113"/>
        <v>676.38510874404574</v>
      </c>
      <c r="AN164" s="59">
        <f ca="1">AVERAGE(OFFSET($AM$3,0,0,'Données projet'!$E$10+1,1))-AVERAGE(OFFSET($H$3,0,0,'Données projet'!$E$10+1,1))</f>
        <v>173.80737004674131</v>
      </c>
      <c r="AO164" s="59">
        <f t="shared" si="144"/>
        <v>206.06552061664968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11.847322746558769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11.847322746558769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243</v>
      </c>
      <c r="BE164" s="13">
        <f>BD164*VLOOKUP('Données projet'!$B$11,Paramètres!$A$1:$I$89,3,0)*VLOOKUP('Données projet'!$B$11,Paramètres!$A$1:$I$89,5,0)</f>
        <v>155.4228</v>
      </c>
      <c r="BF164" s="13">
        <f t="shared" si="167"/>
        <v>39.808377687614154</v>
      </c>
      <c r="BG164" s="20">
        <f t="shared" si="168"/>
        <v>340.02763447259463</v>
      </c>
      <c r="BH164" s="59">
        <f t="shared" si="116"/>
        <v>633.36096780592788</v>
      </c>
      <c r="BI164" s="59">
        <f ca="1">AVERAGE(OFFSET($BH$3,0,0,'Données projet'!$E$11+1,1))-AVERAGE(OFFSET($H$3,0,0,'Données projet'!$E$11+1,1))</f>
        <v>136.80149066064263</v>
      </c>
      <c r="BJ164" s="59">
        <f t="shared" si="146"/>
        <v>148.87330541103535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12.280239692554789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12.280239692554789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146.57759999999959</v>
      </c>
      <c r="D165" s="11">
        <f t="shared" si="140"/>
        <v>37.799791292871177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1423.2640731379497</v>
      </c>
      <c r="H165" s="66">
        <f t="shared" si="110"/>
        <v>614.4572898350832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304.99999999999994</v>
      </c>
      <c r="O165" s="13">
        <f>N165*VLOOKUP('Données projet'!$B$9,Paramètres!$A$1:$I$89,3,0)*VLOOKUP('Données projet'!$B$9,Paramètres!$A$1:$I$89,5,0)</f>
        <v>275.96399999999994</v>
      </c>
      <c r="P165" s="13">
        <f t="shared" si="141"/>
        <v>66.113366665488911</v>
      </c>
      <c r="Q165" s="20">
        <f t="shared" si="162"/>
        <v>595.7847469423931</v>
      </c>
      <c r="R165" s="59">
        <f t="shared" si="109"/>
        <v>889.11808027572647</v>
      </c>
      <c r="S165" s="59">
        <f ca="1">AVERAGE(OFFSET($R$3,0,0,'Données projet'!$E$9+1,1))-AVERAGE(OFFSET($H$3,0,0,'Données projet'!$E$9+1,1))</f>
        <v>295.41366969872354</v>
      </c>
      <c r="T165" s="59">
        <f t="shared" si="142"/>
        <v>415.02188573182912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0.61287946487876932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0.61287946487876932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268.00000000000023</v>
      </c>
      <c r="AJ165" s="13">
        <f>AI165*VLOOKUP('Données projet'!$B$10,Paramètres!$A$1:$I$89,3,0)*VLOOKUP('Données projet'!$B$10,Paramètres!$A$1:$I$89,5,0)</f>
        <v>175.59360000000015</v>
      </c>
      <c r="AK165" s="13">
        <f t="shared" si="164"/>
        <v>44.340433728638573</v>
      </c>
      <c r="AL165" s="20">
        <f t="shared" si="165"/>
        <v>383.05177541071242</v>
      </c>
      <c r="AM165" s="59">
        <f t="shared" si="113"/>
        <v>676.38510874404574</v>
      </c>
      <c r="AN165" s="59">
        <f ca="1">AVERAGE(OFFSET($AM$3,0,0,'Données projet'!$E$10+1,1))-AVERAGE(OFFSET($H$3,0,0,'Données projet'!$E$10+1,1))</f>
        <v>173.80737004674131</v>
      </c>
      <c r="AO165" s="59">
        <f t="shared" si="144"/>
        <v>206.06552061664968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11.615003973652103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11.615003973652103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243</v>
      </c>
      <c r="BE165" s="13">
        <f>BD165*VLOOKUP('Données projet'!$B$11,Paramètres!$A$1:$I$89,3,0)*VLOOKUP('Données projet'!$B$11,Paramètres!$A$1:$I$89,5,0)</f>
        <v>155.4228</v>
      </c>
      <c r="BF165" s="13">
        <f t="shared" si="167"/>
        <v>39.808377687614154</v>
      </c>
      <c r="BG165" s="20">
        <f t="shared" si="168"/>
        <v>340.02763447259463</v>
      </c>
      <c r="BH165" s="59">
        <f t="shared" si="116"/>
        <v>633.36096780592788</v>
      </c>
      <c r="BI165" s="59">
        <f ca="1">AVERAGE(OFFSET($BH$3,0,0,'Données projet'!$E$11+1,1))-AVERAGE(OFFSET($H$3,0,0,'Données projet'!$E$11+1,1))</f>
        <v>136.80149066064263</v>
      </c>
      <c r="BJ165" s="59">
        <f t="shared" si="146"/>
        <v>148.87330541103535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12.039431682390406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12.039431682390406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147.48239999999959</v>
      </c>
      <c r="D166" s="11">
        <f t="shared" si="140"/>
        <v>38.005889588171144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1431.8394283999148</v>
      </c>
      <c r="H166" s="66">
        <f t="shared" si="110"/>
        <v>616.39210436606402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304.99999999999994</v>
      </c>
      <c r="O166" s="13">
        <f>N166*VLOOKUP('Données projet'!$B$9,Paramètres!$A$1:$I$89,3,0)*VLOOKUP('Données projet'!$B$9,Paramètres!$A$1:$I$89,5,0)</f>
        <v>275.96399999999994</v>
      </c>
      <c r="P166" s="13">
        <f t="shared" si="141"/>
        <v>66.113366665488911</v>
      </c>
      <c r="Q166" s="20">
        <f t="shared" si="162"/>
        <v>595.7847469423931</v>
      </c>
      <c r="R166" s="59">
        <f t="shared" si="109"/>
        <v>889.11808027572647</v>
      </c>
      <c r="S166" s="59">
        <f ca="1">AVERAGE(OFFSET($R$3,0,0,'Données projet'!$E$9+1,1))-AVERAGE(OFFSET($H$3,0,0,'Données projet'!$E$9+1,1))</f>
        <v>295.41366969872354</v>
      </c>
      <c r="T166" s="59">
        <f t="shared" si="142"/>
        <v>415.02188573182912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0.60086127239205867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0.60086127239205867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268.00000000000023</v>
      </c>
      <c r="AJ166" s="13">
        <f>AI166*VLOOKUP('Données projet'!$B$10,Paramètres!$A$1:$I$89,3,0)*VLOOKUP('Données projet'!$B$10,Paramètres!$A$1:$I$89,5,0)</f>
        <v>175.59360000000015</v>
      </c>
      <c r="AK166" s="13">
        <f t="shared" si="164"/>
        <v>44.340433728638573</v>
      </c>
      <c r="AL166" s="20">
        <f t="shared" si="165"/>
        <v>383.05177541071242</v>
      </c>
      <c r="AM166" s="59">
        <f t="shared" si="113"/>
        <v>676.38510874404574</v>
      </c>
      <c r="AN166" s="59">
        <f ca="1">AVERAGE(OFFSET($AM$3,0,0,'Données projet'!$E$10+1,1))-AVERAGE(OFFSET($H$3,0,0,'Données projet'!$E$10+1,1))</f>
        <v>173.80737004674131</v>
      </c>
      <c r="AO166" s="59">
        <f t="shared" si="144"/>
        <v>206.06552061664968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11.387240830181677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11.387240830181677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243</v>
      </c>
      <c r="BE166" s="13">
        <f>BD166*VLOOKUP('Données projet'!$B$11,Paramètres!$A$1:$I$89,3,0)*VLOOKUP('Données projet'!$B$11,Paramètres!$A$1:$I$89,5,0)</f>
        <v>155.4228</v>
      </c>
      <c r="BF166" s="13">
        <f t="shared" si="167"/>
        <v>39.808377687614154</v>
      </c>
      <c r="BG166" s="20">
        <f t="shared" si="168"/>
        <v>340.02763447259463</v>
      </c>
      <c r="BH166" s="59">
        <f t="shared" si="116"/>
        <v>633.36096780592788</v>
      </c>
      <c r="BI166" s="59">
        <f ca="1">AVERAGE(OFFSET($BH$3,0,0,'Données projet'!$E$11+1,1))-AVERAGE(OFFSET($H$3,0,0,'Données projet'!$E$11+1,1))</f>
        <v>136.80149066064263</v>
      </c>
      <c r="BJ166" s="59">
        <f t="shared" si="146"/>
        <v>148.87330541103535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11.803345770426963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11.803345770426963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148.38719999999958</v>
      </c>
      <c r="D167" s="11">
        <f t="shared" si="140"/>
        <v>38.211840758090489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1440.4136479571864</v>
      </c>
      <c r="H167" s="66">
        <f t="shared" si="110"/>
        <v>618.32666265367345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304.99999999999994</v>
      </c>
      <c r="O167" s="13">
        <f>N167*VLOOKUP('Données projet'!$B$9,Paramètres!$A$1:$I$89,3,0)*VLOOKUP('Données projet'!$B$9,Paramètres!$A$1:$I$89,5,0)</f>
        <v>275.96399999999994</v>
      </c>
      <c r="P167" s="13">
        <f t="shared" si="141"/>
        <v>66.113366665488911</v>
      </c>
      <c r="Q167" s="20">
        <f t="shared" si="162"/>
        <v>595.7847469423931</v>
      </c>
      <c r="R167" s="59">
        <f t="shared" si="109"/>
        <v>889.11808027572647</v>
      </c>
      <c r="S167" s="59">
        <f ca="1">AVERAGE(OFFSET($R$3,0,0,'Données projet'!$E$9+1,1))-AVERAGE(OFFSET($H$3,0,0,'Données projet'!$E$9+1,1))</f>
        <v>295.41366969872354</v>
      </c>
      <c r="T167" s="59">
        <f t="shared" si="142"/>
        <v>415.02188573182912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0.58907874932963877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0.58907874932963877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268.00000000000023</v>
      </c>
      <c r="AJ167" s="13">
        <f>AI167*VLOOKUP('Données projet'!$B$10,Paramètres!$A$1:$I$89,3,0)*VLOOKUP('Données projet'!$B$10,Paramètres!$A$1:$I$89,5,0)</f>
        <v>175.59360000000015</v>
      </c>
      <c r="AK167" s="13">
        <f t="shared" si="164"/>
        <v>44.340433728638573</v>
      </c>
      <c r="AL167" s="20">
        <f t="shared" si="165"/>
        <v>383.05177541071242</v>
      </c>
      <c r="AM167" s="59">
        <f t="shared" si="113"/>
        <v>676.38510874404574</v>
      </c>
      <c r="AN167" s="59">
        <f ca="1">AVERAGE(OFFSET($AM$3,0,0,'Données projet'!$E$10+1,1))-AVERAGE(OFFSET($H$3,0,0,'Données projet'!$E$10+1,1))</f>
        <v>173.80737004674131</v>
      </c>
      <c r="AO167" s="59">
        <f t="shared" si="144"/>
        <v>206.06552061664968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11.163943983032906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11.163943983032906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243</v>
      </c>
      <c r="BE167" s="13">
        <f>BD167*VLOOKUP('Données projet'!$B$11,Paramètres!$A$1:$I$89,3,0)*VLOOKUP('Données projet'!$B$11,Paramètres!$A$1:$I$89,5,0)</f>
        <v>155.4228</v>
      </c>
      <c r="BF167" s="13">
        <f t="shared" si="167"/>
        <v>39.808377687614154</v>
      </c>
      <c r="BG167" s="20">
        <f t="shared" si="168"/>
        <v>340.02763447259463</v>
      </c>
      <c r="BH167" s="59">
        <f t="shared" si="116"/>
        <v>633.36096780592788</v>
      </c>
      <c r="BI167" s="59">
        <f ca="1">AVERAGE(OFFSET($BH$3,0,0,'Données projet'!$E$11+1,1))-AVERAGE(OFFSET($H$3,0,0,'Données projet'!$E$11+1,1))</f>
        <v>136.80149066064263</v>
      </c>
      <c r="BJ167" s="59">
        <f t="shared" si="146"/>
        <v>148.87330541103535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11.571889359198936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11.571889359198936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149.29199999999958</v>
      </c>
      <c r="D168" s="11">
        <f t="shared" si="140"/>
        <v>38.41764580381534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1448.9867395382205</v>
      </c>
      <c r="H168" s="66">
        <f t="shared" si="110"/>
        <v>620.26096644164431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304.99999999999994</v>
      </c>
      <c r="O168" s="13">
        <f>N168*VLOOKUP('Données projet'!$B$9,Paramètres!$A$1:$I$89,3,0)*VLOOKUP('Données projet'!$B$9,Paramètres!$A$1:$I$89,5,0)</f>
        <v>275.96399999999994</v>
      </c>
      <c r="P168" s="13">
        <f t="shared" si="141"/>
        <v>66.113366665488911</v>
      </c>
      <c r="Q168" s="20">
        <f t="shared" si="162"/>
        <v>595.7847469423931</v>
      </c>
      <c r="R168" s="59">
        <f t="shared" si="109"/>
        <v>889.11808027572647</v>
      </c>
      <c r="S168" s="59">
        <f ca="1">AVERAGE(OFFSET($R$3,0,0,'Données projet'!$E$9+1,1))-AVERAGE(OFFSET($H$3,0,0,'Données projet'!$E$9+1,1))</f>
        <v>295.41366969872354</v>
      </c>
      <c r="T168" s="59">
        <f t="shared" si="142"/>
        <v>415.02188573182912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0.57752727435784346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0.57752727435784346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268.00000000000023</v>
      </c>
      <c r="AJ168" s="13">
        <f>AI168*VLOOKUP('Données projet'!$B$10,Paramètres!$A$1:$I$89,3,0)*VLOOKUP('Données projet'!$B$10,Paramètres!$A$1:$I$89,5,0)</f>
        <v>175.59360000000015</v>
      </c>
      <c r="AK168" s="13">
        <f t="shared" si="164"/>
        <v>44.340433728638573</v>
      </c>
      <c r="AL168" s="20">
        <f t="shared" si="165"/>
        <v>383.05177541071242</v>
      </c>
      <c r="AM168" s="59">
        <f t="shared" si="113"/>
        <v>676.38510874404574</v>
      </c>
      <c r="AN168" s="59">
        <f ca="1">AVERAGE(OFFSET($AM$3,0,0,'Données projet'!$E$10+1,1))-AVERAGE(OFFSET($H$3,0,0,'Données projet'!$E$10+1,1))</f>
        <v>173.80737004674131</v>
      </c>
      <c r="AO168" s="59">
        <f t="shared" si="144"/>
        <v>206.06552061664968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10.945025850859095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10.945025850859095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243</v>
      </c>
      <c r="BE168" s="13">
        <f>BD168*VLOOKUP('Données projet'!$B$11,Paramètres!$A$1:$I$89,3,0)*VLOOKUP('Données projet'!$B$11,Paramètres!$A$1:$I$89,5,0)</f>
        <v>155.4228</v>
      </c>
      <c r="BF168" s="13">
        <f t="shared" si="167"/>
        <v>39.808377687614154</v>
      </c>
      <c r="BG168" s="20">
        <f t="shared" si="168"/>
        <v>340.02763447259463</v>
      </c>
      <c r="BH168" s="59">
        <f t="shared" si="116"/>
        <v>633.36096780592788</v>
      </c>
      <c r="BI168" s="59">
        <f ca="1">AVERAGE(OFFSET($BH$3,0,0,'Données projet'!$E$11+1,1))-AVERAGE(OFFSET($H$3,0,0,'Données projet'!$E$11+1,1))</f>
        <v>136.80149066064263</v>
      </c>
      <c r="BJ168" s="59">
        <f t="shared" si="146"/>
        <v>148.87330541103535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11.344971667020619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11.344971667020619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150.19679999999957</v>
      </c>
      <c r="D169" s="11">
        <f t="shared" si="140"/>
        <v>38.6233057136944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1457.5587107723748</v>
      </c>
      <c r="H169" s="66">
        <f t="shared" si="110"/>
        <v>622.1950174513504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304.99999999999994</v>
      </c>
      <c r="O169" s="13">
        <f>N169*VLOOKUP('Données projet'!$B$9,Paramètres!$A$1:$I$89,3,0)*VLOOKUP('Données projet'!$B$9,Paramètres!$A$1:$I$89,5,0)</f>
        <v>275.96399999999994</v>
      </c>
      <c r="P169" s="13">
        <f t="shared" si="141"/>
        <v>66.113366665488911</v>
      </c>
      <c r="Q169" s="20">
        <f t="shared" si="162"/>
        <v>595.7847469423931</v>
      </c>
      <c r="R169" s="59">
        <f t="shared" si="109"/>
        <v>889.11808027572647</v>
      </c>
      <c r="S169" s="59">
        <f ca="1">AVERAGE(OFFSET($R$3,0,0,'Données projet'!$E$9+1,1))-AVERAGE(OFFSET($H$3,0,0,'Données projet'!$E$9+1,1))</f>
        <v>295.41366969872354</v>
      </c>
      <c r="T169" s="59">
        <f t="shared" si="142"/>
        <v>415.02188573182912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0.56620231676454102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0.56620231676454102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268.00000000000023</v>
      </c>
      <c r="AJ169" s="13">
        <f>AI169*VLOOKUP('Données projet'!$B$10,Paramètres!$A$1:$I$89,3,0)*VLOOKUP('Données projet'!$B$10,Paramètres!$A$1:$I$89,5,0)</f>
        <v>175.59360000000015</v>
      </c>
      <c r="AK169" s="13">
        <f t="shared" si="164"/>
        <v>44.340433728638573</v>
      </c>
      <c r="AL169" s="20">
        <f t="shared" si="165"/>
        <v>383.05177541071242</v>
      </c>
      <c r="AM169" s="59">
        <f t="shared" si="113"/>
        <v>676.38510874404574</v>
      </c>
      <c r="AN169" s="59">
        <f ca="1">AVERAGE(OFFSET($AM$3,0,0,'Données projet'!$E$10+1,1))-AVERAGE(OFFSET($H$3,0,0,'Données projet'!$E$10+1,1))</f>
        <v>173.80737004674131</v>
      </c>
      <c r="AO169" s="59">
        <f t="shared" si="144"/>
        <v>206.06552061664968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10.730400569730335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10.730400569730335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243</v>
      </c>
      <c r="BE169" s="13">
        <f>BD169*VLOOKUP('Données projet'!$B$11,Paramètres!$A$1:$I$89,3,0)*VLOOKUP('Données projet'!$B$11,Paramètres!$A$1:$I$89,5,0)</f>
        <v>155.4228</v>
      </c>
      <c r="BF169" s="13">
        <f t="shared" si="167"/>
        <v>39.808377687614154</v>
      </c>
      <c r="BG169" s="20">
        <f t="shared" si="168"/>
        <v>340.02763447259463</v>
      </c>
      <c r="BH169" s="59">
        <f t="shared" si="116"/>
        <v>633.36096780592788</v>
      </c>
      <c r="BI169" s="59">
        <f ca="1">AVERAGE(OFFSET($BH$3,0,0,'Données projet'!$E$11+1,1))-AVERAGE(OFFSET($H$3,0,0,'Données projet'!$E$11+1,1))</f>
        <v>136.80149066064263</v>
      </c>
      <c r="BJ169" s="59">
        <f t="shared" si="146"/>
        <v>148.87330541103535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11.122503692379793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11.122503692379793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151.10159999999956</v>
      </c>
      <c r="D170" s="11">
        <f t="shared" si="140"/>
        <v>38.82882146347967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1466.1295691917696</v>
      </c>
      <c r="H170" s="66">
        <f t="shared" si="110"/>
        <v>624.12881738222632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304.99999999999994</v>
      </c>
      <c r="O170" s="13">
        <f>N170*VLOOKUP('Données projet'!$B$9,Paramètres!$A$1:$I$89,3,0)*VLOOKUP('Données projet'!$B$9,Paramètres!$A$1:$I$89,5,0)</f>
        <v>275.96399999999994</v>
      </c>
      <c r="P170" s="13">
        <f t="shared" si="141"/>
        <v>66.113366665488911</v>
      </c>
      <c r="Q170" s="20">
        <f t="shared" si="162"/>
        <v>595.7847469423931</v>
      </c>
      <c r="R170" s="59">
        <f t="shared" si="109"/>
        <v>889.11808027572647</v>
      </c>
      <c r="S170" s="59">
        <f ca="1">AVERAGE(OFFSET($R$3,0,0,'Données projet'!$E$9+1,1))-AVERAGE(OFFSET($H$3,0,0,'Données projet'!$E$9+1,1))</f>
        <v>295.41366969872354</v>
      </c>
      <c r="T170" s="59">
        <f t="shared" si="142"/>
        <v>415.02188573182912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0.55509943468210121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0.55509943468210121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268.00000000000023</v>
      </c>
      <c r="AJ170" s="13">
        <f>AI170*VLOOKUP('Données projet'!$B$10,Paramètres!$A$1:$I$89,3,0)*VLOOKUP('Données projet'!$B$10,Paramètres!$A$1:$I$89,5,0)</f>
        <v>175.59360000000015</v>
      </c>
      <c r="AK170" s="13">
        <f t="shared" si="164"/>
        <v>44.340433728638573</v>
      </c>
      <c r="AL170" s="20">
        <f t="shared" si="165"/>
        <v>383.05177541071242</v>
      </c>
      <c r="AM170" s="59">
        <f t="shared" si="113"/>
        <v>676.38510874404574</v>
      </c>
      <c r="AN170" s="59">
        <f ca="1">AVERAGE(OFFSET($AM$3,0,0,'Données projet'!$E$10+1,1))-AVERAGE(OFFSET($H$3,0,0,'Données projet'!$E$10+1,1))</f>
        <v>173.80737004674131</v>
      </c>
      <c r="AO170" s="59">
        <f t="shared" si="144"/>
        <v>206.06552061664968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10.519983959456017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10.519983959456017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243</v>
      </c>
      <c r="BE170" s="13">
        <f>BD170*VLOOKUP('Données projet'!$B$11,Paramètres!$A$1:$I$89,3,0)*VLOOKUP('Données projet'!$B$11,Paramètres!$A$1:$I$89,5,0)</f>
        <v>155.4228</v>
      </c>
      <c r="BF170" s="13">
        <f t="shared" si="167"/>
        <v>39.808377687614154</v>
      </c>
      <c r="BG170" s="20">
        <f t="shared" si="168"/>
        <v>340.02763447259463</v>
      </c>
      <c r="BH170" s="59">
        <f t="shared" si="116"/>
        <v>633.36096780592788</v>
      </c>
      <c r="BI170" s="59">
        <f ca="1">AVERAGE(OFFSET($BH$3,0,0,'Données projet'!$E$11+1,1))-AVERAGE(OFFSET($H$3,0,0,'Données projet'!$E$11+1,1))</f>
        <v>136.80149066064263</v>
      </c>
      <c r="BJ170" s="59">
        <f t="shared" si="146"/>
        <v>148.87330541103535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10.904398179029608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10.904398179029608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152.00639999999956</v>
      </c>
      <c r="D171" s="11">
        <f t="shared" si="140"/>
        <v>39.034194016561351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1474.6993222331018</v>
      </c>
      <c r="H171" s="66">
        <f t="shared" si="110"/>
        <v>626.0623679121768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304.99999999999994</v>
      </c>
      <c r="O171" s="13">
        <f>N171*VLOOKUP('Données projet'!$B$9,Paramètres!$A$1:$I$89,3,0)*VLOOKUP('Données projet'!$B$9,Paramètres!$A$1:$I$89,5,0)</f>
        <v>275.96399999999994</v>
      </c>
      <c r="P171" s="13">
        <f t="shared" si="141"/>
        <v>66.113366665488911</v>
      </c>
      <c r="Q171" s="20">
        <f t="shared" si="162"/>
        <v>595.7847469423931</v>
      </c>
      <c r="R171" s="59">
        <f t="shared" si="109"/>
        <v>889.11808027572647</v>
      </c>
      <c r="S171" s="59">
        <f ca="1">AVERAGE(OFFSET($R$3,0,0,'Données projet'!$E$9+1,1))-AVERAGE(OFFSET($H$3,0,0,'Données projet'!$E$9+1,1))</f>
        <v>295.41366969872354</v>
      </c>
      <c r="T171" s="59">
        <f t="shared" si="142"/>
        <v>415.02188573182912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0.54421427334520867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0.54421427334520867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268.00000000000023</v>
      </c>
      <c r="AJ171" s="13">
        <f>AI171*VLOOKUP('Données projet'!$B$10,Paramètres!$A$1:$I$89,3,0)*VLOOKUP('Données projet'!$B$10,Paramètres!$A$1:$I$89,5,0)</f>
        <v>175.59360000000015</v>
      </c>
      <c r="AK171" s="13">
        <f t="shared" si="164"/>
        <v>44.340433728638573</v>
      </c>
      <c r="AL171" s="20">
        <f t="shared" si="165"/>
        <v>383.05177541071242</v>
      </c>
      <c r="AM171" s="59">
        <f t="shared" si="113"/>
        <v>676.38510874404574</v>
      </c>
      <c r="AN171" s="59">
        <f ca="1">AVERAGE(OFFSET($AM$3,0,0,'Données projet'!$E$10+1,1))-AVERAGE(OFFSET($H$3,0,0,'Données projet'!$E$10+1,1))</f>
        <v>173.80737004674131</v>
      </c>
      <c r="AO171" s="59">
        <f t="shared" si="144"/>
        <v>206.06552061664968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10.313693490567717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10.313693490567717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243</v>
      </c>
      <c r="BE171" s="13">
        <f>BD171*VLOOKUP('Données projet'!$B$11,Paramètres!$A$1:$I$89,3,0)*VLOOKUP('Données projet'!$B$11,Paramètres!$A$1:$I$89,5,0)</f>
        <v>155.4228</v>
      </c>
      <c r="BF171" s="13">
        <f t="shared" si="167"/>
        <v>39.808377687614154</v>
      </c>
      <c r="BG171" s="20">
        <f t="shared" si="168"/>
        <v>340.02763447259463</v>
      </c>
      <c r="BH171" s="59">
        <f t="shared" si="116"/>
        <v>633.36096780592788</v>
      </c>
      <c r="BI171" s="59">
        <f ca="1">AVERAGE(OFFSET($BH$3,0,0,'Données projet'!$E$11+1,1))-AVERAGE(OFFSET($H$3,0,0,'Données projet'!$E$11+1,1))</f>
        <v>136.80149066064263</v>
      </c>
      <c r="BJ171" s="59">
        <f t="shared" si="146"/>
        <v>148.87330541103535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10.690569581764992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10.690569581764992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152.91119999999955</v>
      </c>
      <c r="D172" s="11">
        <f t="shared" si="140"/>
        <v>39.239424324197437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1483.2679772394156</v>
      </c>
      <c r="H172" s="66">
        <f t="shared" si="110"/>
        <v>627.99567069797638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304.99999999999994</v>
      </c>
      <c r="O172" s="13">
        <f>N172*VLOOKUP('Données projet'!$B$9,Paramètres!$A$1:$I$89,3,0)*VLOOKUP('Données projet'!$B$9,Paramètres!$A$1:$I$89,5,0)</f>
        <v>275.96399999999994</v>
      </c>
      <c r="P172" s="13">
        <f t="shared" si="141"/>
        <v>66.113366665488911</v>
      </c>
      <c r="Q172" s="20">
        <f t="shared" si="162"/>
        <v>595.7847469423931</v>
      </c>
      <c r="R172" s="59">
        <f t="shared" si="109"/>
        <v>889.11808027572647</v>
      </c>
      <c r="S172" s="59">
        <f ca="1">AVERAGE(OFFSET($R$3,0,0,'Données projet'!$E$9+1,1))-AVERAGE(OFFSET($H$3,0,0,'Données projet'!$E$9+1,1))</f>
        <v>295.41366969872354</v>
      </c>
      <c r="T172" s="59">
        <f t="shared" si="142"/>
        <v>415.02188573182912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0.53354256338283967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0.53354256338283967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268.00000000000023</v>
      </c>
      <c r="AJ172" s="13">
        <f>AI172*VLOOKUP('Données projet'!$B$10,Paramètres!$A$1:$I$89,3,0)*VLOOKUP('Données projet'!$B$10,Paramètres!$A$1:$I$89,5,0)</f>
        <v>175.59360000000015</v>
      </c>
      <c r="AK172" s="13">
        <f t="shared" si="164"/>
        <v>44.340433728638573</v>
      </c>
      <c r="AL172" s="20">
        <f t="shared" si="165"/>
        <v>383.05177541071242</v>
      </c>
      <c r="AM172" s="59">
        <f t="shared" si="113"/>
        <v>676.38510874404574</v>
      </c>
      <c r="AN172" s="59">
        <f ca="1">AVERAGE(OFFSET($AM$3,0,0,'Données projet'!$E$10+1,1))-AVERAGE(OFFSET($H$3,0,0,'Données projet'!$E$10+1,1))</f>
        <v>173.80737004674131</v>
      </c>
      <c r="AO172" s="59">
        <f t="shared" si="144"/>
        <v>206.06552061664968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10.111448251949556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10.111448251949556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243</v>
      </c>
      <c r="BE172" s="13">
        <f>BD172*VLOOKUP('Données projet'!$B$11,Paramètres!$A$1:$I$89,3,0)*VLOOKUP('Données projet'!$B$11,Paramètres!$A$1:$I$89,5,0)</f>
        <v>155.4228</v>
      </c>
      <c r="BF172" s="13">
        <f t="shared" si="167"/>
        <v>39.808377687614154</v>
      </c>
      <c r="BG172" s="20">
        <f t="shared" si="168"/>
        <v>340.02763447259463</v>
      </c>
      <c r="BH172" s="59">
        <f t="shared" si="116"/>
        <v>633.36096780592788</v>
      </c>
      <c r="BI172" s="59">
        <f ca="1">AVERAGE(OFFSET($BH$3,0,0,'Données projet'!$E$11+1,1))-AVERAGE(OFFSET($H$3,0,0,'Données projet'!$E$11+1,1))</f>
        <v>136.80149066064263</v>
      </c>
      <c r="BJ172" s="59">
        <f t="shared" si="146"/>
        <v>148.87330541103535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10.480934032870168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10.480934032870168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153.81599999999955</v>
      </c>
      <c r="D173" s="11">
        <f t="shared" si="140"/>
        <v>39.444513325736956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1491.8355414618256</v>
      </c>
      <c r="H173" s="66">
        <f t="shared" si="110"/>
        <v>629.92872737565767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304.99999999999994</v>
      </c>
      <c r="O173" s="13">
        <f>N173*VLOOKUP('Données projet'!$B$9,Paramètres!$A$1:$I$89,3,0)*VLOOKUP('Données projet'!$B$9,Paramètres!$A$1:$I$89,5,0)</f>
        <v>275.96399999999994</v>
      </c>
      <c r="P173" s="13">
        <f t="shared" si="141"/>
        <v>66.113366665488911</v>
      </c>
      <c r="Q173" s="20">
        <f t="shared" si="162"/>
        <v>595.7847469423931</v>
      </c>
      <c r="R173" s="59">
        <f t="shared" si="109"/>
        <v>889.11808027572647</v>
      </c>
      <c r="S173" s="59">
        <f ca="1">AVERAGE(OFFSET($R$3,0,0,'Données projet'!$E$9+1,1))-AVERAGE(OFFSET($H$3,0,0,'Données projet'!$E$9+1,1))</f>
        <v>295.41366969872354</v>
      </c>
      <c r="T173" s="59">
        <f t="shared" si="142"/>
        <v>415.02188573182912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0.52308011914373242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0.52308011914373242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268.00000000000023</v>
      </c>
      <c r="AJ173" s="13">
        <f>AI173*VLOOKUP('Données projet'!$B$10,Paramètres!$A$1:$I$89,3,0)*VLOOKUP('Données projet'!$B$10,Paramètres!$A$1:$I$89,5,0)</f>
        <v>175.59360000000015</v>
      </c>
      <c r="AK173" s="13">
        <f t="shared" si="164"/>
        <v>44.340433728638573</v>
      </c>
      <c r="AL173" s="20">
        <f t="shared" si="165"/>
        <v>383.05177541071242</v>
      </c>
      <c r="AM173" s="59">
        <f t="shared" si="113"/>
        <v>676.38510874404574</v>
      </c>
      <c r="AN173" s="59">
        <f ca="1">AVERAGE(OFFSET($AM$3,0,0,'Données projet'!$E$10+1,1))-AVERAGE(OFFSET($H$3,0,0,'Données projet'!$E$10+1,1))</f>
        <v>173.80737004674131</v>
      </c>
      <c r="AO173" s="59">
        <f t="shared" si="144"/>
        <v>206.06552061664968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9.9131689191032812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9.9131689191032812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243</v>
      </c>
      <c r="BE173" s="13">
        <f>BD173*VLOOKUP('Données projet'!$B$11,Paramètres!$A$1:$I$89,3,0)*VLOOKUP('Données projet'!$B$11,Paramètres!$A$1:$I$89,5,0)</f>
        <v>155.4228</v>
      </c>
      <c r="BF173" s="13">
        <f t="shared" si="167"/>
        <v>39.808377687614154</v>
      </c>
      <c r="BG173" s="20">
        <f t="shared" si="168"/>
        <v>340.02763447259463</v>
      </c>
      <c r="BH173" s="59">
        <f t="shared" si="116"/>
        <v>633.36096780592788</v>
      </c>
      <c r="BI173" s="59">
        <f ca="1">AVERAGE(OFFSET($BH$3,0,0,'Données projet'!$E$11+1,1))-AVERAGE(OFFSET($H$3,0,0,'Données projet'!$E$11+1,1))</f>
        <v>136.80149066064263</v>
      </c>
      <c r="BJ173" s="59">
        <f t="shared" si="146"/>
        <v>148.87330541103535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10.275409309224115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10.275409309224115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154.72079999999954</v>
      </c>
      <c r="D174" s="11">
        <f t="shared" si="140"/>
        <v>39.649461948838486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1500.4020220612058</v>
      </c>
      <c r="H174" s="66">
        <f t="shared" si="110"/>
        <v>631.86153956089288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304.99999999999994</v>
      </c>
      <c r="O174" s="13">
        <f>N174*VLOOKUP('Données projet'!$B$9,Paramètres!$A$1:$I$89,3,0)*VLOOKUP('Données projet'!$B$9,Paramètres!$A$1:$I$89,5,0)</f>
        <v>275.96399999999994</v>
      </c>
      <c r="P174" s="13">
        <f t="shared" si="141"/>
        <v>66.113366665488911</v>
      </c>
      <c r="Q174" s="20">
        <f t="shared" si="162"/>
        <v>595.7847469423931</v>
      </c>
      <c r="R174" s="59">
        <f t="shared" si="109"/>
        <v>889.11808027572647</v>
      </c>
      <c r="S174" s="59">
        <f ca="1">AVERAGE(OFFSET($R$3,0,0,'Données projet'!$E$9+1,1))-AVERAGE(OFFSET($H$3,0,0,'Données projet'!$E$9+1,1))</f>
        <v>295.41366969872354</v>
      </c>
      <c r="T174" s="59">
        <f t="shared" si="142"/>
        <v>415.02188573182912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0.51282283705469323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0.51282283705469323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268.00000000000023</v>
      </c>
      <c r="AJ174" s="13">
        <f>AI174*VLOOKUP('Données projet'!$B$10,Paramètres!$A$1:$I$89,3,0)*VLOOKUP('Données projet'!$B$10,Paramètres!$A$1:$I$89,5,0)</f>
        <v>175.59360000000015</v>
      </c>
      <c r="AK174" s="13">
        <f t="shared" si="164"/>
        <v>44.340433728638573</v>
      </c>
      <c r="AL174" s="20">
        <f t="shared" si="165"/>
        <v>383.05177541071242</v>
      </c>
      <c r="AM174" s="59">
        <f t="shared" si="113"/>
        <v>676.38510874404574</v>
      </c>
      <c r="AN174" s="59">
        <f ca="1">AVERAGE(OFFSET($AM$3,0,0,'Données projet'!$E$10+1,1))-AVERAGE(OFFSET($H$3,0,0,'Données projet'!$E$10+1,1))</f>
        <v>173.80737004674131</v>
      </c>
      <c r="AO174" s="59">
        <f t="shared" si="144"/>
        <v>206.06552061664968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9.7187777230356698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9.7187777230356698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243</v>
      </c>
      <c r="BE174" s="13">
        <f>BD174*VLOOKUP('Données projet'!$B$11,Paramètres!$A$1:$I$89,3,0)*VLOOKUP('Données projet'!$B$11,Paramètres!$A$1:$I$89,5,0)</f>
        <v>155.4228</v>
      </c>
      <c r="BF174" s="13">
        <f t="shared" si="167"/>
        <v>39.808377687614154</v>
      </c>
      <c r="BG174" s="20">
        <f t="shared" si="168"/>
        <v>340.02763447259463</v>
      </c>
      <c r="BH174" s="59">
        <f t="shared" si="116"/>
        <v>633.36096780592788</v>
      </c>
      <c r="BI174" s="59">
        <f ca="1">AVERAGE(OFFSET($BH$3,0,0,'Données projet'!$E$11+1,1))-AVERAGE(OFFSET($H$3,0,0,'Données projet'!$E$11+1,1))</f>
        <v>136.80149066064263</v>
      </c>
      <c r="BJ174" s="59">
        <f t="shared" si="146"/>
        <v>148.87330541103535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10.073914800051055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10.073914800051055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155.62559999999954</v>
      </c>
      <c r="D175" s="11">
        <f t="shared" si="140"/>
        <v>39.854271109683012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1508.9674261098305</v>
      </c>
      <c r="H175" s="66">
        <f t="shared" si="110"/>
        <v>633.79410884936374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304.99999999999994</v>
      </c>
      <c r="O175" s="13">
        <f>N175*VLOOKUP('Données projet'!$B$9,Paramètres!$A$1:$I$89,3,0)*VLOOKUP('Données projet'!$B$9,Paramètres!$A$1:$I$89,5,0)</f>
        <v>275.96399999999994</v>
      </c>
      <c r="P175" s="13">
        <f t="shared" si="141"/>
        <v>66.113366665488911</v>
      </c>
      <c r="Q175" s="20">
        <f t="shared" si="162"/>
        <v>595.7847469423931</v>
      </c>
      <c r="R175" s="59">
        <f t="shared" si="109"/>
        <v>889.11808027572647</v>
      </c>
      <c r="S175" s="59">
        <f ca="1">AVERAGE(OFFSET($R$3,0,0,'Données projet'!$E$9+1,1))-AVERAGE(OFFSET($H$3,0,0,'Données projet'!$E$9+1,1))</f>
        <v>295.41366969872354</v>
      </c>
      <c r="T175" s="59">
        <f t="shared" si="142"/>
        <v>415.02188573182912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0.50276669401109575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0.50276669401109575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268.00000000000023</v>
      </c>
      <c r="AJ175" s="13">
        <f>AI175*VLOOKUP('Données projet'!$B$10,Paramètres!$A$1:$I$89,3,0)*VLOOKUP('Données projet'!$B$10,Paramètres!$A$1:$I$89,5,0)</f>
        <v>175.59360000000015</v>
      </c>
      <c r="AK175" s="13">
        <f t="shared" si="164"/>
        <v>44.340433728638573</v>
      </c>
      <c r="AL175" s="20">
        <f t="shared" si="165"/>
        <v>383.05177541071242</v>
      </c>
      <c r="AM175" s="59">
        <f t="shared" si="113"/>
        <v>676.38510874404574</v>
      </c>
      <c r="AN175" s="59">
        <f ca="1">AVERAGE(OFFSET($AM$3,0,0,'Données projet'!$E$10+1,1))-AVERAGE(OFFSET($H$3,0,0,'Données projet'!$E$10+1,1))</f>
        <v>173.80737004674131</v>
      </c>
      <c r="AO175" s="59">
        <f t="shared" si="144"/>
        <v>206.06552061664968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9.5281984197560234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9.5281984197560234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243</v>
      </c>
      <c r="BE175" s="13">
        <f>BD175*VLOOKUP('Données projet'!$B$11,Paramètres!$A$1:$I$89,3,0)*VLOOKUP('Données projet'!$B$11,Paramètres!$A$1:$I$89,5,0)</f>
        <v>155.4228</v>
      </c>
      <c r="BF175" s="13">
        <f t="shared" si="167"/>
        <v>39.808377687614154</v>
      </c>
      <c r="BG175" s="20">
        <f t="shared" si="168"/>
        <v>340.02763447259463</v>
      </c>
      <c r="BH175" s="59">
        <f t="shared" si="116"/>
        <v>633.36096780592788</v>
      </c>
      <c r="BI175" s="59">
        <f ca="1">AVERAGE(OFFSET($BH$3,0,0,'Données projet'!$E$11+1,1))-AVERAGE(OFFSET($H$3,0,0,'Données projet'!$E$11+1,1))</f>
        <v>136.80149066064263</v>
      </c>
      <c r="BJ175" s="59">
        <f t="shared" si="146"/>
        <v>148.87330541103535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9.8763714753033653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9.8763714753033653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156.53039999999953</v>
      </c>
      <c r="D176" s="11">
        <f t="shared" si="140"/>
        <v>40.058941713181895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1517.5317605929795</v>
      </c>
      <c r="H176" s="66">
        <f t="shared" si="110"/>
        <v>635.72643681712429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304.99999999999994</v>
      </c>
      <c r="O176" s="13">
        <f>N176*VLOOKUP('Données projet'!$B$9,Paramètres!$A$1:$I$89,3,0)*VLOOKUP('Données projet'!$B$9,Paramètres!$A$1:$I$89,5,0)</f>
        <v>275.96399999999994</v>
      </c>
      <c r="P176" s="13">
        <f t="shared" si="141"/>
        <v>66.113366665488911</v>
      </c>
      <c r="Q176" s="20">
        <f t="shared" si="162"/>
        <v>595.7847469423931</v>
      </c>
      <c r="R176" s="59">
        <f t="shared" si="109"/>
        <v>889.11808027572647</v>
      </c>
      <c r="S176" s="59">
        <f ca="1">AVERAGE(OFFSET($R$3,0,0,'Données projet'!$E$9+1,1))-AVERAGE(OFFSET($H$3,0,0,'Données projet'!$E$9+1,1))</f>
        <v>295.41366969872354</v>
      </c>
      <c r="T176" s="59">
        <f t="shared" si="142"/>
        <v>415.02188573182912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0.49290774579894159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0.49290774579894159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268.00000000000023</v>
      </c>
      <c r="AJ176" s="13">
        <f>AI176*VLOOKUP('Données projet'!$B$10,Paramètres!$A$1:$I$89,3,0)*VLOOKUP('Données projet'!$B$10,Paramètres!$A$1:$I$89,5,0)</f>
        <v>175.59360000000015</v>
      </c>
      <c r="AK176" s="13">
        <f t="shared" si="164"/>
        <v>44.340433728638573</v>
      </c>
      <c r="AL176" s="20">
        <f t="shared" si="165"/>
        <v>383.05177541071242</v>
      </c>
      <c r="AM176" s="59">
        <f t="shared" si="113"/>
        <v>676.38510874404574</v>
      </c>
      <c r="AN176" s="59">
        <f ca="1">AVERAGE(OFFSET($AM$3,0,0,'Données projet'!$E$10+1,1))-AVERAGE(OFFSET($H$3,0,0,'Données projet'!$E$10+1,1))</f>
        <v>173.80737004674131</v>
      </c>
      <c r="AO176" s="59">
        <f t="shared" si="144"/>
        <v>206.06552061664968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9.3413562603717928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9.3413562603717928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243</v>
      </c>
      <c r="BE176" s="13">
        <f>BD176*VLOOKUP('Données projet'!$B$11,Paramètres!$A$1:$I$89,3,0)*VLOOKUP('Données projet'!$B$11,Paramètres!$A$1:$I$89,5,0)</f>
        <v>155.4228</v>
      </c>
      <c r="BF176" s="13">
        <f t="shared" si="167"/>
        <v>39.808377687614154</v>
      </c>
      <c r="BG176" s="20">
        <f t="shared" si="168"/>
        <v>340.02763447259463</v>
      </c>
      <c r="BH176" s="59">
        <f t="shared" si="116"/>
        <v>633.36096780592788</v>
      </c>
      <c r="BI176" s="59">
        <f ca="1">AVERAGE(OFFSET($BH$3,0,0,'Données projet'!$E$11+1,1))-AVERAGE(OFFSET($H$3,0,0,'Données projet'!$E$11+1,1))</f>
        <v>136.80149066064263</v>
      </c>
      <c r="BJ176" s="59">
        <f t="shared" si="146"/>
        <v>148.87330541103535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9.6827018546644457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9.6827018546644457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157.43519999999953</v>
      </c>
      <c r="D177" s="11">
        <f t="shared" si="140"/>
        <v>40.263474653179813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1526.0950324105072</v>
      </c>
      <c r="H177" s="66">
        <f t="shared" si="110"/>
        <v>637.65852502095402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304.99999999999994</v>
      </c>
      <c r="O177" s="13">
        <f>N177*VLOOKUP('Données projet'!$B$9,Paramètres!$A$1:$I$89,3,0)*VLOOKUP('Données projet'!$B$9,Paramètres!$A$1:$I$89,5,0)</f>
        <v>275.96399999999994</v>
      </c>
      <c r="P177" s="13">
        <f t="shared" si="141"/>
        <v>66.113366665488911</v>
      </c>
      <c r="Q177" s="20">
        <f t="shared" si="162"/>
        <v>595.7847469423931</v>
      </c>
      <c r="R177" s="59">
        <f t="shared" si="109"/>
        <v>889.11808027572647</v>
      </c>
      <c r="S177" s="59">
        <f ca="1">AVERAGE(OFFSET($R$3,0,0,'Données projet'!$E$9+1,1))-AVERAGE(OFFSET($H$3,0,0,'Données projet'!$E$9+1,1))</f>
        <v>295.41366969872354</v>
      </c>
      <c r="T177" s="59">
        <f t="shared" si="142"/>
        <v>415.02188573182912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0.48324212554786317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0.48324212554786317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268.00000000000023</v>
      </c>
      <c r="AJ177" s="13">
        <f>AI177*VLOOKUP('Données projet'!$B$10,Paramètres!$A$1:$I$89,3,0)*VLOOKUP('Données projet'!$B$10,Paramètres!$A$1:$I$89,5,0)</f>
        <v>175.59360000000015</v>
      </c>
      <c r="AK177" s="13">
        <f t="shared" si="164"/>
        <v>44.340433728638573</v>
      </c>
      <c r="AL177" s="20">
        <f t="shared" si="165"/>
        <v>383.05177541071242</v>
      </c>
      <c r="AM177" s="59">
        <f t="shared" si="113"/>
        <v>676.38510874404574</v>
      </c>
      <c r="AN177" s="59">
        <f ca="1">AVERAGE(OFFSET($AM$3,0,0,'Données projet'!$E$10+1,1))-AVERAGE(OFFSET($H$3,0,0,'Données projet'!$E$10+1,1))</f>
        <v>173.80737004674131</v>
      </c>
      <c r="AO177" s="59">
        <f t="shared" si="144"/>
        <v>206.06552061664968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9.1581779617706225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9.1581779617706225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243</v>
      </c>
      <c r="BE177" s="13">
        <f>BD177*VLOOKUP('Données projet'!$B$11,Paramètres!$A$1:$I$89,3,0)*VLOOKUP('Données projet'!$B$11,Paramètres!$A$1:$I$89,5,0)</f>
        <v>155.4228</v>
      </c>
      <c r="BF177" s="13">
        <f t="shared" si="167"/>
        <v>39.808377687614154</v>
      </c>
      <c r="BG177" s="20">
        <f t="shared" si="168"/>
        <v>340.02763447259463</v>
      </c>
      <c r="BH177" s="59">
        <f t="shared" si="116"/>
        <v>633.36096780592788</v>
      </c>
      <c r="BI177" s="59">
        <f ca="1">AVERAGE(OFFSET($BH$3,0,0,'Données projet'!$E$11+1,1))-AVERAGE(OFFSET($H$3,0,0,'Données projet'!$E$11+1,1))</f>
        <v>136.80149066064263</v>
      </c>
      <c r="BJ177" s="59">
        <f t="shared" si="146"/>
        <v>148.87330541103535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9.4928299771594506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9.4928299771594506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158.33999999999952</v>
      </c>
      <c r="D178" s="11">
        <f t="shared" si="140"/>
        <v>40.467870812652677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1534.6572483783677</v>
      </c>
      <c r="H178" s="66">
        <f t="shared" si="110"/>
        <v>639.5903749987026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304.99999999999994</v>
      </c>
      <c r="O178" s="13">
        <f>N178*VLOOKUP('Données projet'!$B$9,Paramètres!$A$1:$I$89,3,0)*VLOOKUP('Données projet'!$B$9,Paramètres!$A$1:$I$89,5,0)</f>
        <v>275.96399999999994</v>
      </c>
      <c r="P178" s="13">
        <f t="shared" si="141"/>
        <v>66.113366665488911</v>
      </c>
      <c r="Q178" s="20">
        <f t="shared" si="162"/>
        <v>595.7847469423931</v>
      </c>
      <c r="R178" s="59">
        <f t="shared" si="109"/>
        <v>889.11808027572647</v>
      </c>
      <c r="S178" s="59">
        <f ca="1">AVERAGE(OFFSET($R$3,0,0,'Données projet'!$E$9+1,1))-AVERAGE(OFFSET($H$3,0,0,'Données projet'!$E$9+1,1))</f>
        <v>295.41366969872354</v>
      </c>
      <c r="T178" s="59">
        <f t="shared" si="142"/>
        <v>415.02188573182912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0.47376604221446217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0.47376604221446217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268.00000000000023</v>
      </c>
      <c r="AJ178" s="13">
        <f>AI178*VLOOKUP('Données projet'!$B$10,Paramètres!$A$1:$I$89,3,0)*VLOOKUP('Données projet'!$B$10,Paramètres!$A$1:$I$89,5,0)</f>
        <v>175.59360000000015</v>
      </c>
      <c r="AK178" s="13">
        <f t="shared" si="164"/>
        <v>44.340433728638573</v>
      </c>
      <c r="AL178" s="20">
        <f t="shared" si="165"/>
        <v>383.05177541071242</v>
      </c>
      <c r="AM178" s="59">
        <f t="shared" si="113"/>
        <v>676.38510874404574</v>
      </c>
      <c r="AN178" s="59">
        <f ca="1">AVERAGE(OFFSET($AM$3,0,0,'Données projet'!$E$10+1,1))-AVERAGE(OFFSET($H$3,0,0,'Données projet'!$E$10+1,1))</f>
        <v>173.80737004674131</v>
      </c>
      <c r="AO178" s="59">
        <f t="shared" si="144"/>
        <v>206.06552061664968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8.9785916778772918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8.9785916778772918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243</v>
      </c>
      <c r="BE178" s="13">
        <f>BD178*VLOOKUP('Données projet'!$B$11,Paramètres!$A$1:$I$89,3,0)*VLOOKUP('Données projet'!$B$11,Paramètres!$A$1:$I$89,5,0)</f>
        <v>155.4228</v>
      </c>
      <c r="BF178" s="13">
        <f t="shared" si="167"/>
        <v>39.808377687614154</v>
      </c>
      <c r="BG178" s="20">
        <f t="shared" si="168"/>
        <v>340.02763447259463</v>
      </c>
      <c r="BH178" s="59">
        <f t="shared" si="116"/>
        <v>633.36096780592788</v>
      </c>
      <c r="BI178" s="59">
        <f ca="1">AVERAGE(OFFSET($BH$3,0,0,'Données projet'!$E$11+1,1))-AVERAGE(OFFSET($H$3,0,0,'Données projet'!$E$11+1,1))</f>
        <v>136.80149066064263</v>
      </c>
      <c r="BJ178" s="59">
        <f t="shared" si="146"/>
        <v>148.87330541103535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9.3066813713619201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9.3066813713619201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159.24479999999951</v>
      </c>
      <c r="D179" s="11">
        <f t="shared" si="140"/>
        <v>40.67213106390161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1543.218415230114</v>
      </c>
      <c r="H179" s="66">
        <f t="shared" si="110"/>
        <v>641.52198826962774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304.99999999999994</v>
      </c>
      <c r="O179" s="13">
        <f>N179*VLOOKUP('Données projet'!$B$9,Paramètres!$A$1:$I$89,3,0)*VLOOKUP('Données projet'!$B$9,Paramètres!$A$1:$I$89,5,0)</f>
        <v>275.96399999999994</v>
      </c>
      <c r="P179" s="13">
        <f t="shared" si="141"/>
        <v>66.113366665488911</v>
      </c>
      <c r="Q179" s="20">
        <f t="shared" si="162"/>
        <v>595.7847469423931</v>
      </c>
      <c r="R179" s="59">
        <f t="shared" si="109"/>
        <v>889.11808027572647</v>
      </c>
      <c r="S179" s="59">
        <f ca="1">AVERAGE(OFFSET($R$3,0,0,'Données projet'!$E$9+1,1))-AVERAGE(OFFSET($H$3,0,0,'Données projet'!$E$9+1,1))</f>
        <v>295.41366969872354</v>
      </c>
      <c r="T179" s="59">
        <f t="shared" si="142"/>
        <v>415.02188573182912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0.46447577909538901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0.46447577909538901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268.00000000000023</v>
      </c>
      <c r="AJ179" s="13">
        <f>AI179*VLOOKUP('Données projet'!$B$10,Paramètres!$A$1:$I$89,3,0)*VLOOKUP('Données projet'!$B$10,Paramètres!$A$1:$I$89,5,0)</f>
        <v>175.59360000000015</v>
      </c>
      <c r="AK179" s="13">
        <f t="shared" si="164"/>
        <v>44.340433728638573</v>
      </c>
      <c r="AL179" s="20">
        <f t="shared" si="165"/>
        <v>383.05177541071242</v>
      </c>
      <c r="AM179" s="59">
        <f t="shared" si="113"/>
        <v>676.38510874404574</v>
      </c>
      <c r="AN179" s="59">
        <f ca="1">AVERAGE(OFFSET($AM$3,0,0,'Données projet'!$E$10+1,1))-AVERAGE(OFFSET($H$3,0,0,'Données projet'!$E$10+1,1))</f>
        <v>173.80737004674131</v>
      </c>
      <c r="AO179" s="59">
        <f t="shared" si="144"/>
        <v>206.06552061664968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8.8025269714742915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8.8025269714742915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243</v>
      </c>
      <c r="BE179" s="13">
        <f>BD179*VLOOKUP('Données projet'!$B$11,Paramètres!$A$1:$I$89,3,0)*VLOOKUP('Données projet'!$B$11,Paramètres!$A$1:$I$89,5,0)</f>
        <v>155.4228</v>
      </c>
      <c r="BF179" s="13">
        <f t="shared" si="167"/>
        <v>39.808377687614154</v>
      </c>
      <c r="BG179" s="20">
        <f t="shared" si="168"/>
        <v>340.02763447259463</v>
      </c>
      <c r="BH179" s="59">
        <f t="shared" si="116"/>
        <v>633.36096780592788</v>
      </c>
      <c r="BI179" s="59">
        <f ca="1">AVERAGE(OFFSET($BH$3,0,0,'Données projet'!$E$11+1,1))-AVERAGE(OFFSET($H$3,0,0,'Données projet'!$E$11+1,1))</f>
        <v>136.80149066064263</v>
      </c>
      <c r="BJ179" s="59">
        <f t="shared" si="146"/>
        <v>148.87330541103535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9.1241830261846406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9.1241830261846406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160.14959999999951</v>
      </c>
      <c r="D180" s="11">
        <f t="shared" si="140"/>
        <v>40.876256268741386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1551.7785396183508</v>
      </c>
      <c r="H180" s="66">
        <f t="shared" si="110"/>
        <v>643.45336633472368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304.99999999999994</v>
      </c>
      <c r="O180" s="13">
        <f>N180*VLOOKUP('Données projet'!$B$9,Paramètres!$A$1:$I$89,3,0)*VLOOKUP('Données projet'!$B$9,Paramètres!$A$1:$I$89,5,0)</f>
        <v>275.96399999999994</v>
      </c>
      <c r="P180" s="13">
        <f t="shared" si="141"/>
        <v>66.113366665488911</v>
      </c>
      <c r="Q180" s="20">
        <f t="shared" si="162"/>
        <v>595.7847469423931</v>
      </c>
      <c r="R180" s="59">
        <f t="shared" si="109"/>
        <v>889.11808027572647</v>
      </c>
      <c r="S180" s="59">
        <f ca="1">AVERAGE(OFFSET($R$3,0,0,'Données projet'!$E$9+1,1))-AVERAGE(OFFSET($H$3,0,0,'Données projet'!$E$9+1,1))</f>
        <v>295.41366969872354</v>
      </c>
      <c r="T180" s="59">
        <f t="shared" si="142"/>
        <v>415.02188573182912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0.45536769236957991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0.45536769236957991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268.00000000000023</v>
      </c>
      <c r="AJ180" s="13">
        <f>AI180*VLOOKUP('Données projet'!$B$10,Paramètres!$A$1:$I$89,3,0)*VLOOKUP('Données projet'!$B$10,Paramètres!$A$1:$I$89,5,0)</f>
        <v>175.59360000000015</v>
      </c>
      <c r="AK180" s="13">
        <f t="shared" si="164"/>
        <v>44.340433728638573</v>
      </c>
      <c r="AL180" s="20">
        <f t="shared" si="165"/>
        <v>383.05177541071242</v>
      </c>
      <c r="AM180" s="59">
        <f t="shared" si="113"/>
        <v>676.38510874404574</v>
      </c>
      <c r="AN180" s="59">
        <f ca="1">AVERAGE(OFFSET($AM$3,0,0,'Données projet'!$E$10+1,1))-AVERAGE(OFFSET($H$3,0,0,'Données projet'!$E$10+1,1))</f>
        <v>173.80737004674131</v>
      </c>
      <c r="AO180" s="59">
        <f t="shared" si="144"/>
        <v>206.06552061664968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8.6299147865749877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8.6299147865749877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243</v>
      </c>
      <c r="BE180" s="13">
        <f>BD180*VLOOKUP('Données projet'!$B$11,Paramètres!$A$1:$I$89,3,0)*VLOOKUP('Données projet'!$B$11,Paramètres!$A$1:$I$89,5,0)</f>
        <v>155.4228</v>
      </c>
      <c r="BF180" s="13">
        <f t="shared" si="167"/>
        <v>39.808377687614154</v>
      </c>
      <c r="BG180" s="20">
        <f t="shared" si="168"/>
        <v>340.02763447259463</v>
      </c>
      <c r="BH180" s="59">
        <f t="shared" si="116"/>
        <v>633.36096780592788</v>
      </c>
      <c r="BI180" s="59">
        <f ca="1">AVERAGE(OFFSET($BH$3,0,0,'Données projet'!$E$11+1,1))-AVERAGE(OFFSET($H$3,0,0,'Données projet'!$E$11+1,1))</f>
        <v>136.80149066064263</v>
      </c>
      <c r="BJ180" s="59">
        <f t="shared" si="146"/>
        <v>148.87330541103535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8.9452633622432884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8.9452633622432884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161.0543999999995</v>
      </c>
      <c r="D181" s="11">
        <f t="shared" si="140"/>
        <v>41.080247278685384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1560.3376281161643</v>
      </c>
      <c r="H181" s="66">
        <f t="shared" si="110"/>
        <v>645.38451067704284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304.99999999999994</v>
      </c>
      <c r="O181" s="13">
        <f>N181*VLOOKUP('Données projet'!$B$9,Paramètres!$A$1:$I$89,3,0)*VLOOKUP('Données projet'!$B$9,Paramètres!$A$1:$I$89,5,0)</f>
        <v>275.96399999999994</v>
      </c>
      <c r="P181" s="13">
        <f t="shared" si="141"/>
        <v>66.113366665488911</v>
      </c>
      <c r="Q181" s="20">
        <f t="shared" si="162"/>
        <v>595.7847469423931</v>
      </c>
      <c r="R181" s="59">
        <f t="shared" si="109"/>
        <v>889.11808027572647</v>
      </c>
      <c r="S181" s="59">
        <f ca="1">AVERAGE(OFFSET($R$3,0,0,'Données projet'!$E$9+1,1))-AVERAGE(OFFSET($H$3,0,0,'Données projet'!$E$9+1,1))</f>
        <v>295.41366969872354</v>
      </c>
      <c r="T181" s="59">
        <f t="shared" si="142"/>
        <v>415.02188573182912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0.44643820966907954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0.44643820966907954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268.00000000000023</v>
      </c>
      <c r="AJ181" s="13">
        <f>AI181*VLOOKUP('Données projet'!$B$10,Paramètres!$A$1:$I$89,3,0)*VLOOKUP('Données projet'!$B$10,Paramètres!$A$1:$I$89,5,0)</f>
        <v>175.59360000000015</v>
      </c>
      <c r="AK181" s="13">
        <f t="shared" si="164"/>
        <v>44.340433728638573</v>
      </c>
      <c r="AL181" s="20">
        <f t="shared" si="165"/>
        <v>383.05177541071242</v>
      </c>
      <c r="AM181" s="59">
        <f t="shared" si="113"/>
        <v>676.38510874404574</v>
      </c>
      <c r="AN181" s="59">
        <f ca="1">AVERAGE(OFFSET($AM$3,0,0,'Données projet'!$E$10+1,1))-AVERAGE(OFFSET($H$3,0,0,'Données projet'!$E$10+1,1))</f>
        <v>173.80737004674131</v>
      </c>
      <c r="AO181" s="59">
        <f t="shared" si="144"/>
        <v>206.06552061664968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8.4606874213385215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8.4606874213385215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243</v>
      </c>
      <c r="BE181" s="13">
        <f>BD181*VLOOKUP('Données projet'!$B$11,Paramètres!$A$1:$I$89,3,0)*VLOOKUP('Données projet'!$B$11,Paramètres!$A$1:$I$89,5,0)</f>
        <v>155.4228</v>
      </c>
      <c r="BF181" s="13">
        <f t="shared" si="167"/>
        <v>39.808377687614154</v>
      </c>
      <c r="BG181" s="20">
        <f t="shared" si="168"/>
        <v>340.02763447259463</v>
      </c>
      <c r="BH181" s="59">
        <f t="shared" si="116"/>
        <v>633.36096780592788</v>
      </c>
      <c r="BI181" s="59">
        <f ca="1">AVERAGE(OFFSET($BH$3,0,0,'Données projet'!$E$11+1,1))-AVERAGE(OFFSET($H$3,0,0,'Données projet'!$E$11+1,1))</f>
        <v>136.80149066064263</v>
      </c>
      <c r="BJ181" s="59">
        <f t="shared" si="146"/>
        <v>148.87330541103535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8.7698522037816069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8.7698522037816069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161.9591999999995</v>
      </c>
      <c r="D182" s="11">
        <f t="shared" si="140"/>
        <v>41.284104935125612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1568.8956872185097</v>
      </c>
      <c r="H182" s="66">
        <f t="shared" si="110"/>
        <v>647.31542276200946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304.99999999999994</v>
      </c>
      <c r="O182" s="13">
        <f>N182*VLOOKUP('Données projet'!$B$9,Paramètres!$A$1:$I$89,3,0)*VLOOKUP('Données projet'!$B$9,Paramètres!$A$1:$I$89,5,0)</f>
        <v>275.96399999999994</v>
      </c>
      <c r="P182" s="13">
        <f t="shared" si="141"/>
        <v>66.113366665488911</v>
      </c>
      <c r="Q182" s="20">
        <f t="shared" si="162"/>
        <v>595.7847469423931</v>
      </c>
      <c r="R182" s="59">
        <f t="shared" si="109"/>
        <v>889.11808027572647</v>
      </c>
      <c r="S182" s="59">
        <f ca="1">AVERAGE(OFFSET($R$3,0,0,'Données projet'!$E$9+1,1))-AVERAGE(OFFSET($H$3,0,0,'Données projet'!$E$9+1,1))</f>
        <v>295.41366969872354</v>
      </c>
      <c r="T182" s="59">
        <f t="shared" si="142"/>
        <v>415.02188573182912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0.43768382867788935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0.43768382867788935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268.00000000000023</v>
      </c>
      <c r="AJ182" s="13">
        <f>AI182*VLOOKUP('Données projet'!$B$10,Paramètres!$A$1:$I$89,3,0)*VLOOKUP('Données projet'!$B$10,Paramètres!$A$1:$I$89,5,0)</f>
        <v>175.59360000000015</v>
      </c>
      <c r="AK182" s="13">
        <f t="shared" si="164"/>
        <v>44.340433728638573</v>
      </c>
      <c r="AL182" s="20">
        <f t="shared" si="165"/>
        <v>383.05177541071242</v>
      </c>
      <c r="AM182" s="59">
        <f t="shared" si="113"/>
        <v>676.38510874404574</v>
      </c>
      <c r="AN182" s="59">
        <f ca="1">AVERAGE(OFFSET($AM$3,0,0,'Données projet'!$E$10+1,1))-AVERAGE(OFFSET($H$3,0,0,'Données projet'!$E$10+1,1))</f>
        <v>173.80737004674131</v>
      </c>
      <c r="AO182" s="59">
        <f t="shared" si="144"/>
        <v>206.06552061664968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8.2947785015158413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8.2947785015158413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243</v>
      </c>
      <c r="BE182" s="13">
        <f>BD182*VLOOKUP('Données projet'!$B$11,Paramètres!$A$1:$I$89,3,0)*VLOOKUP('Données projet'!$B$11,Paramètres!$A$1:$I$89,5,0)</f>
        <v>155.4228</v>
      </c>
      <c r="BF182" s="13">
        <f t="shared" si="167"/>
        <v>39.808377687614154</v>
      </c>
      <c r="BG182" s="20">
        <f t="shared" si="168"/>
        <v>340.02763447259463</v>
      </c>
      <c r="BH182" s="59">
        <f t="shared" si="116"/>
        <v>633.36096780592788</v>
      </c>
      <c r="BI182" s="59">
        <f ca="1">AVERAGE(OFFSET($BH$3,0,0,'Données projet'!$E$11+1,1))-AVERAGE(OFFSET($H$3,0,0,'Données projet'!$E$11+1,1))</f>
        <v>136.80149066064263</v>
      </c>
      <c r="BJ182" s="59">
        <f t="shared" si="146"/>
        <v>148.87330541103535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8.597880751147116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8.597880751147116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162.86399999999949</v>
      </c>
      <c r="D183" s="11">
        <f t="shared" si="140"/>
        <v>41.487830069509045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1577.4527233435747</v>
      </c>
      <c r="H183" s="66">
        <f t="shared" si="110"/>
        <v>649.24610403772726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304.99999999999994</v>
      </c>
      <c r="O183" s="13">
        <f>N183*VLOOKUP('Données projet'!$B$9,Paramètres!$A$1:$I$89,3,0)*VLOOKUP('Données projet'!$B$9,Paramètres!$A$1:$I$89,5,0)</f>
        <v>275.96399999999994</v>
      </c>
      <c r="P183" s="13">
        <f t="shared" si="141"/>
        <v>66.113366665488911</v>
      </c>
      <c r="Q183" s="20">
        <f t="shared" si="162"/>
        <v>595.7847469423931</v>
      </c>
      <c r="R183" s="59">
        <f t="shared" si="109"/>
        <v>889.11808027572647</v>
      </c>
      <c r="S183" s="59">
        <f ca="1">AVERAGE(OFFSET($R$3,0,0,'Données projet'!$E$9+1,1))-AVERAGE(OFFSET($H$3,0,0,'Données projet'!$E$9+1,1))</f>
        <v>295.41366969872354</v>
      </c>
      <c r="T183" s="59">
        <f t="shared" si="142"/>
        <v>415.02188573182912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0.42910111575829124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0.42910111575829124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268.00000000000023</v>
      </c>
      <c r="AJ183" s="13">
        <f>AI183*VLOOKUP('Données projet'!$B$10,Paramètres!$A$1:$I$89,3,0)*VLOOKUP('Données projet'!$B$10,Paramètres!$A$1:$I$89,5,0)</f>
        <v>175.59360000000015</v>
      </c>
      <c r="AK183" s="13">
        <f t="shared" si="164"/>
        <v>44.340433728638573</v>
      </c>
      <c r="AL183" s="20">
        <f t="shared" si="165"/>
        <v>383.05177541071242</v>
      </c>
      <c r="AM183" s="59">
        <f t="shared" si="113"/>
        <v>676.38510874404574</v>
      </c>
      <c r="AN183" s="59">
        <f ca="1">AVERAGE(OFFSET($AM$3,0,0,'Données projet'!$E$10+1,1))-AVERAGE(OFFSET($H$3,0,0,'Données projet'!$E$10+1,1))</f>
        <v>173.80737004674131</v>
      </c>
      <c r="AO183" s="59">
        <f t="shared" si="144"/>
        <v>206.06552061664968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8.1321229544164364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8.1321229544164364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243</v>
      </c>
      <c r="BE183" s="13">
        <f>BD183*VLOOKUP('Données projet'!$B$11,Paramètres!$A$1:$I$89,3,0)*VLOOKUP('Données projet'!$B$11,Paramètres!$A$1:$I$89,5,0)</f>
        <v>155.4228</v>
      </c>
      <c r="BF183" s="13">
        <f t="shared" si="167"/>
        <v>39.808377687614154</v>
      </c>
      <c r="BG183" s="20">
        <f t="shared" si="168"/>
        <v>340.02763447259463</v>
      </c>
      <c r="BH183" s="59">
        <f t="shared" si="116"/>
        <v>633.36096780592788</v>
      </c>
      <c r="BI183" s="59">
        <f ca="1">AVERAGE(OFFSET($BH$3,0,0,'Données projet'!$E$11+1,1))-AVERAGE(OFFSET($H$3,0,0,'Données projet'!$E$11+1,1))</f>
        <v>136.80149066064263</v>
      </c>
      <c r="BJ183" s="59">
        <f t="shared" si="146"/>
        <v>148.87330541103535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8.4292815538065593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8.4292815538065593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163.76879999999949</v>
      </c>
      <c r="D184" s="11">
        <f t="shared" si="140"/>
        <v>41.691423503509697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1586.008742834106</v>
      </c>
      <c r="H184" s="66">
        <f t="shared" si="110"/>
        <v>651.17655593527843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304.99999999999994</v>
      </c>
      <c r="O184" s="13">
        <f>N184*VLOOKUP('Données projet'!$B$9,Paramètres!$A$1:$I$89,3,0)*VLOOKUP('Données projet'!$B$9,Paramètres!$A$1:$I$89,5,0)</f>
        <v>275.96399999999994</v>
      </c>
      <c r="P184" s="13">
        <f t="shared" si="141"/>
        <v>66.113366665488911</v>
      </c>
      <c r="Q184" s="20">
        <f t="shared" si="162"/>
        <v>595.7847469423931</v>
      </c>
      <c r="R184" s="59">
        <f t="shared" si="109"/>
        <v>889.11808027572647</v>
      </c>
      <c r="S184" s="59">
        <f ca="1">AVERAGE(OFFSET($R$3,0,0,'Données projet'!$E$9+1,1))-AVERAGE(OFFSET($H$3,0,0,'Données projet'!$E$9+1,1))</f>
        <v>295.41366969872354</v>
      </c>
      <c r="T184" s="59">
        <f t="shared" si="142"/>
        <v>415.02188573182912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0.42068670460410851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0.42068670460410851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268.00000000000023</v>
      </c>
      <c r="AJ184" s="13">
        <f>AI184*VLOOKUP('Données projet'!$B$10,Paramètres!$A$1:$I$89,3,0)*VLOOKUP('Données projet'!$B$10,Paramètres!$A$1:$I$89,5,0)</f>
        <v>175.59360000000015</v>
      </c>
      <c r="AK184" s="13">
        <f t="shared" si="164"/>
        <v>44.340433728638573</v>
      </c>
      <c r="AL184" s="20">
        <f t="shared" si="165"/>
        <v>383.05177541071242</v>
      </c>
      <c r="AM184" s="59">
        <f t="shared" si="113"/>
        <v>676.38510874404574</v>
      </c>
      <c r="AN184" s="59">
        <f ca="1">AVERAGE(OFFSET($AM$3,0,0,'Données projet'!$E$10+1,1))-AVERAGE(OFFSET($H$3,0,0,'Données projet'!$E$10+1,1))</f>
        <v>173.80737004674131</v>
      </c>
      <c r="AO184" s="59">
        <f t="shared" si="144"/>
        <v>206.06552061664968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7.9726569833855629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7.9726569833855629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243</v>
      </c>
      <c r="BE184" s="13">
        <f>BD184*VLOOKUP('Données projet'!$B$11,Paramètres!$A$1:$I$89,3,0)*VLOOKUP('Données projet'!$B$11,Paramètres!$A$1:$I$89,5,0)</f>
        <v>155.4228</v>
      </c>
      <c r="BF184" s="13">
        <f t="shared" si="167"/>
        <v>39.808377687614154</v>
      </c>
      <c r="BG184" s="20">
        <f t="shared" si="168"/>
        <v>340.02763447259463</v>
      </c>
      <c r="BH184" s="59">
        <f t="shared" si="116"/>
        <v>633.36096780592788</v>
      </c>
      <c r="BI184" s="59">
        <f ca="1">AVERAGE(OFFSET($BH$3,0,0,'Données projet'!$E$11+1,1))-AVERAGE(OFFSET($H$3,0,0,'Données projet'!$E$11+1,1))</f>
        <v>136.80149066064263</v>
      </c>
      <c r="BJ184" s="59">
        <f t="shared" si="146"/>
        <v>148.87330541103535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8.2639884838904933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8.2639884838904933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164.67359999999948</v>
      </c>
      <c r="D185" s="11">
        <f t="shared" si="140"/>
        <v>41.894886049196913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1594.563751958709</v>
      </c>
      <c r="H185" s="66">
        <f t="shared" si="110"/>
        <v>653.10677986901692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304.99999999999994</v>
      </c>
      <c r="O185" s="13">
        <f>N185*VLOOKUP('Données projet'!$B$9,Paramètres!$A$1:$I$89,3,0)*VLOOKUP('Données projet'!$B$9,Paramètres!$A$1:$I$89,5,0)</f>
        <v>275.96399999999994</v>
      </c>
      <c r="P185" s="13">
        <f t="shared" si="141"/>
        <v>66.113366665488911</v>
      </c>
      <c r="Q185" s="20">
        <f t="shared" si="162"/>
        <v>595.7847469423931</v>
      </c>
      <c r="R185" s="59">
        <f t="shared" si="109"/>
        <v>889.11808027572647</v>
      </c>
      <c r="S185" s="59">
        <f ca="1">AVERAGE(OFFSET($R$3,0,0,'Données projet'!$E$9+1,1))-AVERAGE(OFFSET($H$3,0,0,'Données projet'!$E$9+1,1))</f>
        <v>295.41366969872354</v>
      </c>
      <c r="T185" s="59">
        <f t="shared" si="142"/>
        <v>415.02188573182912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0.41243729492037523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0.41243729492037523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268.00000000000023</v>
      </c>
      <c r="AJ185" s="13">
        <f>AI185*VLOOKUP('Données projet'!$B$10,Paramètres!$A$1:$I$89,3,0)*VLOOKUP('Données projet'!$B$10,Paramètres!$A$1:$I$89,5,0)</f>
        <v>175.59360000000015</v>
      </c>
      <c r="AK185" s="13">
        <f t="shared" si="164"/>
        <v>44.340433728638573</v>
      </c>
      <c r="AL185" s="20">
        <f t="shared" si="165"/>
        <v>383.05177541071242</v>
      </c>
      <c r="AM185" s="59">
        <f t="shared" si="113"/>
        <v>676.38510874404574</v>
      </c>
      <c r="AN185" s="59">
        <f ca="1">AVERAGE(OFFSET($AM$3,0,0,'Données projet'!$E$10+1,1))-AVERAGE(OFFSET($H$3,0,0,'Données projet'!$E$10+1,1))</f>
        <v>173.80737004674131</v>
      </c>
      <c r="AO185" s="59">
        <f t="shared" si="144"/>
        <v>206.06552061664968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7.8163180427819663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7.8163180427819663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243</v>
      </c>
      <c r="BE185" s="13">
        <f>BD185*VLOOKUP('Données projet'!$B$11,Paramètres!$A$1:$I$89,3,0)*VLOOKUP('Données projet'!$B$11,Paramètres!$A$1:$I$89,5,0)</f>
        <v>155.4228</v>
      </c>
      <c r="BF185" s="13">
        <f t="shared" si="167"/>
        <v>39.808377687614154</v>
      </c>
      <c r="BG185" s="20">
        <f t="shared" si="168"/>
        <v>340.02763447259463</v>
      </c>
      <c r="BH185" s="59">
        <f t="shared" si="116"/>
        <v>633.36096780592788</v>
      </c>
      <c r="BI185" s="59">
        <f ca="1">AVERAGE(OFFSET($BH$3,0,0,'Données projet'!$E$11+1,1))-AVERAGE(OFFSET($H$3,0,0,'Données projet'!$E$11+1,1))</f>
        <v>136.80149066064263</v>
      </c>
      <c r="BJ185" s="59">
        <f t="shared" si="146"/>
        <v>148.87330541103535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8.1019367102566644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8.1019367102566644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165.57839999999948</v>
      </c>
      <c r="D186" s="11">
        <f t="shared" si="140"/>
        <v>42.098218509199548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1603.1177569131153</v>
      </c>
      <c r="H186" s="66">
        <f t="shared" si="110"/>
        <v>655.03677723685496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304.99999999999994</v>
      </c>
      <c r="O186" s="13">
        <f>N186*VLOOKUP('Données projet'!$B$9,Paramètres!$A$1:$I$89,3,0)*VLOOKUP('Données projet'!$B$9,Paramètres!$A$1:$I$89,5,0)</f>
        <v>275.96399999999994</v>
      </c>
      <c r="P186" s="13">
        <f t="shared" si="141"/>
        <v>66.113366665488911</v>
      </c>
      <c r="Q186" s="20">
        <f t="shared" si="162"/>
        <v>595.7847469423931</v>
      </c>
      <c r="R186" s="59">
        <f t="shared" si="109"/>
        <v>889.11808027572647</v>
      </c>
      <c r="S186" s="59">
        <f ca="1">AVERAGE(OFFSET($R$3,0,0,'Données projet'!$E$9+1,1))-AVERAGE(OFFSET($H$3,0,0,'Données projet'!$E$9+1,1))</f>
        <v>295.41366969872354</v>
      </c>
      <c r="T186" s="59">
        <f t="shared" si="142"/>
        <v>415.02188573182912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0.40434965112889693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0.40434965112889693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268.00000000000023</v>
      </c>
      <c r="AJ186" s="13">
        <f>AI186*VLOOKUP('Données projet'!$B$10,Paramètres!$A$1:$I$89,3,0)*VLOOKUP('Données projet'!$B$10,Paramètres!$A$1:$I$89,5,0)</f>
        <v>175.59360000000015</v>
      </c>
      <c r="AK186" s="13">
        <f t="shared" si="164"/>
        <v>44.340433728638573</v>
      </c>
      <c r="AL186" s="20">
        <f t="shared" si="165"/>
        <v>383.05177541071242</v>
      </c>
      <c r="AM186" s="59">
        <f t="shared" si="113"/>
        <v>676.38510874404574</v>
      </c>
      <c r="AN186" s="59">
        <f ca="1">AVERAGE(OFFSET($AM$3,0,0,'Données projet'!$E$10+1,1))-AVERAGE(OFFSET($H$3,0,0,'Données projet'!$E$10+1,1))</f>
        <v>173.80737004674131</v>
      </c>
      <c r="AO186" s="59">
        <f t="shared" si="144"/>
        <v>206.06552061664968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7.6630448134462679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7.6630448134462679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243</v>
      </c>
      <c r="BE186" s="13">
        <f>BD186*VLOOKUP('Données projet'!$B$11,Paramètres!$A$1:$I$89,3,0)*VLOOKUP('Données projet'!$B$11,Paramètres!$A$1:$I$89,5,0)</f>
        <v>155.4228</v>
      </c>
      <c r="BF186" s="13">
        <f t="shared" si="167"/>
        <v>39.808377687614154</v>
      </c>
      <c r="BG186" s="20">
        <f t="shared" si="168"/>
        <v>340.02763447259463</v>
      </c>
      <c r="BH186" s="59">
        <f t="shared" si="116"/>
        <v>633.36096780592788</v>
      </c>
      <c r="BI186" s="59">
        <f ca="1">AVERAGE(OFFSET($BH$3,0,0,'Données projet'!$E$11+1,1))-AVERAGE(OFFSET($H$3,0,0,'Données projet'!$E$11+1,1))</f>
        <v>136.80149066064263</v>
      </c>
      <c r="BJ186" s="59">
        <f t="shared" si="146"/>
        <v>148.87330541103535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7.9430626730619727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7.9430626730619727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166.48319999999947</v>
      </c>
      <c r="D187" s="11">
        <f t="shared" si="140"/>
        <v>42.301421676867022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1611.6707638214257</v>
      </c>
      <c r="H187" s="66">
        <f t="shared" si="110"/>
        <v>656.96654942054238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304.99999999999994</v>
      </c>
      <c r="O187" s="13">
        <f>N187*VLOOKUP('Données projet'!$B$9,Paramètres!$A$1:$I$89,3,0)*VLOOKUP('Données projet'!$B$9,Paramètres!$A$1:$I$89,5,0)</f>
        <v>275.96399999999994</v>
      </c>
      <c r="P187" s="13">
        <f t="shared" si="141"/>
        <v>66.113366665488911</v>
      </c>
      <c r="Q187" s="20">
        <f t="shared" si="162"/>
        <v>595.7847469423931</v>
      </c>
      <c r="R187" s="59">
        <f t="shared" si="109"/>
        <v>889.11808027572647</v>
      </c>
      <c r="S187" s="59">
        <f ca="1">AVERAGE(OFFSET($R$3,0,0,'Données projet'!$E$9+1,1))-AVERAGE(OFFSET($H$3,0,0,'Données projet'!$E$9+1,1))</f>
        <v>295.41366969872354</v>
      </c>
      <c r="T187" s="59">
        <f t="shared" si="142"/>
        <v>415.02188573182912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0.39642060109919386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0.39642060109919386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268.00000000000023</v>
      </c>
      <c r="AJ187" s="13">
        <f>AI187*VLOOKUP('Données projet'!$B$10,Paramètres!$A$1:$I$89,3,0)*VLOOKUP('Données projet'!$B$10,Paramètres!$A$1:$I$89,5,0)</f>
        <v>175.59360000000015</v>
      </c>
      <c r="AK187" s="13">
        <f t="shared" si="164"/>
        <v>44.340433728638573</v>
      </c>
      <c r="AL187" s="20">
        <f t="shared" si="165"/>
        <v>383.05177541071242</v>
      </c>
      <c r="AM187" s="59">
        <f t="shared" si="113"/>
        <v>676.38510874404574</v>
      </c>
      <c r="AN187" s="59">
        <f ca="1">AVERAGE(OFFSET($AM$3,0,0,'Données projet'!$E$10+1,1))-AVERAGE(OFFSET($H$3,0,0,'Données projet'!$E$10+1,1))</f>
        <v>173.80737004674131</v>
      </c>
      <c r="AO187" s="59">
        <f t="shared" si="144"/>
        <v>206.06552061664968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7.5127771786504036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7.5127771786504036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243</v>
      </c>
      <c r="BE187" s="13">
        <f>BD187*VLOOKUP('Données projet'!$B$11,Paramètres!$A$1:$I$89,3,0)*VLOOKUP('Données projet'!$B$11,Paramètres!$A$1:$I$89,5,0)</f>
        <v>155.4228</v>
      </c>
      <c r="BF187" s="13">
        <f t="shared" si="167"/>
        <v>39.808377687614154</v>
      </c>
      <c r="BG187" s="20">
        <f t="shared" si="168"/>
        <v>340.02763447259463</v>
      </c>
      <c r="BH187" s="59">
        <f t="shared" si="116"/>
        <v>633.36096780592788</v>
      </c>
      <c r="BI187" s="59">
        <f ca="1">AVERAGE(OFFSET($BH$3,0,0,'Données projet'!$E$11+1,1))-AVERAGE(OFFSET($H$3,0,0,'Données projet'!$E$11+1,1))</f>
        <v>136.80149066064263</v>
      </c>
      <c r="BJ187" s="59">
        <f t="shared" si="146"/>
        <v>148.87330541103535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7.7873040588330751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7.7873040588330751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167.38799999999947</v>
      </c>
      <c r="D188" s="11">
        <f t="shared" si="140"/>
        <v>42.504496336426151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1620.2227787373206</v>
      </c>
      <c r="H188" s="66">
        <f t="shared" si="110"/>
        <v>658.89609778594127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304.99999999999994</v>
      </c>
      <c r="O188" s="13">
        <f>N188*VLOOKUP('Données projet'!$B$9,Paramètres!$A$1:$I$89,3,0)*VLOOKUP('Données projet'!$B$9,Paramètres!$A$1:$I$89,5,0)</f>
        <v>275.96399999999994</v>
      </c>
      <c r="P188" s="13">
        <f t="shared" si="141"/>
        <v>66.113366665488911</v>
      </c>
      <c r="Q188" s="20">
        <f t="shared" si="162"/>
        <v>595.7847469423931</v>
      </c>
      <c r="R188" s="59">
        <f t="shared" si="109"/>
        <v>889.11808027572647</v>
      </c>
      <c r="S188" s="59">
        <f ca="1">AVERAGE(OFFSET($R$3,0,0,'Données projet'!$E$9+1,1))-AVERAGE(OFFSET($H$3,0,0,'Données projet'!$E$9+1,1))</f>
        <v>295.41366969872354</v>
      </c>
      <c r="T188" s="59">
        <f t="shared" si="142"/>
        <v>415.02188573182912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0.38864703490433028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0.38864703490433028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268.00000000000023</v>
      </c>
      <c r="AJ188" s="13">
        <f>AI188*VLOOKUP('Données projet'!$B$10,Paramètres!$A$1:$I$89,3,0)*VLOOKUP('Données projet'!$B$10,Paramètres!$A$1:$I$89,5,0)</f>
        <v>175.59360000000015</v>
      </c>
      <c r="AK188" s="13">
        <f t="shared" si="164"/>
        <v>44.340433728638573</v>
      </c>
      <c r="AL188" s="20">
        <f t="shared" si="165"/>
        <v>383.05177541071242</v>
      </c>
      <c r="AM188" s="59">
        <f t="shared" si="113"/>
        <v>676.38510874404574</v>
      </c>
      <c r="AN188" s="59">
        <f ca="1">AVERAGE(OFFSET($AM$3,0,0,'Données projet'!$E$10+1,1))-AVERAGE(OFFSET($H$3,0,0,'Données projet'!$E$10+1,1))</f>
        <v>173.80737004674131</v>
      </c>
      <c r="AO188" s="59">
        <f t="shared" si="144"/>
        <v>206.06552061664968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7.3654562005186799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7.3654562005186799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243</v>
      </c>
      <c r="BE188" s="13">
        <f>BD188*VLOOKUP('Données projet'!$B$11,Paramètres!$A$1:$I$89,3,0)*VLOOKUP('Données projet'!$B$11,Paramètres!$A$1:$I$89,5,0)</f>
        <v>155.4228</v>
      </c>
      <c r="BF188" s="13">
        <f t="shared" si="167"/>
        <v>39.808377687614154</v>
      </c>
      <c r="BG188" s="20">
        <f t="shared" si="168"/>
        <v>340.02763447259463</v>
      </c>
      <c r="BH188" s="59">
        <f t="shared" si="116"/>
        <v>633.36096780592788</v>
      </c>
      <c r="BI188" s="59">
        <f ca="1">AVERAGE(OFFSET($BH$3,0,0,'Données projet'!$E$11+1,1))-AVERAGE(OFFSET($H$3,0,0,'Données projet'!$E$11+1,1))</f>
        <v>136.80149066064263</v>
      </c>
      <c r="BJ188" s="59">
        <f t="shared" si="146"/>
        <v>148.87330541103535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7.6345997760258317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7.6345997760258317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168.29279999999946</v>
      </c>
      <c r="D189" s="11">
        <f t="shared" si="140"/>
        <v>42.707443263134955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1628.7738076452481</v>
      </c>
      <c r="H189" s="66">
        <f t="shared" si="110"/>
        <v>660.82542368329246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304.99999999999994</v>
      </c>
      <c r="O189" s="13">
        <f>N189*VLOOKUP('Données projet'!$B$9,Paramètres!$A$1:$I$89,3,0)*VLOOKUP('Données projet'!$B$9,Paramètres!$A$1:$I$89,5,0)</f>
        <v>275.96399999999994</v>
      </c>
      <c r="P189" s="13">
        <f t="shared" si="141"/>
        <v>66.113366665488911</v>
      </c>
      <c r="Q189" s="20">
        <f t="shared" si="162"/>
        <v>595.7847469423931</v>
      </c>
      <c r="R189" s="59">
        <f t="shared" si="109"/>
        <v>889.11808027572647</v>
      </c>
      <c r="S189" s="59">
        <f ca="1">AVERAGE(OFFSET($R$3,0,0,'Données projet'!$E$9+1,1))-AVERAGE(OFFSET($H$3,0,0,'Données projet'!$E$9+1,1))</f>
        <v>295.41366969872354</v>
      </c>
      <c r="T189" s="59">
        <f t="shared" si="142"/>
        <v>415.02188573182912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0.3810259036011408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0.3810259036011408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268.00000000000023</v>
      </c>
      <c r="AJ189" s="13">
        <f>AI189*VLOOKUP('Données projet'!$B$10,Paramètres!$A$1:$I$89,3,0)*VLOOKUP('Données projet'!$B$10,Paramètres!$A$1:$I$89,5,0)</f>
        <v>175.59360000000015</v>
      </c>
      <c r="AK189" s="13">
        <f t="shared" si="164"/>
        <v>44.340433728638573</v>
      </c>
      <c r="AL189" s="20">
        <f t="shared" si="165"/>
        <v>383.05177541071242</v>
      </c>
      <c r="AM189" s="59">
        <f t="shared" si="113"/>
        <v>676.38510874404574</v>
      </c>
      <c r="AN189" s="59">
        <f ca="1">AVERAGE(OFFSET($AM$3,0,0,'Données projet'!$E$10+1,1))-AVERAGE(OFFSET($H$3,0,0,'Données projet'!$E$10+1,1))</f>
        <v>173.80737004674131</v>
      </c>
      <c r="AO189" s="59">
        <f t="shared" si="144"/>
        <v>206.06552061664968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7.2210240969111945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7.2210240969111945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243</v>
      </c>
      <c r="BE189" s="13">
        <f>BD189*VLOOKUP('Données projet'!$B$11,Paramètres!$A$1:$I$89,3,0)*VLOOKUP('Données projet'!$B$11,Paramètres!$A$1:$I$89,5,0)</f>
        <v>155.4228</v>
      </c>
      <c r="BF189" s="13">
        <f t="shared" si="167"/>
        <v>39.808377687614154</v>
      </c>
      <c r="BG189" s="20">
        <f t="shared" si="168"/>
        <v>340.02763447259463</v>
      </c>
      <c r="BH189" s="59">
        <f t="shared" si="116"/>
        <v>633.36096780592788</v>
      </c>
      <c r="BI189" s="59">
        <f ca="1">AVERAGE(OFFSET($BH$3,0,0,'Données projet'!$E$11+1,1))-AVERAGE(OFFSET($H$3,0,0,'Données projet'!$E$11+1,1))</f>
        <v>136.80149066064263</v>
      </c>
      <c r="BJ189" s="59">
        <f t="shared" si="146"/>
        <v>148.87330541103535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7.4848899310640231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7.4848899310640231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169.19759999999945</v>
      </c>
      <c r="D190" s="11">
        <f t="shared" si="140"/>
        <v>42.910263223432771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1637.3238564615822</v>
      </c>
      <c r="H190" s="66">
        <f t="shared" si="110"/>
        <v>662.7545284474777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304.99999999999994</v>
      </c>
      <c r="O190" s="13">
        <f>N190*VLOOKUP('Données projet'!$B$9,Paramètres!$A$1:$I$89,3,0)*VLOOKUP('Données projet'!$B$9,Paramètres!$A$1:$I$89,5,0)</f>
        <v>275.96399999999994</v>
      </c>
      <c r="P190" s="13">
        <f t="shared" si="141"/>
        <v>66.113366665488911</v>
      </c>
      <c r="Q190" s="20">
        <f t="shared" si="162"/>
        <v>595.7847469423931</v>
      </c>
      <c r="R190" s="59">
        <f t="shared" si="109"/>
        <v>889.11808027572647</v>
      </c>
      <c r="S190" s="59">
        <f ca="1">AVERAGE(OFFSET($R$3,0,0,'Données projet'!$E$9+1,1))-AVERAGE(OFFSET($H$3,0,0,'Données projet'!$E$9+1,1))</f>
        <v>295.41366969872354</v>
      </c>
      <c r="T190" s="59">
        <f t="shared" si="142"/>
        <v>415.02188573182912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0.37355421803437577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0.37355421803437577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268.00000000000023</v>
      </c>
      <c r="AJ190" s="13">
        <f>AI190*VLOOKUP('Données projet'!$B$10,Paramètres!$A$1:$I$89,3,0)*VLOOKUP('Données projet'!$B$10,Paramètres!$A$1:$I$89,5,0)</f>
        <v>175.59360000000015</v>
      </c>
      <c r="AK190" s="13">
        <f t="shared" si="164"/>
        <v>44.340433728638573</v>
      </c>
      <c r="AL190" s="20">
        <f t="shared" si="165"/>
        <v>383.05177541071242</v>
      </c>
      <c r="AM190" s="59">
        <f t="shared" si="113"/>
        <v>676.38510874404574</v>
      </c>
      <c r="AN190" s="59">
        <f ca="1">AVERAGE(OFFSET($AM$3,0,0,'Données projet'!$E$10+1,1))-AVERAGE(OFFSET($H$3,0,0,'Données projet'!$E$10+1,1))</f>
        <v>173.80737004674131</v>
      </c>
      <c r="AO190" s="59">
        <f t="shared" si="144"/>
        <v>206.06552061664968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7.0794242187605674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7.0794242187605674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243</v>
      </c>
      <c r="BE190" s="13">
        <f>BD190*VLOOKUP('Données projet'!$B$11,Paramètres!$A$1:$I$89,3,0)*VLOOKUP('Données projet'!$B$11,Paramètres!$A$1:$I$89,5,0)</f>
        <v>155.4228</v>
      </c>
      <c r="BF190" s="13">
        <f t="shared" si="167"/>
        <v>39.808377687614154</v>
      </c>
      <c r="BG190" s="20">
        <f t="shared" si="168"/>
        <v>340.02763447259463</v>
      </c>
      <c r="BH190" s="59">
        <f t="shared" si="116"/>
        <v>633.36096780592788</v>
      </c>
      <c r="BI190" s="59">
        <f ca="1">AVERAGE(OFFSET($BH$3,0,0,'Données projet'!$E$11+1,1))-AVERAGE(OFFSET($H$3,0,0,'Données projet'!$E$11+1,1))</f>
        <v>136.80149066064263</v>
      </c>
      <c r="BJ190" s="59">
        <f t="shared" si="146"/>
        <v>148.87330541103535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7.3381158048479262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7.3381158048479262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170.10239999999945</v>
      </c>
      <c r="D191" s="11">
        <f t="shared" si="140"/>
        <v>43.112956975087251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1645.8729310357569</v>
      </c>
      <c r="H191" s="66">
        <f t="shared" si="110"/>
        <v>664.68341339827589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304.99999999999994</v>
      </c>
      <c r="O191" s="13">
        <f>N191*VLOOKUP('Données projet'!$B$9,Paramètres!$A$1:$I$89,3,0)*VLOOKUP('Données projet'!$B$9,Paramètres!$A$1:$I$89,5,0)</f>
        <v>275.96399999999994</v>
      </c>
      <c r="P191" s="13">
        <f t="shared" si="141"/>
        <v>66.113366665488911</v>
      </c>
      <c r="Q191" s="20">
        <f t="shared" si="162"/>
        <v>595.7847469423931</v>
      </c>
      <c r="R191" s="59">
        <f t="shared" si="109"/>
        <v>889.11808027572647</v>
      </c>
      <c r="S191" s="59">
        <f ca="1">AVERAGE(OFFSET($R$3,0,0,'Données projet'!$E$9+1,1))-AVERAGE(OFFSET($H$3,0,0,'Données projet'!$E$9+1,1))</f>
        <v>295.41366969872354</v>
      </c>
      <c r="T191" s="59">
        <f t="shared" si="142"/>
        <v>415.02188573182912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0.36622904766429676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0.36622904766429676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268.00000000000023</v>
      </c>
      <c r="AJ191" s="13">
        <f>AI191*VLOOKUP('Données projet'!$B$10,Paramètres!$A$1:$I$89,3,0)*VLOOKUP('Données projet'!$B$10,Paramètres!$A$1:$I$89,5,0)</f>
        <v>175.59360000000015</v>
      </c>
      <c r="AK191" s="13">
        <f t="shared" si="164"/>
        <v>44.340433728638573</v>
      </c>
      <c r="AL191" s="20">
        <f t="shared" si="165"/>
        <v>383.05177541071242</v>
      </c>
      <c r="AM191" s="59">
        <f t="shared" si="113"/>
        <v>676.38510874404574</v>
      </c>
      <c r="AN191" s="59">
        <f ca="1">AVERAGE(OFFSET($AM$3,0,0,'Données projet'!$E$10+1,1))-AVERAGE(OFFSET($H$3,0,0,'Données projet'!$E$10+1,1))</f>
        <v>173.80737004674131</v>
      </c>
      <c r="AO191" s="59">
        <f t="shared" si="144"/>
        <v>206.06552061664968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6.9406010278530772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6.9406010278530772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243</v>
      </c>
      <c r="BE191" s="13">
        <f>BD191*VLOOKUP('Données projet'!$B$11,Paramètres!$A$1:$I$89,3,0)*VLOOKUP('Données projet'!$B$11,Paramètres!$A$1:$I$89,5,0)</f>
        <v>155.4228</v>
      </c>
      <c r="BF191" s="13">
        <f t="shared" si="167"/>
        <v>39.808377687614154</v>
      </c>
      <c r="BG191" s="20">
        <f t="shared" si="168"/>
        <v>340.02763447259463</v>
      </c>
      <c r="BH191" s="59">
        <f t="shared" si="116"/>
        <v>633.36096780592788</v>
      </c>
      <c r="BI191" s="59">
        <f ca="1">AVERAGE(OFFSET($BH$3,0,0,'Données projet'!$E$11+1,1))-AVERAGE(OFFSET($H$3,0,0,'Données projet'!$E$11+1,1))</f>
        <v>136.80149066064263</v>
      </c>
      <c r="BJ191" s="59">
        <f t="shared" si="146"/>
        <v>148.87330541103535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7.1942198297235498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7.1942198297235498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171.00719999999944</v>
      </c>
      <c r="D192" s="11">
        <f t="shared" si="140"/>
        <v>43.315525267337939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1654.4210371513764</v>
      </c>
      <c r="H192" s="66">
        <f t="shared" si="110"/>
        <v>666.61207984061252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304.99999999999994</v>
      </c>
      <c r="O192" s="13">
        <f>N192*VLOOKUP('Données projet'!$B$9,Paramètres!$A$1:$I$89,3,0)*VLOOKUP('Données projet'!$B$9,Paramètres!$A$1:$I$89,5,0)</f>
        <v>275.96399999999994</v>
      </c>
      <c r="P192" s="13">
        <f t="shared" si="141"/>
        <v>66.113366665488911</v>
      </c>
      <c r="Q192" s="20">
        <f t="shared" si="162"/>
        <v>595.7847469423931</v>
      </c>
      <c r="R192" s="59">
        <f t="shared" si="109"/>
        <v>889.11808027572647</v>
      </c>
      <c r="S192" s="59">
        <f ca="1">AVERAGE(OFFSET($R$3,0,0,'Données projet'!$E$9+1,1))-AVERAGE(OFFSET($H$3,0,0,'Données projet'!$E$9+1,1))</f>
        <v>295.41366969872354</v>
      </c>
      <c r="T192" s="59">
        <f t="shared" si="142"/>
        <v>415.02188573182912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0.35904751941726226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0.35904751941726226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268.00000000000023</v>
      </c>
      <c r="AJ192" s="13">
        <f>AI192*VLOOKUP('Données projet'!$B$10,Paramètres!$A$1:$I$89,3,0)*VLOOKUP('Données projet'!$B$10,Paramètres!$A$1:$I$89,5,0)</f>
        <v>175.59360000000015</v>
      </c>
      <c r="AK192" s="13">
        <f t="shared" si="164"/>
        <v>44.340433728638573</v>
      </c>
      <c r="AL192" s="20">
        <f t="shared" si="165"/>
        <v>383.05177541071242</v>
      </c>
      <c r="AM192" s="59">
        <f t="shared" si="113"/>
        <v>676.38510874404574</v>
      </c>
      <c r="AN192" s="59">
        <f ca="1">AVERAGE(OFFSET($AM$3,0,0,'Données projet'!$E$10+1,1))-AVERAGE(OFFSET($H$3,0,0,'Données projet'!$E$10+1,1))</f>
        <v>173.80737004674131</v>
      </c>
      <c r="AO192" s="59">
        <f t="shared" si="144"/>
        <v>206.06552061664968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6.8045000750454969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6.8045000750454969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243</v>
      </c>
      <c r="BE192" s="13">
        <f>BD192*VLOOKUP('Données projet'!$B$11,Paramètres!$A$1:$I$89,3,0)*VLOOKUP('Données projet'!$B$11,Paramètres!$A$1:$I$89,5,0)</f>
        <v>155.4228</v>
      </c>
      <c r="BF192" s="13">
        <f t="shared" si="167"/>
        <v>39.808377687614154</v>
      </c>
      <c r="BG192" s="20">
        <f t="shared" si="168"/>
        <v>340.02763447259463</v>
      </c>
      <c r="BH192" s="59">
        <f t="shared" si="116"/>
        <v>633.36096780592788</v>
      </c>
      <c r="BI192" s="59">
        <f ca="1">AVERAGE(OFFSET($BH$3,0,0,'Données projet'!$E$11+1,1))-AVERAGE(OFFSET($H$3,0,0,'Données projet'!$E$11+1,1))</f>
        <v>136.80149066064263</v>
      </c>
      <c r="BJ192" s="59">
        <f t="shared" si="146"/>
        <v>148.87330541103535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7.0531455669034839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7.0531455669034839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171.91199999999944</v>
      </c>
      <c r="D193" s="11">
        <f t="shared" si="140"/>
        <v>43.517968841037174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1662.9681805273001</v>
      </c>
      <c r="H193" s="66">
        <f t="shared" si="110"/>
        <v>668.54052906480536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304.99999999999994</v>
      </c>
      <c r="O193" s="13">
        <f>N193*VLOOKUP('Données projet'!$B$9,Paramètres!$A$1:$I$89,3,0)*VLOOKUP('Données projet'!$B$9,Paramètres!$A$1:$I$89,5,0)</f>
        <v>275.96399999999994</v>
      </c>
      <c r="P193" s="13">
        <f t="shared" si="141"/>
        <v>66.113366665488911</v>
      </c>
      <c r="Q193" s="20">
        <f t="shared" si="162"/>
        <v>595.7847469423931</v>
      </c>
      <c r="R193" s="59">
        <f t="shared" si="109"/>
        <v>889.11808027572647</v>
      </c>
      <c r="S193" s="59">
        <f ca="1">AVERAGE(OFFSET($R$3,0,0,'Données projet'!$E$9+1,1))-AVERAGE(OFFSET($H$3,0,0,'Données projet'!$E$9+1,1))</f>
        <v>295.41366969872354</v>
      </c>
      <c r="T193" s="59">
        <f t="shared" si="142"/>
        <v>415.02188573182912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0.35200681655885241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0.35200681655885241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268.00000000000023</v>
      </c>
      <c r="AJ193" s="13">
        <f>AI193*VLOOKUP('Données projet'!$B$10,Paramètres!$A$1:$I$89,3,0)*VLOOKUP('Données projet'!$B$10,Paramètres!$A$1:$I$89,5,0)</f>
        <v>175.59360000000015</v>
      </c>
      <c r="AK193" s="13">
        <f t="shared" si="164"/>
        <v>44.340433728638573</v>
      </c>
      <c r="AL193" s="20">
        <f t="shared" si="165"/>
        <v>383.05177541071242</v>
      </c>
      <c r="AM193" s="59">
        <f t="shared" si="113"/>
        <v>676.38510874404574</v>
      </c>
      <c r="AN193" s="59">
        <f ca="1">AVERAGE(OFFSET($AM$3,0,0,'Données projet'!$E$10+1,1))-AVERAGE(OFFSET($H$3,0,0,'Données projet'!$E$10+1,1))</f>
        <v>173.80737004674131</v>
      </c>
      <c r="AO193" s="59">
        <f t="shared" si="144"/>
        <v>206.06552061664968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6.6710679789090888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6.6710679789090888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243</v>
      </c>
      <c r="BE193" s="13">
        <f>BD193*VLOOKUP('Données projet'!$B$11,Paramètres!$A$1:$I$89,3,0)*VLOOKUP('Données projet'!$B$11,Paramètres!$A$1:$I$89,5,0)</f>
        <v>155.4228</v>
      </c>
      <c r="BF193" s="13">
        <f t="shared" si="167"/>
        <v>39.808377687614154</v>
      </c>
      <c r="BG193" s="20">
        <f t="shared" si="168"/>
        <v>340.02763447259463</v>
      </c>
      <c r="BH193" s="59">
        <f t="shared" si="116"/>
        <v>633.36096780592788</v>
      </c>
      <c r="BI193" s="59">
        <f ca="1">AVERAGE(OFFSET($BH$3,0,0,'Données projet'!$E$11+1,1))-AVERAGE(OFFSET($H$3,0,0,'Données projet'!$E$11+1,1))</f>
        <v>136.80149066064263</v>
      </c>
      <c r="BJ193" s="59">
        <f t="shared" si="146"/>
        <v>148.87330541103535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6.9148376843305162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6.9148376843305162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172.81679999999943</v>
      </c>
      <c r="D194" s="11">
        <f t="shared" si="140"/>
        <v>43.720288428787171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1671.5143668187038</v>
      </c>
      <c r="H194" s="66">
        <f t="shared" si="110"/>
        <v>670.46876234680326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304.99999999999994</v>
      </c>
      <c r="O194" s="13">
        <f>N194*VLOOKUP('Données projet'!$B$9,Paramètres!$A$1:$I$89,3,0)*VLOOKUP('Données projet'!$B$9,Paramètres!$A$1:$I$89,5,0)</f>
        <v>275.96399999999994</v>
      </c>
      <c r="P194" s="13">
        <f t="shared" si="141"/>
        <v>66.113366665488911</v>
      </c>
      <c r="Q194" s="20">
        <f t="shared" si="162"/>
        <v>595.7847469423931</v>
      </c>
      <c r="R194" s="59">
        <f t="shared" si="109"/>
        <v>889.11808027572647</v>
      </c>
      <c r="S194" s="59">
        <f ca="1">AVERAGE(OFFSET($R$3,0,0,'Données projet'!$E$9+1,1))-AVERAGE(OFFSET($H$3,0,0,'Données projet'!$E$9+1,1))</f>
        <v>295.41366969872354</v>
      </c>
      <c r="T194" s="59">
        <f t="shared" si="142"/>
        <v>415.02188573182912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0.34510417758909123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0.34510417758909123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268.00000000000023</v>
      </c>
      <c r="AJ194" s="13">
        <f>AI194*VLOOKUP('Données projet'!$B$10,Paramètres!$A$1:$I$89,3,0)*VLOOKUP('Données projet'!$B$10,Paramètres!$A$1:$I$89,5,0)</f>
        <v>175.59360000000015</v>
      </c>
      <c r="AK194" s="13">
        <f t="shared" si="164"/>
        <v>44.340433728638573</v>
      </c>
      <c r="AL194" s="20">
        <f t="shared" si="165"/>
        <v>383.05177541071242</v>
      </c>
      <c r="AM194" s="59">
        <f t="shared" si="113"/>
        <v>676.38510874404574</v>
      </c>
      <c r="AN194" s="59">
        <f ca="1">AVERAGE(OFFSET($AM$3,0,0,'Données projet'!$E$10+1,1))-AVERAGE(OFFSET($H$3,0,0,'Données projet'!$E$10+1,1))</f>
        <v>173.80737004674131</v>
      </c>
      <c r="AO194" s="59">
        <f t="shared" si="144"/>
        <v>206.06552061664968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6.5402524047923736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6.5402524047923736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243</v>
      </c>
      <c r="BE194" s="13">
        <f>BD194*VLOOKUP('Données projet'!$B$11,Paramètres!$A$1:$I$89,3,0)*VLOOKUP('Données projet'!$B$11,Paramètres!$A$1:$I$89,5,0)</f>
        <v>155.4228</v>
      </c>
      <c r="BF194" s="13">
        <f t="shared" si="167"/>
        <v>39.808377687614154</v>
      </c>
      <c r="BG194" s="20">
        <f t="shared" si="168"/>
        <v>340.02763447259463</v>
      </c>
      <c r="BH194" s="59">
        <f t="shared" si="116"/>
        <v>633.36096780592788</v>
      </c>
      <c r="BI194" s="59">
        <f ca="1">AVERAGE(OFFSET($BH$3,0,0,'Données projet'!$E$11+1,1))-AVERAGE(OFFSET($H$3,0,0,'Données projet'!$E$11+1,1))</f>
        <v>136.80149066064263</v>
      </c>
      <c r="BJ194" s="59">
        <f t="shared" si="146"/>
        <v>148.87330541103535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6.7792419349753255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6.7792419349753255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173.72159999999943</v>
      </c>
      <c r="D195" s="11">
        <f t="shared" si="140"/>
        <v>43.92248475507499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1680.0596016181182</v>
      </c>
      <c r="H195" s="66">
        <f t="shared" si="110"/>
        <v>672.39678094842111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304.99999999999994</v>
      </c>
      <c r="O195" s="13">
        <f>N195*VLOOKUP('Données projet'!$B$9,Paramètres!$A$1:$I$89,3,0)*VLOOKUP('Données projet'!$B$9,Paramètres!$A$1:$I$89,5,0)</f>
        <v>275.96399999999994</v>
      </c>
      <c r="P195" s="13">
        <f t="shared" si="141"/>
        <v>66.113366665488911</v>
      </c>
      <c r="Q195" s="20">
        <f t="shared" si="162"/>
        <v>595.7847469423931</v>
      </c>
      <c r="R195" s="59">
        <f t="shared" ref="R195:R203" si="191">Q195+(I195+J195)*44/12</f>
        <v>889.11808027572647</v>
      </c>
      <c r="S195" s="59">
        <f ca="1">AVERAGE(OFFSET($R$3,0,0,'Données projet'!$E$9+1,1))-AVERAGE(OFFSET($H$3,0,0,'Données projet'!$E$9+1,1))</f>
        <v>295.41366969872354</v>
      </c>
      <c r="T195" s="59">
        <f t="shared" si="142"/>
        <v>415.02188573182912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0.33833689515933307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0.33833689515933307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268.00000000000023</v>
      </c>
      <c r="AJ195" s="13">
        <f>AI195*VLOOKUP('Données projet'!$B$10,Paramètres!$A$1:$I$89,3,0)*VLOOKUP('Données projet'!$B$10,Paramètres!$A$1:$I$89,5,0)</f>
        <v>175.59360000000015</v>
      </c>
      <c r="AK195" s="13">
        <f t="shared" si="164"/>
        <v>44.340433728638573</v>
      </c>
      <c r="AL195" s="20">
        <f t="shared" si="165"/>
        <v>383.05177541071242</v>
      </c>
      <c r="AM195" s="59">
        <f t="shared" si="113"/>
        <v>676.38510874404574</v>
      </c>
      <c r="AN195" s="59">
        <f ca="1">AVERAGE(OFFSET($AM$3,0,0,'Données projet'!$E$10+1,1))-AVERAGE(OFFSET($H$3,0,0,'Données projet'!$E$10+1,1))</f>
        <v>173.80737004674131</v>
      </c>
      <c r="AO195" s="59">
        <f t="shared" si="144"/>
        <v>206.06552061664968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6.4120020442944652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6.4120020442944652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243</v>
      </c>
      <c r="BE195" s="13">
        <f>BD195*VLOOKUP('Données projet'!$B$11,Paramètres!$A$1:$I$89,3,0)*VLOOKUP('Données projet'!$B$11,Paramètres!$A$1:$I$89,5,0)</f>
        <v>155.4228</v>
      </c>
      <c r="BF195" s="13">
        <f t="shared" si="167"/>
        <v>39.808377687614154</v>
      </c>
      <c r="BG195" s="20">
        <f t="shared" si="168"/>
        <v>340.02763447259463</v>
      </c>
      <c r="BH195" s="59">
        <f t="shared" si="116"/>
        <v>633.36096780592788</v>
      </c>
      <c r="BI195" s="59">
        <f ca="1">AVERAGE(OFFSET($BH$3,0,0,'Données projet'!$E$11+1,1))-AVERAGE(OFFSET($H$3,0,0,'Données projet'!$E$11+1,1))</f>
        <v>136.80149066064263</v>
      </c>
      <c r="BJ195" s="59">
        <f t="shared" si="146"/>
        <v>148.87330541103535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6.6463051355597491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6.6463051355597491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174.62639999999942</v>
      </c>
      <c r="D196" s="11">
        <f t="shared" si="140"/>
        <v>44.124558536403818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1688.6038904564459</v>
      </c>
      <c r="H196" s="66">
        <f t="shared" ref="H196:H203" si="192">(B196+E196+F196)*44/12+(C196+D196)*0.475*44/12</f>
        <v>674.32458611756897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304.99999999999994</v>
      </c>
      <c r="O196" s="13">
        <f>N196*VLOOKUP('Données projet'!$B$9,Paramètres!$A$1:$I$89,3,0)*VLOOKUP('Données projet'!$B$9,Paramètres!$A$1:$I$89,5,0)</f>
        <v>275.96399999999994</v>
      </c>
      <c r="P196" s="13">
        <f t="shared" si="141"/>
        <v>66.113366665488911</v>
      </c>
      <c r="Q196" s="20">
        <f t="shared" si="162"/>
        <v>595.7847469423931</v>
      </c>
      <c r="R196" s="59">
        <f t="shared" si="191"/>
        <v>889.11808027572647</v>
      </c>
      <c r="S196" s="59">
        <f ca="1">AVERAGE(OFFSET($R$3,0,0,'Données projet'!$E$9+1,1))-AVERAGE(OFFSET($H$3,0,0,'Données projet'!$E$9+1,1))</f>
        <v>295.41366969872354</v>
      </c>
      <c r="T196" s="59">
        <f t="shared" si="142"/>
        <v>415.02188573182912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0.33170231501038772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0.33170231501038772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268.00000000000023</v>
      </c>
      <c r="AJ196" s="13">
        <f>AI196*VLOOKUP('Données projet'!$B$10,Paramètres!$A$1:$I$89,3,0)*VLOOKUP('Données projet'!$B$10,Paramètres!$A$1:$I$89,5,0)</f>
        <v>175.59360000000015</v>
      </c>
      <c r="AK196" s="13">
        <f t="shared" si="164"/>
        <v>44.340433728638573</v>
      </c>
      <c r="AL196" s="20">
        <f t="shared" si="165"/>
        <v>383.05177541071242</v>
      </c>
      <c r="AM196" s="59">
        <f t="shared" ref="AM196:AM203" si="193">AL196+(AD196+AE196)*44/12</f>
        <v>676.38510874404574</v>
      </c>
      <c r="AN196" s="59">
        <f ca="1">AVERAGE(OFFSET($AM$3,0,0,'Données projet'!$E$10+1,1))-AVERAGE(OFFSET($H$3,0,0,'Données projet'!$E$10+1,1))</f>
        <v>173.80737004674131</v>
      </c>
      <c r="AO196" s="59">
        <f t="shared" si="144"/>
        <v>206.06552061664968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6.2862665951409253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6.2862665951409253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243</v>
      </c>
      <c r="BE196" s="13">
        <f>BD196*VLOOKUP('Données projet'!$B$11,Paramètres!$A$1:$I$89,3,0)*VLOOKUP('Données projet'!$B$11,Paramètres!$A$1:$I$89,5,0)</f>
        <v>155.4228</v>
      </c>
      <c r="BF196" s="13">
        <f t="shared" si="167"/>
        <v>39.808377687614154</v>
      </c>
      <c r="BG196" s="20">
        <f t="shared" si="168"/>
        <v>340.02763447259463</v>
      </c>
      <c r="BH196" s="59">
        <f t="shared" ref="BH196:BH203" si="194">BG196+(AY196+AZ196)*44/12</f>
        <v>633.36096780592788</v>
      </c>
      <c r="BI196" s="59">
        <f ca="1">AVERAGE(OFFSET($BH$3,0,0,'Données projet'!$E$11+1,1))-AVERAGE(OFFSET($H$3,0,0,'Données projet'!$E$11+1,1))</f>
        <v>136.80149066064263</v>
      </c>
      <c r="BJ196" s="59">
        <f t="shared" si="146"/>
        <v>148.87330541103535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6.5159751456972712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6.5159751456972712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175.53119999999942</v>
      </c>
      <c r="D197" s="11">
        <f t="shared" ref="D197:D203" si="202">IFERROR(EXP(-1.0587+0.8836*LN(C197)+0.284),0)</f>
        <v>44.326510481422375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1697.1472388039581</v>
      </c>
      <c r="H197" s="66">
        <f t="shared" si="192"/>
        <v>676.25217908847617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304.99999999999994</v>
      </c>
      <c r="O197" s="13">
        <f>N197*VLOOKUP('Données projet'!$B$9,Paramètres!$A$1:$I$89,3,0)*VLOOKUP('Données projet'!$B$9,Paramètres!$A$1:$I$89,5,0)</f>
        <v>275.96399999999994</v>
      </c>
      <c r="P197" s="13">
        <f t="shared" ref="P197:P203" si="203">EXP(-1.0587+0.8836*LN(O197)+0.284)</f>
        <v>66.113366665488911</v>
      </c>
      <c r="Q197" s="20">
        <f t="shared" si="162"/>
        <v>595.7847469423931</v>
      </c>
      <c r="R197" s="59">
        <f t="shared" si="191"/>
        <v>889.11808027572647</v>
      </c>
      <c r="S197" s="59">
        <f ca="1">AVERAGE(OFFSET($R$3,0,0,'Données projet'!$E$9+1,1))-AVERAGE(OFFSET($H$3,0,0,'Données projet'!$E$9+1,1))</f>
        <v>295.41366969872354</v>
      </c>
      <c r="T197" s="59">
        <f t="shared" ref="T197:T203" si="204">$T$3</f>
        <v>415.02188573182912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0.32519783493146887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0.32519783493146887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268.00000000000023</v>
      </c>
      <c r="AJ197" s="13">
        <f>AI197*VLOOKUP('Données projet'!$B$10,Paramètres!$A$1:$I$89,3,0)*VLOOKUP('Données projet'!$B$10,Paramètres!$A$1:$I$89,5,0)</f>
        <v>175.59360000000015</v>
      </c>
      <c r="AK197" s="13">
        <f t="shared" si="164"/>
        <v>44.340433728638573</v>
      </c>
      <c r="AL197" s="20">
        <f t="shared" si="165"/>
        <v>383.05177541071242</v>
      </c>
      <c r="AM197" s="59">
        <f t="shared" si="193"/>
        <v>676.38510874404574</v>
      </c>
      <c r="AN197" s="59">
        <f ca="1">AVERAGE(OFFSET($AM$3,0,0,'Données projet'!$E$10+1,1))-AVERAGE(OFFSET($H$3,0,0,'Données projet'!$E$10+1,1))</f>
        <v>173.80737004674131</v>
      </c>
      <c r="AO197" s="59">
        <f t="shared" ref="AO197:AO203" si="205">$AO$3</f>
        <v>206.06552061664968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6.1629967414542346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6.1629967414542346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243</v>
      </c>
      <c r="BE197" s="13">
        <f>BD197*VLOOKUP('Données projet'!$B$11,Paramètres!$A$1:$I$89,3,0)*VLOOKUP('Données projet'!$B$11,Paramètres!$A$1:$I$89,5,0)</f>
        <v>155.4228</v>
      </c>
      <c r="BF197" s="13">
        <f t="shared" si="167"/>
        <v>39.808377687614154</v>
      </c>
      <c r="BG197" s="20">
        <f t="shared" si="168"/>
        <v>340.02763447259463</v>
      </c>
      <c r="BH197" s="59">
        <f t="shared" si="194"/>
        <v>633.36096780592788</v>
      </c>
      <c r="BI197" s="59">
        <f ca="1">AVERAGE(OFFSET($BH$3,0,0,'Données projet'!$E$11+1,1))-AVERAGE(OFFSET($H$3,0,0,'Données projet'!$E$11+1,1))</f>
        <v>136.80149066064263</v>
      </c>
      <c r="BJ197" s="59">
        <f t="shared" ref="BJ197:BJ203" si="206">$BJ$3</f>
        <v>148.87330541103535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6.388200847442552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6.388200847442552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176.43599999999941</v>
      </c>
      <c r="D198" s="11">
        <f t="shared" si="202"/>
        <v>44.528341291050459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1705.6896520712623</v>
      </c>
      <c r="H198" s="66">
        <f t="shared" si="192"/>
        <v>678.17956108191174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304.99999999999994</v>
      </c>
      <c r="O198" s="13">
        <f>N198*VLOOKUP('Données projet'!$B$9,Paramètres!$A$1:$I$89,3,0)*VLOOKUP('Données projet'!$B$9,Paramètres!$A$1:$I$89,5,0)</f>
        <v>275.96399999999994</v>
      </c>
      <c r="P198" s="13">
        <f t="shared" si="203"/>
        <v>66.113366665488911</v>
      </c>
      <c r="Q198" s="20">
        <f t="shared" si="162"/>
        <v>595.7847469423931</v>
      </c>
      <c r="R198" s="59">
        <f t="shared" si="191"/>
        <v>889.11808027572647</v>
      </c>
      <c r="S198" s="59">
        <f ca="1">AVERAGE(OFFSET($R$3,0,0,'Données projet'!$E$9+1,1))-AVERAGE(OFFSET($H$3,0,0,'Données projet'!$E$9+1,1))</f>
        <v>295.41366969872354</v>
      </c>
      <c r="T198" s="59">
        <f t="shared" si="204"/>
        <v>415.02188573182912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0.31882090373955652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0.31882090373955652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268.00000000000023</v>
      </c>
      <c r="AJ198" s="13">
        <f>AI198*VLOOKUP('Données projet'!$B$10,Paramètres!$A$1:$I$89,3,0)*VLOOKUP('Données projet'!$B$10,Paramètres!$A$1:$I$89,5,0)</f>
        <v>175.59360000000015</v>
      </c>
      <c r="AK198" s="13">
        <f t="shared" si="164"/>
        <v>44.340433728638573</v>
      </c>
      <c r="AL198" s="20">
        <f t="shared" si="165"/>
        <v>383.05177541071242</v>
      </c>
      <c r="AM198" s="59">
        <f t="shared" si="193"/>
        <v>676.38510874404574</v>
      </c>
      <c r="AN198" s="59">
        <f ca="1">AVERAGE(OFFSET($AM$3,0,0,'Données projet'!$E$10+1,1))-AVERAGE(OFFSET($H$3,0,0,'Données projet'!$E$10+1,1))</f>
        <v>173.80737004674131</v>
      </c>
      <c r="AO198" s="59">
        <f t="shared" si="205"/>
        <v>206.06552061664968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6.0421441344111537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6.0421441344111537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243</v>
      </c>
      <c r="BE198" s="13">
        <f>BD198*VLOOKUP('Données projet'!$B$11,Paramètres!$A$1:$I$89,3,0)*VLOOKUP('Données projet'!$B$11,Paramètres!$A$1:$I$89,5,0)</f>
        <v>155.4228</v>
      </c>
      <c r="BF198" s="13">
        <f t="shared" si="167"/>
        <v>39.808377687614154</v>
      </c>
      <c r="BG198" s="20">
        <f t="shared" si="168"/>
        <v>340.02763447259463</v>
      </c>
      <c r="BH198" s="59">
        <f t="shared" si="194"/>
        <v>633.36096780592788</v>
      </c>
      <c r="BI198" s="59">
        <f ca="1">AVERAGE(OFFSET($BH$3,0,0,'Données projet'!$E$11+1,1))-AVERAGE(OFFSET($H$3,0,0,'Données projet'!$E$11+1,1))</f>
        <v>136.80149066064263</v>
      </c>
      <c r="BJ198" s="59">
        <f t="shared" si="206"/>
        <v>148.87330541103535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6.2629321252419814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6.2629321252419814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177.3407999999994</v>
      </c>
      <c r="D199" s="11">
        <f t="shared" si="202"/>
        <v>44.730051658602939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1714.2311356102639</v>
      </c>
      <c r="H199" s="66">
        <f t="shared" si="192"/>
        <v>680.10673330539908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304.99999999999994</v>
      </c>
      <c r="O199" s="13">
        <f>N199*VLOOKUP('Données projet'!$B$9,Paramètres!$A$1:$I$89,3,0)*VLOOKUP('Données projet'!$B$9,Paramètres!$A$1:$I$89,5,0)</f>
        <v>275.96399999999994</v>
      </c>
      <c r="P199" s="13">
        <f t="shared" si="203"/>
        <v>66.113366665488911</v>
      </c>
      <c r="Q199" s="20">
        <f t="shared" si="162"/>
        <v>595.7847469423931</v>
      </c>
      <c r="R199" s="59">
        <f t="shared" si="191"/>
        <v>889.11808027572647</v>
      </c>
      <c r="S199" s="59">
        <f ca="1">AVERAGE(OFFSET($R$3,0,0,'Données projet'!$E$9+1,1))-AVERAGE(OFFSET($H$3,0,0,'Données projet'!$E$9+1,1))</f>
        <v>295.41366969872354</v>
      </c>
      <c r="T199" s="59">
        <f t="shared" si="204"/>
        <v>415.02188573182912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0.31256902027877359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0.31256902027877359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268.00000000000023</v>
      </c>
      <c r="AJ199" s="13">
        <f>AI199*VLOOKUP('Données projet'!$B$10,Paramètres!$A$1:$I$89,3,0)*VLOOKUP('Données projet'!$B$10,Paramètres!$A$1:$I$89,5,0)</f>
        <v>175.59360000000015</v>
      </c>
      <c r="AK199" s="13">
        <f t="shared" si="164"/>
        <v>44.340433728638573</v>
      </c>
      <c r="AL199" s="20">
        <f t="shared" si="165"/>
        <v>383.05177541071242</v>
      </c>
      <c r="AM199" s="59">
        <f t="shared" si="193"/>
        <v>676.38510874404574</v>
      </c>
      <c r="AN199" s="59">
        <f ca="1">AVERAGE(OFFSET($AM$3,0,0,'Données projet'!$E$10+1,1))-AVERAGE(OFFSET($H$3,0,0,'Données projet'!$E$10+1,1))</f>
        <v>173.80737004674131</v>
      </c>
      <c r="AO199" s="59">
        <f t="shared" si="205"/>
        <v>206.06552061664968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5.9236613732793755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5.9236613732793755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243</v>
      </c>
      <c r="BE199" s="13">
        <f>BD199*VLOOKUP('Données projet'!$B$11,Paramètres!$A$1:$I$89,3,0)*VLOOKUP('Données projet'!$B$11,Paramètres!$A$1:$I$89,5,0)</f>
        <v>155.4228</v>
      </c>
      <c r="BF199" s="13">
        <f t="shared" si="167"/>
        <v>39.808377687614154</v>
      </c>
      <c r="BG199" s="20">
        <f t="shared" si="168"/>
        <v>340.02763447259463</v>
      </c>
      <c r="BH199" s="59">
        <f t="shared" si="194"/>
        <v>633.36096780592788</v>
      </c>
      <c r="BI199" s="59">
        <f ca="1">AVERAGE(OFFSET($BH$3,0,0,'Données projet'!$E$11+1,1))-AVERAGE(OFFSET($H$3,0,0,'Données projet'!$E$11+1,1))</f>
        <v>136.80149066064263</v>
      </c>
      <c r="BJ199" s="59">
        <f t="shared" si="206"/>
        <v>148.87330541103535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6.140119846277388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6.140119846277388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178.2455999999994</v>
      </c>
      <c r="D200" s="11">
        <f t="shared" si="202"/>
        <v>44.931642269910306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1722.7716947150923</v>
      </c>
      <c r="H200" s="66">
        <f t="shared" si="192"/>
        <v>682.03369695342599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304.99999999999994</v>
      </c>
      <c r="O200" s="13">
        <f>N200*VLOOKUP('Données projet'!$B$9,Paramètres!$A$1:$I$89,3,0)*VLOOKUP('Données projet'!$B$9,Paramètres!$A$1:$I$89,5,0)</f>
        <v>275.96399999999994</v>
      </c>
      <c r="P200" s="13">
        <f t="shared" si="203"/>
        <v>66.113366665488911</v>
      </c>
      <c r="Q200" s="20">
        <f t="shared" si="162"/>
        <v>595.7847469423931</v>
      </c>
      <c r="R200" s="59">
        <f t="shared" si="191"/>
        <v>889.11808027572647</v>
      </c>
      <c r="S200" s="59">
        <f ca="1">AVERAGE(OFFSET($R$3,0,0,'Données projet'!$E$9+1,1))-AVERAGE(OFFSET($H$3,0,0,'Données projet'!$E$9+1,1))</f>
        <v>295.41366969872354</v>
      </c>
      <c r="T200" s="59">
        <f t="shared" si="204"/>
        <v>415.02188573182912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0.30643973243938427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0.30643973243938427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268.00000000000023</v>
      </c>
      <c r="AJ200" s="13">
        <f>AI200*VLOOKUP('Données projet'!$B$10,Paramètres!$A$1:$I$89,3,0)*VLOOKUP('Données projet'!$B$10,Paramètres!$A$1:$I$89,5,0)</f>
        <v>175.59360000000015</v>
      </c>
      <c r="AK200" s="13">
        <f t="shared" si="164"/>
        <v>44.340433728638573</v>
      </c>
      <c r="AL200" s="20">
        <f t="shared" si="165"/>
        <v>383.05177541071242</v>
      </c>
      <c r="AM200" s="59">
        <f t="shared" si="193"/>
        <v>676.38510874404574</v>
      </c>
      <c r="AN200" s="59">
        <f ca="1">AVERAGE(OFFSET($AM$3,0,0,'Données projet'!$E$10+1,1))-AVERAGE(OFFSET($H$3,0,0,'Données projet'!$E$10+1,1))</f>
        <v>173.80737004674131</v>
      </c>
      <c r="AO200" s="59">
        <f t="shared" si="205"/>
        <v>206.06552061664968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5.8075019868260433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5.8075019868260433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243</v>
      </c>
      <c r="BE200" s="13">
        <f>BD200*VLOOKUP('Données projet'!$B$11,Paramètres!$A$1:$I$89,3,0)*VLOOKUP('Données projet'!$B$11,Paramètres!$A$1:$I$89,5,0)</f>
        <v>155.4228</v>
      </c>
      <c r="BF200" s="13">
        <f t="shared" si="167"/>
        <v>39.808377687614154</v>
      </c>
      <c r="BG200" s="20">
        <f t="shared" si="168"/>
        <v>340.02763447259463</v>
      </c>
      <c r="BH200" s="59">
        <f t="shared" si="194"/>
        <v>633.36096780592788</v>
      </c>
      <c r="BI200" s="59">
        <f ca="1">AVERAGE(OFFSET($BH$3,0,0,'Données projet'!$E$11+1,1))-AVERAGE(OFFSET($H$3,0,0,'Données projet'!$E$11+1,1))</f>
        <v>136.80149066064263</v>
      </c>
      <c r="BJ200" s="59">
        <f t="shared" si="206"/>
        <v>148.87330541103535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6.0197158411951968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6.0197158411951968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179.15039999999939</v>
      </c>
      <c r="D201" s="11">
        <f t="shared" si="202"/>
        <v>45.133113803437183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1731.3113346230191</v>
      </c>
      <c r="H201" s="66">
        <f t="shared" si="192"/>
        <v>683.96045320765199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304.99999999999994</v>
      </c>
      <c r="O201" s="13">
        <f>N201*VLOOKUP('Données projet'!$B$9,Paramètres!$A$1:$I$89,3,0)*VLOOKUP('Données projet'!$B$9,Paramètres!$A$1:$I$89,5,0)</f>
        <v>275.96399999999994</v>
      </c>
      <c r="P201" s="13">
        <f t="shared" si="203"/>
        <v>66.113366665488911</v>
      </c>
      <c r="Q201" s="20">
        <f t="shared" si="162"/>
        <v>595.7847469423931</v>
      </c>
      <c r="R201" s="59">
        <f t="shared" si="191"/>
        <v>889.11808027572647</v>
      </c>
      <c r="S201" s="59">
        <f ca="1">AVERAGE(OFFSET($R$3,0,0,'Données projet'!$E$9+1,1))-AVERAGE(OFFSET($H$3,0,0,'Données projet'!$E$9+1,1))</f>
        <v>295.41366969872354</v>
      </c>
      <c r="T201" s="59">
        <f t="shared" si="204"/>
        <v>415.02188573182912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0.30043063619602894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0.30043063619602894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268.00000000000023</v>
      </c>
      <c r="AJ201" s="13">
        <f>AI201*VLOOKUP('Données projet'!$B$10,Paramètres!$A$1:$I$89,3,0)*VLOOKUP('Données projet'!$B$10,Paramètres!$A$1:$I$89,5,0)</f>
        <v>175.59360000000015</v>
      </c>
      <c r="AK201" s="13">
        <f t="shared" si="164"/>
        <v>44.340433728638573</v>
      </c>
      <c r="AL201" s="20">
        <f t="shared" si="165"/>
        <v>383.05177541071242</v>
      </c>
      <c r="AM201" s="59">
        <f t="shared" si="193"/>
        <v>676.38510874404574</v>
      </c>
      <c r="AN201" s="59">
        <f ca="1">AVERAGE(OFFSET($AM$3,0,0,'Données projet'!$E$10+1,1))-AVERAGE(OFFSET($H$3,0,0,'Données projet'!$E$10+1,1))</f>
        <v>173.80737004674131</v>
      </c>
      <c r="AO201" s="59">
        <f t="shared" si="205"/>
        <v>206.06552061664968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5.6936204150908312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5.6936204150908312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243</v>
      </c>
      <c r="BE201" s="13">
        <f>BD201*VLOOKUP('Données projet'!$B$11,Paramètres!$A$1:$I$89,3,0)*VLOOKUP('Données projet'!$B$11,Paramètres!$A$1:$I$89,5,0)</f>
        <v>155.4228</v>
      </c>
      <c r="BF201" s="13">
        <f t="shared" si="167"/>
        <v>39.808377687614154</v>
      </c>
      <c r="BG201" s="20">
        <f t="shared" si="168"/>
        <v>340.02763447259463</v>
      </c>
      <c r="BH201" s="59">
        <f t="shared" si="194"/>
        <v>633.36096780592788</v>
      </c>
      <c r="BI201" s="59">
        <f ca="1">AVERAGE(OFFSET($BH$3,0,0,'Données projet'!$E$11+1,1))-AVERAGE(OFFSET($H$3,0,0,'Données projet'!$E$11+1,1))</f>
        <v>136.80149066064263</v>
      </c>
      <c r="BJ201" s="59">
        <f t="shared" si="206"/>
        <v>148.87330541103535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5.9016728852134754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5.9016728852134754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180.05519999999939</v>
      </c>
      <c r="D202" s="11">
        <f t="shared" si="202"/>
        <v>45.334466930398278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1739.8500605153504</v>
      </c>
      <c r="H202" s="66">
        <f t="shared" si="192"/>
        <v>685.88700323710918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304.99999999999994</v>
      </c>
      <c r="O202" s="13">
        <f>N202*VLOOKUP('Données projet'!$B$9,Paramètres!$A$1:$I$89,3,0)*VLOOKUP('Données projet'!$B$9,Paramètres!$A$1:$I$89,5,0)</f>
        <v>275.96399999999994</v>
      </c>
      <c r="P202" s="13">
        <f t="shared" si="203"/>
        <v>66.113366665488911</v>
      </c>
      <c r="Q202" s="20">
        <f t="shared" si="162"/>
        <v>595.7847469423931</v>
      </c>
      <c r="R202" s="59">
        <f t="shared" si="191"/>
        <v>889.11808027572647</v>
      </c>
      <c r="S202" s="59">
        <f ca="1">AVERAGE(OFFSET($R$3,0,0,'Données projet'!$E$9+1,1))-AVERAGE(OFFSET($H$3,0,0,'Données projet'!$E$9+1,1))</f>
        <v>295.41366969872354</v>
      </c>
      <c r="T202" s="59">
        <f t="shared" si="204"/>
        <v>415.02188573182912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0.294539374664819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0.294539374664819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268.00000000000023</v>
      </c>
      <c r="AJ202" s="13">
        <f>AI202*VLOOKUP('Données projet'!$B$10,Paramètres!$A$1:$I$89,3,0)*VLOOKUP('Données projet'!$B$10,Paramètres!$A$1:$I$89,5,0)</f>
        <v>175.59360000000015</v>
      </c>
      <c r="AK202" s="13">
        <f t="shared" si="164"/>
        <v>44.340433728638573</v>
      </c>
      <c r="AL202" s="20">
        <f t="shared" si="165"/>
        <v>383.05177541071242</v>
      </c>
      <c r="AM202" s="59">
        <f t="shared" si="193"/>
        <v>676.38510874404574</v>
      </c>
      <c r="AN202" s="59">
        <f ca="1">AVERAGE(OFFSET($AM$3,0,0,'Données projet'!$E$10+1,1))-AVERAGE(OFFSET($H$3,0,0,'Données projet'!$E$10+1,1))</f>
        <v>173.80737004674131</v>
      </c>
      <c r="AO202" s="59">
        <f t="shared" si="205"/>
        <v>206.06552061664968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5.5819719915164461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5.5819719915164461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243</v>
      </c>
      <c r="BE202" s="13">
        <f>BD202*VLOOKUP('Données projet'!$B$11,Paramètres!$A$1:$I$89,3,0)*VLOOKUP('Données projet'!$B$11,Paramètres!$A$1:$I$89,5,0)</f>
        <v>155.4228</v>
      </c>
      <c r="BF202" s="13">
        <f t="shared" si="167"/>
        <v>39.808377687614154</v>
      </c>
      <c r="BG202" s="20">
        <f t="shared" si="168"/>
        <v>340.02763447259463</v>
      </c>
      <c r="BH202" s="59">
        <f t="shared" si="194"/>
        <v>633.36096780592788</v>
      </c>
      <c r="BI202" s="59">
        <f ca="1">AVERAGE(OFFSET($BH$3,0,0,'Données projet'!$E$11+1,1))-AVERAGE(OFFSET($H$3,0,0,'Données projet'!$E$11+1,1))</f>
        <v>136.80149066064263</v>
      </c>
      <c r="BJ202" s="59">
        <f t="shared" si="206"/>
        <v>148.87330541103535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5.7859446795994618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5.7859446795994618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180.95999999999938</v>
      </c>
      <c r="D203" s="11">
        <f t="shared" si="202"/>
        <v>45.535702314871642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1748.387877518303</v>
      </c>
      <c r="H203" s="66">
        <f t="shared" si="192"/>
        <v>687.81334819840026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304.99999999999994</v>
      </c>
      <c r="O203" s="13">
        <f>N203*VLOOKUP('Données projet'!$B$9,Paramètres!$A$1:$I$89,3,0)*VLOOKUP('Données projet'!$B$9,Paramètres!$A$1:$I$89,5,0)</f>
        <v>275.96399999999994</v>
      </c>
      <c r="P203" s="13">
        <f t="shared" si="203"/>
        <v>66.113366665488911</v>
      </c>
      <c r="Q203" s="20">
        <f t="shared" si="162"/>
        <v>595.7847469423931</v>
      </c>
      <c r="R203" s="59">
        <f t="shared" si="191"/>
        <v>889.11808027572647</v>
      </c>
      <c r="S203" s="59">
        <f ca="1">AVERAGE(OFFSET($R$3,0,0,'Données projet'!$E$9+1,1))-AVERAGE(OFFSET($H$3,0,0,'Données projet'!$E$9+1,1))</f>
        <v>295.41366969872354</v>
      </c>
      <c r="T203" s="59">
        <f t="shared" si="204"/>
        <v>415.02188573182912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0.28876363717892134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0.28876363717892134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268.00000000000023</v>
      </c>
      <c r="AJ203" s="13">
        <f>AI203*VLOOKUP('Données projet'!$B$10,Paramètres!$A$1:$I$89,3,0)*VLOOKUP('Données projet'!$B$10,Paramètres!$A$1:$I$89,5,0)</f>
        <v>175.59360000000015</v>
      </c>
      <c r="AK203" s="13">
        <f t="shared" si="164"/>
        <v>44.340433728638573</v>
      </c>
      <c r="AL203" s="20">
        <f t="shared" si="165"/>
        <v>383.05177541071242</v>
      </c>
      <c r="AM203" s="59">
        <f t="shared" si="193"/>
        <v>676.38510874404574</v>
      </c>
      <c r="AN203" s="59">
        <f ca="1">AVERAGE(OFFSET($AM$3,0,0,'Données projet'!$E$10+1,1))-AVERAGE(OFFSET($H$3,0,0,'Données projet'!$E$10+1,1))</f>
        <v>173.80737004674131</v>
      </c>
      <c r="AO203" s="59">
        <f t="shared" si="205"/>
        <v>206.06552061664968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5.4725129254295402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5.4725129254295402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243</v>
      </c>
      <c r="BE203" s="13">
        <f>BD203*VLOOKUP('Données projet'!$B$11,Paramètres!$A$1:$I$89,3,0)*VLOOKUP('Données projet'!$B$11,Paramètres!$A$1:$I$89,5,0)</f>
        <v>155.4228</v>
      </c>
      <c r="BF203" s="13">
        <f t="shared" si="167"/>
        <v>39.808377687614154</v>
      </c>
      <c r="BG203" s="20">
        <f t="shared" si="168"/>
        <v>340.02763447259463</v>
      </c>
      <c r="BH203" s="59">
        <f t="shared" si="194"/>
        <v>633.36096780592788</v>
      </c>
      <c r="BI203" s="59">
        <f ca="1">AVERAGE(OFFSET($BH$3,0,0,'Données projet'!$E$11+1,1))-AVERAGE(OFFSET($H$3,0,0,'Données projet'!$E$11+1,1))</f>
        <v>136.80149066064263</v>
      </c>
      <c r="BJ203" s="59">
        <f t="shared" si="206"/>
        <v>148.87330541103535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5.6724858335103034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5.6724858335103034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2.0243974584998852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1.3020054543174677</v>
      </c>
      <c r="BA205" s="81">
        <f>EXP(LN('Données projet'!B88)/'Données projet'!A88)</f>
        <v>1.4003603312913959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Robinier faux-acacia</v>
      </c>
      <c r="B6" s="144">
        <f>'Données projet'!D9</f>
        <v>4.9013580000000001</v>
      </c>
      <c r="C6" s="145">
        <f ca="1">IF(OR('Données projet'!B9="",'Données projet'!C9="",'Données projet'!C9=0%),0,Calculateur!S3)</f>
        <v>295.41366969872354</v>
      </c>
      <c r="D6" s="145">
        <f>IF(OR('Données projet'!B9="",'Données projet'!C9="",'Données projet'!C9=0%),0,Calculateur!T3)</f>
        <v>415.02188573182912</v>
      </c>
      <c r="E6" s="145">
        <f ca="1">MIN(C6,D6)</f>
        <v>295.41366969872354</v>
      </c>
      <c r="F6" s="145">
        <f ca="1">E6*B6</f>
        <v>1447.9281532871962</v>
      </c>
      <c r="G6" s="145">
        <f ca="1">F6*(100%-'Données projet'!$C$24)*(100%-'Données projet'!$C$25)*(100%-'Données projet'!$C$26)*(100%-'Données projet'!$C$27)</f>
        <v>1303.1353379584766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122.53395</v>
      </c>
      <c r="K6" s="149">
        <f>J6*(100%-'Données projet'!$C$24)*(100%-'Données projet'!$C$25)*(100%-'Données projet'!$C$26)*(100%-'Données projet'!$C$27)</f>
        <v>110.28055500000001</v>
      </c>
      <c r="L6" s="150">
        <f ca="1">G6+I6+K6</f>
        <v>1413.4158929584767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Aulne glutineux</v>
      </c>
      <c r="B7" s="152">
        <f>'Données projet'!D10</f>
        <v>0.1496605</v>
      </c>
      <c r="C7" s="145">
        <f ca="1">IF(OR('Données projet'!B10="",'Données projet'!C10="",'Données projet'!C10=0%),0,Calculateur!AN3)</f>
        <v>173.80737004674131</v>
      </c>
      <c r="D7" s="145">
        <f>IF(OR('Données projet'!B10="",'Données projet'!C10="",'Données projet'!C10=0%),0,Calculateur!AO3)</f>
        <v>206.06552061664968</v>
      </c>
      <c r="E7" s="145">
        <f t="shared" ref="E7:E15" ca="1" si="0">MIN(C7,D7)</f>
        <v>173.80737004674131</v>
      </c>
      <c r="F7" s="145">
        <f t="shared" ref="F7:F15" ca="1" si="1">E7*B7</f>
        <v>26.012097904880328</v>
      </c>
      <c r="G7" s="145">
        <f ca="1">F7*(100%-'Données projet'!$C$24)*(100%-'Données projet'!$C$25)*(100%-'Données projet'!$C$26)*(100%-'Données projet'!$C$27)</f>
        <v>23.410888114392296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2.5442285</v>
      </c>
      <c r="K7" s="149">
        <f>J7*(100%-'Données projet'!$C$24)*(100%-'Données projet'!$C$25)*(100%-'Données projet'!$C$26)*(100%-'Données projet'!$C$27)</f>
        <v>2.2898056499999999</v>
      </c>
      <c r="L7" s="150">
        <f t="shared" ref="L7:L15" ca="1" si="2">G7+I7+K7</f>
        <v>25.700693764392298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>Tulipier de Virginie</v>
      </c>
      <c r="B8" s="152">
        <f>'Données projet'!D11</f>
        <v>0.44898149999999998</v>
      </c>
      <c r="C8" s="145">
        <f ca="1">IF(OR('Données projet'!B11="",'Données projet'!C11="",'Données projet'!C11=0%),0,Calculateur!BI3)</f>
        <v>136.80149066064263</v>
      </c>
      <c r="D8" s="145">
        <f>IF(OR('Données projet'!B11="",'Données projet'!C11="",'Données projet'!C11=0%),0,Calculateur!BJ3)</f>
        <v>148.87330541103535</v>
      </c>
      <c r="E8" s="145">
        <f t="shared" ca="1" si="0"/>
        <v>136.80149066064263</v>
      </c>
      <c r="F8" s="145">
        <f t="shared" ca="1" si="1"/>
        <v>61.421338479051315</v>
      </c>
      <c r="G8" s="145">
        <f ca="1">F8*(100%-'Données projet'!$C$24)*(100%-'Données projet'!$C$25)*(100%-'Données projet'!$C$26)*(100%-'Données projet'!$C$27)</f>
        <v>55.279204631146186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12.010255124999999</v>
      </c>
      <c r="K8" s="149">
        <f>J8*(100%-'Données projet'!$C$24)*(100%-'Données projet'!$C$25)*(100%-'Données projet'!$C$26)*(100%-'Données projet'!$C$27)</f>
        <v>10.809229612499999</v>
      </c>
      <c r="L8" s="150">
        <f t="shared" ca="1" si="2"/>
        <v>66.088434243646191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1535.3615896711281</v>
      </c>
      <c r="G16" s="164">
        <f t="shared" ca="1" si="3"/>
        <v>1381.8254307040152</v>
      </c>
      <c r="H16" s="165">
        <f t="shared" si="3"/>
        <v>0</v>
      </c>
      <c r="I16" s="165">
        <f t="shared" si="3"/>
        <v>0</v>
      </c>
      <c r="J16" s="166">
        <f t="shared" si="3"/>
        <v>137.08843362499999</v>
      </c>
      <c r="K16" s="166">
        <f t="shared" si="3"/>
        <v>123.37959026250002</v>
      </c>
      <c r="L16" s="167">
        <f t="shared" ca="1" si="3"/>
        <v>1505.2050209665151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Robinier faux-acacia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Aulne glutineux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>Tulipier de Virginie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G92" sqref="G92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Robinier faux-acacia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-441.57418945825378</v>
      </c>
      <c r="U10" s="176">
        <f>'Données projet'!D9</f>
        <v>4.9013580000000001</v>
      </c>
      <c r="V10" s="175">
        <f>U10*T10</f>
        <v>-2164.3131860947278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Aulne glutineux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35.773999710937026</v>
      </c>
      <c r="U11" s="176">
        <f>'Données projet'!D10</f>
        <v>0.1496605</v>
      </c>
      <c r="V11" s="175">
        <f t="shared" ref="V11" si="0">U11*T11</f>
        <v>5.3539546837386913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Tulipier de Virginie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-840.76550110725543</v>
      </c>
      <c r="U12" s="176">
        <f>'Données projet'!D11</f>
        <v>0.44898149999999998</v>
      </c>
      <c r="V12" s="175">
        <f t="shared" ref="V12:V19" si="1">U12*T12</f>
        <v>-377.4881558353872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Robinier faux-acacia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>
        <v>10</v>
      </c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>
        <v>1662.7</v>
      </c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10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>
        <v>2</v>
      </c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20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>
        <v>2830.91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576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>
        <v>576</v>
      </c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5</v>
      </c>
      <c r="B23" s="179">
        <f>'Données projet'!D36</f>
        <v>6</v>
      </c>
      <c r="C23" s="191">
        <v>20</v>
      </c>
      <c r="D23" s="180">
        <f>B23*C23</f>
        <v>120</v>
      </c>
      <c r="E23" s="191"/>
      <c r="F23" s="228"/>
      <c r="H23" s="188">
        <v>3</v>
      </c>
      <c r="I23" s="189">
        <v>600</v>
      </c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-26930.842613516019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10</v>
      </c>
      <c r="B24" s="179">
        <f>'Données projet'!D37</f>
        <v>28</v>
      </c>
      <c r="C24" s="191">
        <v>20</v>
      </c>
      <c r="D24" s="180">
        <f t="shared" ref="D24:D42" si="2">B24*C24</f>
        <v>560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70.832045023304758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15</v>
      </c>
      <c r="B25" s="179">
        <f>'Données projet'!D38</f>
        <v>23</v>
      </c>
      <c r="C25" s="191">
        <v>20</v>
      </c>
      <c r="D25" s="180">
        <f t="shared" si="2"/>
        <v>460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2">
        <f ca="1">T23-T24</f>
        <v>-27001.674658539323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20</v>
      </c>
      <c r="B26" s="179">
        <f>'Données projet'!D39</f>
        <v>18</v>
      </c>
      <c r="C26" s="191">
        <v>20</v>
      </c>
      <c r="D26" s="180">
        <f t="shared" si="2"/>
        <v>360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est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25</v>
      </c>
      <c r="B27" s="179">
        <f>'Données projet'!D40</f>
        <v>14</v>
      </c>
      <c r="C27" s="191">
        <v>20</v>
      </c>
      <c r="D27" s="180">
        <f t="shared" si="2"/>
        <v>280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30</v>
      </c>
      <c r="B28" s="179">
        <f>'Données projet'!D41</f>
        <v>11</v>
      </c>
      <c r="C28" s="191">
        <v>20</v>
      </c>
      <c r="D28" s="180">
        <f t="shared" si="2"/>
        <v>220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35</v>
      </c>
      <c r="B29" s="179">
        <f>'Données projet'!D42</f>
        <v>9</v>
      </c>
      <c r="C29" s="191">
        <v>55</v>
      </c>
      <c r="D29" s="180">
        <f t="shared" si="2"/>
        <v>495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40</v>
      </c>
      <c r="B30" s="179">
        <f>'Données projet'!D43</f>
        <v>7</v>
      </c>
      <c r="C30" s="191">
        <v>55</v>
      </c>
      <c r="D30" s="180">
        <f t="shared" si="2"/>
        <v>385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45</v>
      </c>
      <c r="B31" s="179">
        <f>'Données projet'!D44</f>
        <v>7</v>
      </c>
      <c r="C31" s="191">
        <v>55</v>
      </c>
      <c r="D31" s="180">
        <f t="shared" si="2"/>
        <v>385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0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0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0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0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Aulne glutineux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>
        <v>1789.59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10</v>
      </c>
      <c r="B54" s="179">
        <f>'Données projet'!D62</f>
        <v>1</v>
      </c>
      <c r="C54" s="189">
        <v>20</v>
      </c>
      <c r="D54" s="177">
        <f>B54*C54</f>
        <v>20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15</v>
      </c>
      <c r="B55" s="179">
        <f>'Données projet'!D63</f>
        <v>5</v>
      </c>
      <c r="C55" s="189">
        <v>20</v>
      </c>
      <c r="D55" s="177">
        <f t="shared" ref="D55:D73" si="4">B55*C55</f>
        <v>100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20</v>
      </c>
      <c r="B56" s="179">
        <f>'Données projet'!D64</f>
        <v>12</v>
      </c>
      <c r="C56" s="189">
        <v>20</v>
      </c>
      <c r="D56" s="177">
        <f t="shared" si="4"/>
        <v>240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25</v>
      </c>
      <c r="B57" s="179">
        <f>'Données projet'!D65</f>
        <v>24</v>
      </c>
      <c r="C57" s="189">
        <v>20</v>
      </c>
      <c r="D57" s="177">
        <f t="shared" si="4"/>
        <v>480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30</v>
      </c>
      <c r="B58" s="179">
        <f>'Données projet'!D66</f>
        <v>26</v>
      </c>
      <c r="C58" s="189">
        <v>20</v>
      </c>
      <c r="D58" s="177">
        <f t="shared" si="4"/>
        <v>520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35</v>
      </c>
      <c r="B59" s="179">
        <f>'Données projet'!D67</f>
        <v>28</v>
      </c>
      <c r="C59" s="189">
        <v>55</v>
      </c>
      <c r="D59" s="177">
        <f t="shared" si="4"/>
        <v>1540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40</v>
      </c>
      <c r="B60" s="179">
        <f>'Données projet'!D68</f>
        <v>28</v>
      </c>
      <c r="C60" s="189">
        <v>55</v>
      </c>
      <c r="D60" s="177">
        <f t="shared" si="4"/>
        <v>1540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45</v>
      </c>
      <c r="B61" s="179">
        <f>'Données projet'!D69</f>
        <v>28</v>
      </c>
      <c r="C61" s="189">
        <v>55</v>
      </c>
      <c r="D61" s="177">
        <f t="shared" si="4"/>
        <v>1540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50</v>
      </c>
      <c r="B62" s="179">
        <f>'Données projet'!D70</f>
        <v>27</v>
      </c>
      <c r="C62" s="189">
        <v>55</v>
      </c>
      <c r="D62" s="177">
        <f t="shared" si="4"/>
        <v>1485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55</v>
      </c>
      <c r="B63" s="179">
        <f>'Données projet'!D71</f>
        <v>25</v>
      </c>
      <c r="C63" s="189">
        <v>55</v>
      </c>
      <c r="D63" s="177">
        <f t="shared" si="4"/>
        <v>1375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60</v>
      </c>
      <c r="B64" s="179">
        <f>'Données projet'!D72</f>
        <v>24</v>
      </c>
      <c r="C64" s="189">
        <v>55</v>
      </c>
      <c r="D64" s="177">
        <f t="shared" si="4"/>
        <v>1320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65</v>
      </c>
      <c r="B65" s="179">
        <f>'Données projet'!D73</f>
        <v>22</v>
      </c>
      <c r="C65" s="189">
        <v>55</v>
      </c>
      <c r="D65" s="177">
        <f t="shared" si="4"/>
        <v>1210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70</v>
      </c>
      <c r="B66" s="179">
        <f>'Données projet'!D74</f>
        <v>21</v>
      </c>
      <c r="C66" s="189">
        <v>55</v>
      </c>
      <c r="D66" s="177">
        <f t="shared" si="4"/>
        <v>1155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75</v>
      </c>
      <c r="B67" s="179">
        <f>'Données projet'!D75</f>
        <v>19</v>
      </c>
      <c r="C67" s="189">
        <v>55</v>
      </c>
      <c r="D67" s="177">
        <f t="shared" si="4"/>
        <v>1045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80</v>
      </c>
      <c r="B68" s="179">
        <f>'Données projet'!D76</f>
        <v>18</v>
      </c>
      <c r="C68" s="189">
        <v>55</v>
      </c>
      <c r="D68" s="177">
        <f t="shared" si="4"/>
        <v>990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85</v>
      </c>
      <c r="B69" s="179">
        <f>'Données projet'!D77</f>
        <v>16</v>
      </c>
      <c r="C69" s="189">
        <v>55</v>
      </c>
      <c r="D69" s="177">
        <f t="shared" si="4"/>
        <v>880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90</v>
      </c>
      <c r="B70" s="179">
        <f>'Données projet'!D78</f>
        <v>15</v>
      </c>
      <c r="C70" s="189">
        <v>55</v>
      </c>
      <c r="D70" s="177">
        <f t="shared" si="4"/>
        <v>825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>Tulipier de Virginie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>
        <v>2931.58</v>
      </c>
      <c r="F79" s="229"/>
      <c r="G79" s="204"/>
      <c r="H79" s="188"/>
      <c r="I79" s="189"/>
      <c r="J79" s="4"/>
      <c r="K79" s="171"/>
      <c r="L79" s="4"/>
      <c r="M79" s="4"/>
      <c r="N79" s="4"/>
      <c r="O79" s="192" t="str">
        <f>IF(O78+1&lt;=MIN('Données projet'!$E$9:$E$18),O78+1,"STOP")</f>
        <v>STOP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10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15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20</v>
      </c>
      <c r="B87" s="179">
        <f>'Données projet'!D90</f>
        <v>54</v>
      </c>
      <c r="C87" s="189">
        <v>20</v>
      </c>
      <c r="D87" s="177">
        <f t="shared" si="6"/>
        <v>1080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25</v>
      </c>
      <c r="B88" s="179">
        <f>'Données projet'!D91</f>
        <v>26</v>
      </c>
      <c r="C88" s="189">
        <v>20</v>
      </c>
      <c r="D88" s="177">
        <f t="shared" si="6"/>
        <v>520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30</v>
      </c>
      <c r="B89" s="179">
        <f>'Données projet'!D92</f>
        <v>27</v>
      </c>
      <c r="C89" s="189">
        <v>20</v>
      </c>
      <c r="D89" s="177">
        <f t="shared" si="6"/>
        <v>540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35</v>
      </c>
      <c r="B90" s="179">
        <f>'Données projet'!D93</f>
        <v>27</v>
      </c>
      <c r="C90" s="189">
        <v>55</v>
      </c>
      <c r="D90" s="177">
        <f t="shared" si="6"/>
        <v>1485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40</v>
      </c>
      <c r="B91" s="179">
        <f>'Données projet'!D94</f>
        <v>27</v>
      </c>
      <c r="C91" s="189">
        <v>55</v>
      </c>
      <c r="D91" s="177">
        <f t="shared" si="6"/>
        <v>1485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45</v>
      </c>
      <c r="B92" s="179">
        <f>'Données projet'!D95</f>
        <v>26</v>
      </c>
      <c r="C92" s="189">
        <v>55</v>
      </c>
      <c r="D92" s="177">
        <f t="shared" si="6"/>
        <v>1430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50</v>
      </c>
      <c r="B93" s="179">
        <f>'Données projet'!D96</f>
        <v>24</v>
      </c>
      <c r="C93" s="189">
        <v>55</v>
      </c>
      <c r="D93" s="177">
        <f t="shared" si="6"/>
        <v>1320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55</v>
      </c>
      <c r="B94" s="179">
        <f>'Données projet'!D97</f>
        <v>23</v>
      </c>
      <c r="C94" s="189">
        <v>55</v>
      </c>
      <c r="D94" s="177">
        <f t="shared" si="6"/>
        <v>1265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60</v>
      </c>
      <c r="B95" s="179">
        <f>'Données projet'!D98</f>
        <v>21</v>
      </c>
      <c r="C95" s="189">
        <v>55</v>
      </c>
      <c r="D95" s="177">
        <f t="shared" si="6"/>
        <v>1155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65</v>
      </c>
      <c r="B96" s="179">
        <f>'Données projet'!D99</f>
        <v>20</v>
      </c>
      <c r="C96" s="189">
        <v>55</v>
      </c>
      <c r="D96" s="177">
        <f t="shared" si="6"/>
        <v>1100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70</v>
      </c>
      <c r="B97" s="179">
        <f>'Données projet'!D100</f>
        <v>18</v>
      </c>
      <c r="C97" s="189">
        <v>55</v>
      </c>
      <c r="D97" s="177">
        <f t="shared" si="6"/>
        <v>990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75</v>
      </c>
      <c r="B98" s="179">
        <f>'Données projet'!D101</f>
        <v>16</v>
      </c>
      <c r="C98" s="189">
        <v>55</v>
      </c>
      <c r="D98" s="177">
        <f t="shared" si="6"/>
        <v>880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80</v>
      </c>
      <c r="B99" s="179">
        <f>'Données projet'!D102</f>
        <v>15</v>
      </c>
      <c r="C99" s="189">
        <v>55</v>
      </c>
      <c r="D99" s="177">
        <f t="shared" si="6"/>
        <v>825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85</v>
      </c>
      <c r="B100" s="179">
        <f>'Données projet'!D103</f>
        <v>14</v>
      </c>
      <c r="C100" s="189">
        <v>55</v>
      </c>
      <c r="D100" s="177">
        <f t="shared" si="6"/>
        <v>770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90</v>
      </c>
      <c r="B101" s="179">
        <f>'Données projet'!D104</f>
        <v>12</v>
      </c>
      <c r="C101" s="189">
        <v>55</v>
      </c>
      <c r="D101" s="177">
        <f t="shared" si="6"/>
        <v>660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95</v>
      </c>
      <c r="B102" s="179">
        <f>'Données projet'!D105</f>
        <v>12</v>
      </c>
      <c r="C102" s="189">
        <v>55</v>
      </c>
      <c r="D102" s="177">
        <f t="shared" si="6"/>
        <v>660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100</v>
      </c>
      <c r="B103" s="179">
        <f>'Données projet'!D106</f>
        <v>12</v>
      </c>
      <c r="C103" s="189">
        <v>55</v>
      </c>
      <c r="D103" s="177">
        <f t="shared" si="6"/>
        <v>660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2025-02-11T09:20:44Z</dcterms:modified>
</cp:coreProperties>
</file>