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wnloads\Reboisement Naudet_Saint-Aubin-d'Aubigné (35)\Dossier d_instruction\"/>
    </mc:Choice>
  </mc:AlternateContent>
  <xr:revisionPtr revIDLastSave="0" documentId="13_ncr:1_{DBCCEF91-B4E2-4782-A2ED-25453A45F7B2}" xr6:coauthVersionLast="47" xr6:coauthVersionMax="47" xr10:uidLastSave="{00000000-0000-0000-0000-000000000000}"/>
  <bookViews>
    <workbookView xWindow="-108" yWindow="-108" windowWidth="23256" windowHeight="12576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AN100" i="2" l="1"/>
  <c r="AN62" i="2"/>
  <c r="AN93" i="2"/>
  <c r="AN193" i="2"/>
  <c r="AN137" i="2"/>
  <c r="AN202" i="2"/>
  <c r="AN124" i="2"/>
  <c r="AN47" i="2"/>
  <c r="AN171" i="2"/>
  <c r="AN112" i="2"/>
  <c r="AN28" i="2"/>
  <c r="AN87" i="2"/>
  <c r="AN151" i="2"/>
  <c r="AN36" i="2"/>
  <c r="AN197" i="2"/>
  <c r="AN10" i="2"/>
  <c r="AN153" i="2"/>
  <c r="AN187" i="2"/>
  <c r="AN34" i="2"/>
  <c r="AN122" i="2"/>
  <c r="AN152" i="2"/>
  <c r="AN158" i="2"/>
  <c r="AN123" i="2"/>
  <c r="AN22" i="2"/>
  <c r="AN76" i="2"/>
  <c r="AN192" i="2"/>
  <c r="AN111" i="2"/>
  <c r="AN110" i="2"/>
  <c r="AN105" i="2"/>
  <c r="AN136" i="2"/>
  <c r="AN130" i="2"/>
  <c r="AN140" i="2"/>
  <c r="AN169" i="2"/>
  <c r="AN120" i="2"/>
  <c r="AN97" i="2"/>
  <c r="AN154" i="2"/>
  <c r="AN109" i="2"/>
  <c r="AN56" i="2"/>
  <c r="AN200" i="2"/>
  <c r="AN80" i="2"/>
  <c r="AN174" i="2"/>
  <c r="AN101" i="2"/>
  <c r="AN14" i="2"/>
  <c r="AN186" i="2"/>
  <c r="AN35" i="2"/>
  <c r="AN21" i="2"/>
  <c r="AN15" i="2"/>
  <c r="AN12" i="2"/>
  <c r="AN173" i="2"/>
  <c r="AN103" i="2"/>
  <c r="AN55" i="2"/>
  <c r="AN180" i="2"/>
  <c r="AN125" i="2"/>
  <c r="AN185" i="2"/>
  <c r="AN18" i="2"/>
  <c r="AN195" i="2"/>
  <c r="AN182" i="2"/>
  <c r="AN19" i="2"/>
  <c r="AN118" i="2"/>
  <c r="AN166" i="2"/>
  <c r="AN43" i="2"/>
  <c r="AN199" i="2"/>
  <c r="AN157" i="2"/>
  <c r="AN102" i="2"/>
  <c r="AN48" i="2"/>
  <c r="AN16" i="2"/>
  <c r="AN60" i="2"/>
  <c r="AN139" i="2"/>
  <c r="AN156" i="2"/>
  <c r="AN8" i="2"/>
  <c r="AN68" i="2"/>
  <c r="AN72" i="2"/>
  <c r="AN53" i="2"/>
  <c r="AN84" i="2"/>
  <c r="AN203" i="2"/>
  <c r="AN167" i="2"/>
  <c r="AN138" i="2"/>
  <c r="AN176" i="2"/>
  <c r="AN70" i="2"/>
  <c r="AN99" i="2"/>
  <c r="AN46" i="2"/>
  <c r="AN85" i="2"/>
  <c r="AN117" i="2"/>
  <c r="AN201" i="2"/>
  <c r="AN146" i="2"/>
  <c r="AN83" i="2"/>
  <c r="AN194" i="2"/>
  <c r="AN73" i="2"/>
  <c r="AN144" i="2"/>
  <c r="AN116" i="2"/>
  <c r="AN149" i="2"/>
  <c r="AN42" i="2"/>
  <c r="AN150" i="2"/>
  <c r="AN160" i="2"/>
  <c r="AN131" i="2"/>
  <c r="AN189" i="2"/>
  <c r="AN164" i="2"/>
  <c r="AN145" i="2"/>
  <c r="AN64" i="2"/>
  <c r="AN77" i="2"/>
  <c r="AN5" i="2"/>
  <c r="AN39" i="2"/>
  <c r="AN79" i="2"/>
  <c r="AN126" i="2"/>
  <c r="AN95" i="2"/>
  <c r="AN184" i="2"/>
  <c r="AN155" i="2"/>
  <c r="AN196" i="2"/>
  <c r="AN170" i="2"/>
  <c r="AN58" i="2"/>
  <c r="AN106" i="2"/>
  <c r="AN141" i="2"/>
  <c r="AN183" i="2"/>
  <c r="AN179" i="2"/>
  <c r="AN86" i="2"/>
  <c r="AN33" i="2"/>
  <c r="AN88" i="2"/>
  <c r="AN11" i="2"/>
  <c r="AN142" i="2"/>
  <c r="AN27" i="2"/>
  <c r="AN4" i="2"/>
  <c r="AN165" i="2"/>
  <c r="AN104" i="2"/>
  <c r="AN162" i="2"/>
  <c r="AN45" i="2"/>
  <c r="AN133" i="2"/>
  <c r="AN132" i="2"/>
  <c r="AN163" i="2"/>
  <c r="AN49" i="2"/>
  <c r="AN114" i="2"/>
  <c r="AN108" i="2"/>
  <c r="AN113" i="2"/>
  <c r="AN31" i="2"/>
  <c r="AN148" i="2"/>
  <c r="AN9" i="2"/>
  <c r="AN32" i="2"/>
  <c r="AN168" i="2"/>
  <c r="AN121" i="2"/>
  <c r="AN41" i="2"/>
  <c r="AN37" i="2"/>
  <c r="AN29" i="2"/>
  <c r="AN159" i="2"/>
  <c r="AN94" i="2"/>
  <c r="AN135" i="2"/>
  <c r="AN50" i="2"/>
  <c r="AN52" i="2"/>
  <c r="AN119" i="2"/>
  <c r="AN7" i="2"/>
  <c r="AN75" i="2"/>
  <c r="AN67" i="2"/>
  <c r="AN128" i="2"/>
  <c r="AN38" i="2"/>
  <c r="AN175" i="2"/>
  <c r="AN129" i="2"/>
  <c r="AN59" i="2"/>
  <c r="AN181" i="2"/>
  <c r="AN82" i="2"/>
  <c r="AN107" i="2"/>
  <c r="AN57" i="2"/>
  <c r="AN161" i="2"/>
  <c r="AN51" i="2"/>
  <c r="AN69" i="2"/>
  <c r="AN90" i="2"/>
  <c r="AN61" i="2"/>
  <c r="AN63" i="2"/>
  <c r="AN20" i="2"/>
  <c r="AN147" i="2"/>
  <c r="AN44" i="2"/>
  <c r="AN96" i="2"/>
  <c r="AN66" i="2"/>
  <c r="AN198" i="2"/>
  <c r="AN30" i="2"/>
  <c r="AN78" i="2"/>
  <c r="AN23" i="2"/>
  <c r="AN54" i="2"/>
  <c r="AN115" i="2"/>
  <c r="AN26" i="2"/>
  <c r="AN191" i="2"/>
  <c r="AN89" i="2"/>
  <c r="AN71" i="2"/>
  <c r="AN17" i="2"/>
  <c r="AN127" i="2"/>
  <c r="AN172" i="2"/>
  <c r="AN40" i="2"/>
  <c r="AN178" i="2"/>
  <c r="AN177" i="2"/>
  <c r="AN134" i="2"/>
  <c r="AN91" i="2"/>
  <c r="AN190" i="2"/>
  <c r="AN13" i="2"/>
  <c r="AN3" i="2"/>
  <c r="C7" i="4" s="1"/>
  <c r="E7" i="4" s="1"/>
  <c r="F7" i="4" s="1"/>
  <c r="G7" i="4" s="1"/>
  <c r="L7" i="4" s="1"/>
  <c r="AN24" i="2"/>
  <c r="AN74" i="2"/>
  <c r="AN143" i="2"/>
  <c r="AN6" i="2"/>
  <c r="AN81" i="2"/>
  <c r="AN65" i="2"/>
  <c r="AN25" i="2"/>
  <c r="AN92" i="2"/>
  <c r="AN188" i="2"/>
  <c r="AN98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<sst xmlns="http://schemas.openxmlformats.org/spreadsheetml/2006/main" count="1177" uniqueCount="325">
  <si>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</si>
  <si>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</si>
  <si>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</si>
  <si>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</si>
  <si>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</si>
  <si>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</si>
  <si>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</si>
  <si>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</si>
  <si>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</si>
  <si>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</si>
  <si>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</si>
  <si>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</si>
  <si>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</si>
  <si>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</si>
  <si>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</si>
  <si>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</si>
  <si>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</si>
  <si>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</si>
  <si>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</si>
  <si>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</si>
  <si>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</si>
  <si>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</si>
  <si>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</si>
  <si>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</si>
  <si>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</si>
  <si>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</si>
  <si>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</si>
  <si>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</si>
  <si>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</si>
  <si>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</si>
  <si>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</si>
  <si>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</si>
  <si>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</si>
  <si>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</si>
  <si>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</si>
  <si>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</si>
  <si>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</si>
  <si>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</si>
  <si>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</si>
  <si>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</si>
  <si>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</si>
  <si>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</si>
  <si>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</si>
  <si>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</si>
  <si>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</si>
  <si>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</si>
  <si>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</si>
  <si>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</si>
  <si>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</si>
  <si>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</si>
  <si>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</si>
  <si>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</si>
  <si>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</si>
  <si>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</si>
  <si>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</si>
  <si>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</si>
  <si>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</si>
  <si>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</si>
  <si>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</si>
  <si>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</si>
  <si>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</si>
  <si>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</si>
  <si>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</si>
  <si>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</si>
  <si>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</si>
  <si>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</si>
  <si>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</si>
  <si>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</si>
  <si>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</si>
  <si>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</si>
  <si>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</si>
  <si>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</si>
  <si>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</si>
  <si>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</si>
  <si>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</si>
  <si>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</si>
  <si>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</si>
  <si>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</si>
  <si>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</si>
  <si>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</si>
  <si>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</si>
  <si>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</si>
  <si>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</si>
  <si>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</si>
  <si>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</si>
  <si>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</si>
  <si>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</si>
  <si>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</si>
  <si>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</si>
  <si>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</si>
  <si>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</si>
  <si>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</si>
  <si>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</si>
  <si>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</si>
  <si>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</si>
  <si>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</si>
  <si>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</si>
  <si>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</si>
  <si>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</si>
  <si>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</si>
  <si>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</si>
  <si>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</si>
  <si>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</si>
  <si>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</si>
  <si>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</si>
  <si>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</si>
  <si>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</si>
  <si>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</si>
  <si>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</si>
  <si>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</si>
  <si>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</si>
  <si>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</si>
  <si>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</si>
  <si>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</si>
  <si>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</si>
  <si>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</si>
  <si>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</si>
  <si>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</si>
  <si>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</si>
  <si>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</si>
  <si>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</si>
  <si>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</si>
  <si>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</si>
  <si>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</si>
  <si>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</si>
  <si>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</si>
  <si>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</si>
  <si>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</si>
  <si>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</si>
  <si>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</si>
  <si>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</si>
  <si>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</si>
  <si>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</si>
  <si>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</si>
  <si>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</si>
  <si>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</si>
  <si>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</si>
  <si>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</si>
  <si>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</si>
  <si>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</si>
  <si>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</si>
  <si>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</si>
  <si>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</si>
  <si>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</si>
  <si>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</si>
  <si>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</si>
  <si>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</si>
  <si>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</si>
  <si>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</si>
  <si>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</si>
  <si>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</si>
  <si>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</si>
  <si>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</si>
  <si>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</si>
  <si>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</si>
  <si>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</si>
  <si>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</si>
  <si>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</si>
  <si>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</si>
  <si>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</si>
  <si>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</si>
  <si>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</si>
  <si>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</si>
  <si>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</si>
  <si>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</si>
  <si>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</si>
  <si>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</si>
  <si>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</si>
  <si>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</si>
  <si>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</si>
  <si>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</si>
  <si>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</si>
  <si>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</si>
  <si>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</si>
  <si>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</si>
  <si>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</si>
  <si>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</si>
  <si>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</si>
  <si>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</si>
  <si>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</si>
  <si>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</si>
  <si>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</si>
  <si>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</si>
  <si>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</si>
  <si>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</si>
  <si>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</si>
  <si>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</si>
  <si>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</si>
  <si>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</si>
  <si>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</si>
  <si>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</si>
  <si>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</si>
  <si>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</si>
  <si>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</si>
  <si>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</si>
  <si>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</si>
  <si>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</si>
  <si>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</si>
  <si>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</si>
  <si>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</si>
  <si>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</si>
  <si>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</si>
  <si>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</si>
  <si>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</si>
  <si>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</si>
  <si>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</si>
  <si>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</si>
  <si>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</si>
  <si>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</si>
  <si>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</si>
  <si>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</si>
  <si>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</si>
  <si>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</si>
  <si>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</si>
  <si>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</si>
  <si>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</si>
  <si>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</si>
  <si>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</si>
  <si>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</si>
  <si>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</si>
  <si>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</si>
  <si>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</si>
  <si>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</si>
  <si>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</si>
  <si>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</si>
  <si>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</si>
  <si>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</si>
  <si>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</si>
  <si>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</si>
  <si>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</si>
  <si>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</si>
  <si>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</si>
  <si>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</si>
  <si>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</si>
  <si>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</si>
  <si>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</si>
  <si>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</si>
  <si>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</si>
  <si>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</si>
  <si>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</si>
  <si>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</si>
  <si>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</si>
  <si>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</si>
  <si>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</si>
  <si>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</si>
  <si>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</si>
  <si>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</si>
  <si>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</si>
  <si>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</si>
  <si>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</si>
  <si>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</si>
  <si>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</si>
  <si>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</si>
  <si>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</si>
  <si>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</si>
  <si>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</si>
  <si>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</si>
  <si>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</si>
  <si>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</si>
  <si>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</si>
  <si>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</si>
  <si>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</si>
  <si>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</si>
  <si>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</si>
  <si>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</si>
  <si>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</si>
  <si>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</si>
  <si>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</si>
  <si>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</si>
  <si>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</si>
  <si>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</si>
  <si>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</si>
  <si>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</si>
  <si>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</si>
  <si>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</si>
  <si>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</si>
  <si>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</si>
  <si>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</si>
  <si>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</si>
  <si>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</si>
  <si>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</si>
  <si>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</si>
  <si>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</si>
  <si>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</si>
  <si>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</si>
  <si>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</si>
  <si>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</si>
  <si>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</si>
  <si>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</si>
  <si>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</si>
  <si>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</si>
  <si>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</si>
  <si>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</si>
  <si>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</si>
  <si>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</si>
  <si>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</si>
  <si>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</si>
  <si>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</si>
  <si>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</si>
  <si>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</si>
  <si>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</si>
  <si>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</si>
  <si>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</si>
  <si>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</si>
  <si>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</si>
  <si>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</si>
  <si>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</si>
  <si>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</si>
  <si>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</si>
  <si>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</si>
  <si>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</si>
  <si>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</si>
  <si>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</si>
  <si>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</si>
  <si>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</si>
  <si>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</si>
  <si>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</si>
  <si>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</si>
  <si>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</si>
  <si>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</si>
  <si>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</si>
  <si>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</si>
  <si>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</si>
  <si>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</si>
  <si>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3/5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</si>
</sst>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2.962589887853905</c:v>
                </c:pt>
                <c:pt idx="2">
                  <c:v>3.4039612784912503</c:v>
                </c:pt>
                <c:pt idx="3">
                  <c:v>3.9113232846766799</c:v>
                </c:pt>
                <c:pt idx="4">
                  <c:v>4.4945754389226309</c:v>
                </c:pt>
                <c:pt idx="5">
                  <c:v>5.1651070020031797</c:v>
                </c:pt>
                <c:pt idx="6">
                  <c:v>5.936021797412157</c:v>
                </c:pt>
                <c:pt idx="7">
                  <c:v>6.8223970698501573</c:v>
                </c:pt>
                <c:pt idx="8">
                  <c:v>7.8415815292987441</c:v>
                </c:pt>
                <c:pt idx="9">
                  <c:v>9.0135385270352035</c:v>
                </c:pt>
                <c:pt idx="10">
                  <c:v>10.361241214306341</c:v>
                </c:pt>
                <c:pt idx="11">
                  <c:v>11.911127576567367</c:v>
                </c:pt>
                <c:pt idx="12">
                  <c:v>13.693624437243221</c:v>
                </c:pt>
                <c:pt idx="13">
                  <c:v>15.743750909145609</c:v>
                </c:pt>
                <c:pt idx="14">
                  <c:v>18.101813366950303</c:v>
                </c:pt>
                <c:pt idx="15">
                  <c:v>20.814205852756107</c:v>
                </c:pt>
                <c:pt idx="16">
                  <c:v>23.934331945895334</c:v>
                </c:pt>
                <c:pt idx="17">
                  <c:v>27.523666570720867</c:v>
                </c:pt>
                <c:pt idx="18">
                  <c:v>31.652979031498443</c:v>
                </c:pt>
                <c:pt idx="19">
                  <c:v>36.403741808792425</c:v>
                </c:pt>
                <c:pt idx="20">
                  <c:v>41.869753392590532</c:v>
                </c:pt>
                <c:pt idx="21">
                  <c:v>48.159007739673946</c:v>
                </c:pt>
                <c:pt idx="22">
                  <c:v>55.395847913827446</c:v>
                </c:pt>
                <c:pt idx="23">
                  <c:v>63.723447198213563</c:v>
                </c:pt>
                <c:pt idx="24">
                  <c:v>73.306667575871984</c:v>
                </c:pt>
                <c:pt idx="25">
                  <c:v>84.335353090932742</c:v>
                </c:pt>
                <c:pt idx="26">
                  <c:v>97.028124384391177</c:v>
                </c:pt>
                <c:pt idx="27">
                  <c:v>111.63675082253</c:v>
                </c:pt>
                <c:pt idx="28">
                  <c:v>128.45118830898659</c:v>
                </c:pt>
                <c:pt idx="29">
                  <c:v>147.80538433029781</c:v>
                </c:pt>
                <c:pt idx="30">
                  <c:v>170.08396730314544</c:v>
                </c:pt>
                <c:pt idx="31">
                  <c:v>187.77702249978111</c:v>
                </c:pt>
                <c:pt idx="32">
                  <c:v>205.43119087342657</c:v>
                </c:pt>
                <c:pt idx="33">
                  <c:v>223.05028532412362</c:v>
                </c:pt>
                <c:pt idx="34">
                  <c:v>240.63746656726414</c:v>
                </c:pt>
                <c:pt idx="35">
                  <c:v>258.19539524733307</c:v>
                </c:pt>
                <c:pt idx="36">
                  <c:v>275.7263404186258</c:v>
                </c:pt>
                <c:pt idx="37">
                  <c:v>293.23225894556236</c:v>
                </c:pt>
                <c:pt idx="38">
                  <c:v>310.71485492485544</c:v>
                </c:pt>
                <c:pt idx="39">
                  <c:v>328.17562502059684</c:v>
                </c:pt>
                <c:pt idx="40">
                  <c:v>345.61589363893023</c:v>
                </c:pt>
                <c:pt idx="41">
                  <c:v>363.03684062760482</c:v>
                </c:pt>
                <c:pt idx="42">
                  <c:v>380.43952337867148</c:v>
                </c:pt>
                <c:pt idx="43">
                  <c:v>308.41899799945571</c:v>
                </c:pt>
                <c:pt idx="44">
                  <c:v>329.9928207422667</c:v>
                </c:pt>
                <c:pt idx="45">
                  <c:v>351.53553465023697</c:v>
                </c:pt>
                <c:pt idx="46">
                  <c:v>373.04931311508318</c:v>
                </c:pt>
                <c:pt idx="47">
                  <c:v>394.53605848119838</c:v>
                </c:pt>
                <c:pt idx="48">
                  <c:v>415.99744907325709</c:v>
                </c:pt>
                <c:pt idx="49">
                  <c:v>437.43497601009341</c:v>
                </c:pt>
                <c:pt idx="50">
                  <c:v>458.8499724248652</c:v>
                </c:pt>
                <c:pt idx="51">
                  <c:v>403.99148750632617</c:v>
                </c:pt>
                <c:pt idx="52">
                  <c:v>425.81126844561555</c:v>
                </c:pt>
                <c:pt idx="53">
                  <c:v>447.60700657746878</c:v>
                </c:pt>
                <c:pt idx="54">
                  <c:v>469.38003640022072</c:v>
                </c:pt>
                <c:pt idx="55">
                  <c:v>491.13155859586595</c:v>
                </c:pt>
                <c:pt idx="56">
                  <c:v>512.86265890088441</c:v>
                </c:pt>
                <c:pt idx="57">
                  <c:v>534.57432361316239</c:v>
                </c:pt>
                <c:pt idx="58">
                  <c:v>556.26745244958215</c:v>
                </c:pt>
                <c:pt idx="59">
                  <c:v>480.76491435671659</c:v>
                </c:pt>
                <c:pt idx="60">
                  <c:v>501.71369628125188</c:v>
                </c:pt>
                <c:pt idx="61">
                  <c:v>522.64397470198389</c:v>
                </c:pt>
                <c:pt idx="62">
                  <c:v>543.55659427068451</c:v>
                </c:pt>
                <c:pt idx="63">
                  <c:v>564.45232939981622</c:v>
                </c:pt>
                <c:pt idx="64">
                  <c:v>585.33189254000888</c:v>
                </c:pt>
                <c:pt idx="65">
                  <c:v>606.19594121574175</c:v>
                </c:pt>
                <c:pt idx="66">
                  <c:v>627.0450840426787</c:v>
                </c:pt>
                <c:pt idx="67">
                  <c:v>540.02410362731962</c:v>
                </c:pt>
                <c:pt idx="68">
                  <c:v>559.87810595861549</c:v>
                </c:pt>
                <c:pt idx="69">
                  <c:v>579.71737712895595</c:v>
                </c:pt>
                <c:pt idx="70">
                  <c:v>599.54249180124532</c:v>
                </c:pt>
                <c:pt idx="71">
                  <c:v>619.3539835680109</c:v>
                </c:pt>
                <c:pt idx="72">
                  <c:v>639.1523491330646</c:v>
                </c:pt>
                <c:pt idx="73">
                  <c:v>658.93805194848699</c:v>
                </c:pt>
                <c:pt idx="74">
                  <c:v>678.71152539242291</c:v>
                </c:pt>
                <c:pt idx="75">
                  <c:v>596.98125439502985</c:v>
                </c:pt>
                <c:pt idx="76">
                  <c:v>616.56032675593167</c:v>
                </c:pt>
                <c:pt idx="77">
                  <c:v>636.12651512639729</c:v>
                </c:pt>
                <c:pt idx="78">
                  <c:v>655.68027121979014</c:v>
                </c:pt>
                <c:pt idx="79">
                  <c:v>675.22201763643227</c:v>
                </c:pt>
                <c:pt idx="80">
                  <c:v>694.75215054523733</c:v>
                </c:pt>
                <c:pt idx="81">
                  <c:v>714.27104204839736</c:v>
                </c:pt>
                <c:pt idx="82">
                  <c:v>733.77904227439592</c:v>
                </c:pt>
                <c:pt idx="83">
                  <c:v>753.27648123708832</c:v>
                </c:pt>
                <c:pt idx="84">
                  <c:v>772.76367049249257</c:v>
                </c:pt>
                <c:pt idx="85">
                  <c:v>660.16270369367828</c:v>
                </c:pt>
                <c:pt idx="86">
                  <c:v>678.63042787234917</c:v>
                </c:pt>
                <c:pt idx="87">
                  <c:v>697.08783718271468</c:v>
                </c:pt>
                <c:pt idx="88">
                  <c:v>715.53524294197848</c:v>
                </c:pt>
                <c:pt idx="89">
                  <c:v>733.97293912201064</c:v>
                </c:pt>
                <c:pt idx="90">
                  <c:v>752.40120373603156</c:v>
                </c:pt>
                <c:pt idx="91">
                  <c:v>770.82030008251047</c:v>
                </c:pt>
                <c:pt idx="92">
                  <c:v>789.23047786411109</c:v>
                </c:pt>
                <c:pt idx="93">
                  <c:v>807.63197419691426</c:v>
                </c:pt>
                <c:pt idx="94">
                  <c:v>826.02501452297986</c:v>
                </c:pt>
                <c:pt idx="95">
                  <c:v>712.22647873926064</c:v>
                </c:pt>
                <c:pt idx="96">
                  <c:v>730.11398211659389</c:v>
                </c:pt>
                <c:pt idx="97">
                  <c:v>747.99255669812953</c:v>
                </c:pt>
                <c:pt idx="98">
                  <c:v>765.86244574742079</c:v>
                </c:pt>
                <c:pt idx="99">
                  <c:v>783.72388026192391</c:v>
                </c:pt>
                <c:pt idx="100">
                  <c:v>801.57707986260993</c:v>
                </c:pt>
                <c:pt idx="101">
                  <c:v>819.42225360029033</c:v>
                </c:pt>
                <c:pt idx="102">
                  <c:v>837.25960068812583</c:v>
                </c:pt>
                <c:pt idx="103">
                  <c:v>855.08931116853546</c:v>
                </c:pt>
                <c:pt idx="104">
                  <c:v>872.91156652165876</c:v>
                </c:pt>
                <c:pt idx="105">
                  <c:v>762.49226611691893</c:v>
                </c:pt>
                <c:pt idx="106">
                  <c:v>780.06373037134006</c:v>
                </c:pt>
                <c:pt idx="107">
                  <c:v>797.62718371892788</c:v>
                </c:pt>
                <c:pt idx="108">
                  <c:v>815.18282721899561</c:v>
                </c:pt>
                <c:pt idx="109">
                  <c:v>832.7308525741679</c:v>
                </c:pt>
                <c:pt idx="110">
                  <c:v>850.27144275780472</c:v>
                </c:pt>
                <c:pt idx="111">
                  <c:v>867.80477258701728</c:v>
                </c:pt>
                <c:pt idx="112">
                  <c:v>885.33100924702569</c:v>
                </c:pt>
                <c:pt idx="113">
                  <c:v>902.8503127718817</c:v>
                </c:pt>
                <c:pt idx="114">
                  <c:v>920.36283648598703</c:v>
                </c:pt>
                <c:pt idx="115">
                  <c:v>819.00343329354246</c:v>
                </c:pt>
                <c:pt idx="116">
                  <c:v>836.72408229504447</c:v>
                </c:pt>
                <c:pt idx="117">
                  <c:v>854.43718896262988</c:v>
                </c:pt>
                <c:pt idx="118">
                  <c:v>872.14293150124513</c:v>
                </c:pt>
                <c:pt idx="119">
                  <c:v>889.84148029873938</c:v>
                </c:pt>
                <c:pt idx="120">
                  <c:v>907.53299842056879</c:v>
                </c:pt>
                <c:pt idx="121">
                  <c:v>925.21764206396665</c:v>
                </c:pt>
                <c:pt idx="122">
                  <c:v>942.89556097562934</c:v>
                </c:pt>
                <c:pt idx="123">
                  <c:v>960.56689883649244</c:v>
                </c:pt>
                <c:pt idx="124">
                  <c:v>978.23179361675227</c:v>
                </c:pt>
                <c:pt idx="125">
                  <c:v>884.85340311009224</c:v>
                </c:pt>
                <c:pt idx="126">
                  <c:v>902.88214054131424</c:v>
                </c:pt>
                <c:pt idx="127">
                  <c:v>920.90369846435715</c:v>
                </c:pt>
                <c:pt idx="128">
                  <c:v>938.91823699389624</c:v>
                </c:pt>
                <c:pt idx="129">
                  <c:v>956.92590960745827</c:v>
                </c:pt>
                <c:pt idx="130">
                  <c:v>974.92686354278567</c:v>
                </c:pt>
                <c:pt idx="131">
                  <c:v>992.92124016436617</c:v>
                </c:pt>
                <c:pt idx="132">
                  <c:v>1010.9091753020506</c:v>
                </c:pt>
                <c:pt idx="133">
                  <c:v>1028.8907995643483</c:v>
                </c:pt>
                <c:pt idx="134">
                  <c:v>1046.8662386287149</c:v>
                </c:pt>
                <c:pt idx="135">
                  <c:v>948.62986890906393</c:v>
                </c:pt>
                <c:pt idx="136">
                  <c:v>966.77375261785494</c:v>
                </c:pt>
                <c:pt idx="137">
                  <c:v>984.91089208979758</c:v>
                </c:pt>
                <c:pt idx="138">
                  <c:v>1003.0414288487136</c:v>
                </c:pt>
                <c:pt idx="139">
                  <c:v>1021.1654988920533</c:v>
                </c:pt>
                <c:pt idx="140">
                  <c:v>1039.2832330029219</c:v>
                </c:pt>
                <c:pt idx="141">
                  <c:v>1057.3947570392459</c:v>
                </c:pt>
                <c:pt idx="142">
                  <c:v>1075.5001922021258</c:v>
                </c:pt>
                <c:pt idx="143">
                  <c:v>1093.5996552852121</c:v>
                </c:pt>
                <c:pt idx="144">
                  <c:v>1111.6932589067289</c:v>
                </c:pt>
                <c:pt idx="145">
                  <c:v>1011.7475397612449</c:v>
                </c:pt>
                <c:pt idx="146">
                  <c:v>1030.2812321424612</c:v>
                </c:pt>
                <c:pt idx="147">
                  <c:v>1048.8083635104717</c:v>
                </c:pt>
                <c:pt idx="148">
                  <c:v>1067.3290659245704</c:v>
                </c:pt>
                <c:pt idx="149">
                  <c:v>1085.8434664940403</c:v>
                </c:pt>
                <c:pt idx="150">
                  <c:v>1104.3516876466242</c:v>
                </c:pt>
                <c:pt idx="151">
                  <c:v>1122.8538473780898</c:v>
                </c:pt>
                <c:pt idx="152">
                  <c:v>1141.3500594845145</c:v>
                </c:pt>
                <c:pt idx="153">
                  <c:v>1159.8404337787574</c:v>
                </c:pt>
                <c:pt idx="154">
                  <c:v>1178.3250762924299</c:v>
                </c:pt>
                <c:pt idx="155">
                  <c:v>1080.6551571680279</c:v>
                </c:pt>
                <c:pt idx="156">
                  <c:v>1099.4610044113876</c:v>
                </c:pt>
                <c:pt idx="157">
                  <c:v>1118.2605630820278</c:v>
                </c:pt>
                <c:pt idx="158">
                  <c:v>1137.0539536296531</c:v>
                </c:pt>
                <c:pt idx="159">
                  <c:v>1155.8412922039661</c:v>
                </c:pt>
                <c:pt idx="160">
                  <c:v>1174.6226908769638</c:v>
                </c:pt>
                <c:pt idx="161">
                  <c:v>1193.3982578503103</c:v>
                </c:pt>
                <c:pt idx="162">
                  <c:v>1212.168097648997</c:v>
                </c:pt>
                <c:pt idx="163">
                  <c:v>1230.9323113024027</c:v>
                </c:pt>
                <c:pt idx="164">
                  <c:v>1249.6909965137681</c:v>
                </c:pt>
                <c:pt idx="165">
                  <c:v>1142.9129696283178</c:v>
                </c:pt>
                <c:pt idx="166">
                  <c:v>1161.8715739902759</c:v>
                </c:pt>
                <c:pt idx="167">
                  <c:v>1180.8241642373212</c:v>
                </c:pt>
                <c:pt idx="168">
                  <c:v>1199.7708503393806</c:v>
                </c:pt>
                <c:pt idx="169">
                  <c:v>1218.7117385156494</c:v>
                </c:pt>
                <c:pt idx="170">
                  <c:v>1237.6469314199785</c:v>
                </c:pt>
                <c:pt idx="171">
                  <c:v>1256.5765283143523</c:v>
                </c:pt>
                <c:pt idx="172">
                  <c:v>1275.5006252313856</c:v>
                </c:pt>
                <c:pt idx="173">
                  <c:v>1294.4193151266923</c:v>
                </c:pt>
                <c:pt idx="174">
                  <c:v>1313.3326880219006</c:v>
                </c:pt>
                <c:pt idx="175">
                  <c:v>854.39258088997087</c:v>
                </c:pt>
                <c:pt idx="176">
                  <c:v>849.57038457455349</c:v>
                </c:pt>
                <c:pt idx="177">
                  <c:v>844.74763878271972</c:v>
                </c:pt>
                <c:pt idx="178">
                  <c:v>597.63816827785195</c:v>
                </c:pt>
                <c:pt idx="179">
                  <c:v>596.07610086024363</c:v>
                </c:pt>
                <c:pt idx="180">
                  <c:v>594.51394828219793</c:v>
                </c:pt>
                <c:pt idx="181">
                  <c:v>425.94596548507224</c:v>
                </c:pt>
                <c:pt idx="182">
                  <c:v>424.24332737831816</c:v>
                </c:pt>
                <c:pt idx="183">
                  <c:v>422.54054218163259</c:v>
                </c:pt>
                <c:pt idx="184">
                  <c:v>50.669860601182314</c:v>
                </c:pt>
                <c:pt idx="185">
                  <c:v>50.669860601182314</c:v>
                </c:pt>
                <c:pt idx="186">
                  <c:v>50.669860601182314</c:v>
                </c:pt>
                <c:pt idx="187">
                  <c:v>50.669860601182314</c:v>
                </c:pt>
                <c:pt idx="188">
                  <c:v>50.669860601182314</c:v>
                </c:pt>
                <c:pt idx="189">
                  <c:v>50.669860601182314</c:v>
                </c:pt>
                <c:pt idx="190">
                  <c:v>50.669860601182314</c:v>
                </c:pt>
                <c:pt idx="191">
                  <c:v>50.669860601182314</c:v>
                </c:pt>
                <c:pt idx="192">
                  <c:v>50.669860601182314</c:v>
                </c:pt>
                <c:pt idx="193">
                  <c:v>50.669860601182314</c:v>
                </c:pt>
                <c:pt idx="194">
                  <c:v>50.669860601182314</c:v>
                </c:pt>
                <c:pt idx="195">
                  <c:v>50.669860601182314</c:v>
                </c:pt>
                <c:pt idx="196">
                  <c:v>50.669860601182314</c:v>
                </c:pt>
                <c:pt idx="197">
                  <c:v>50.669860601182314</c:v>
                </c:pt>
                <c:pt idx="198">
                  <c:v>50.669860601182314</c:v>
                </c:pt>
                <c:pt idx="199">
                  <c:v>50.669860601182314</c:v>
                </c:pt>
                <c:pt idx="200">
                  <c:v>50.669860601182314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2.6545363919709568</c:v>
                </c:pt>
                <c:pt idx="2">
                  <c:v>3.0498680873009718</c:v>
                </c:pt>
                <c:pt idx="3">
                  <c:v>3.5042863496371583</c:v>
                </c:pt>
                <c:pt idx="4">
                  <c:v>4.0266521170071341</c:v>
                </c:pt>
                <c:pt idx="5">
                  <c:v>4.6271593579878081</c:v>
                </c:pt>
                <c:pt idx="6">
                  <c:v>5.3175362002175284</c:v>
                </c:pt>
                <c:pt idx="7">
                  <c:v>6.1112764876395573</c:v>
                </c:pt>
                <c:pt idx="8">
                  <c:v>7.0239063815190539</c:v>
                </c:pt>
                <c:pt idx="9">
                  <c:v>8.0732913218228504</c:v>
                </c:pt>
                <c:pt idx="10">
                  <c:v>9.279989473964255</c:v>
                </c:pt>
                <c:pt idx="11">
                  <c:v>10.667658717503109</c:v>
                </c:pt>
                <c:pt idx="12">
                  <c:v>12.263525306957353</c:v>
                </c:pt>
                <c:pt idx="13">
                  <c:v>14.098923572103821</c:v>
                </c:pt>
                <c:pt idx="14">
                  <c:v>16.209917451016164</c:v>
                </c:pt>
                <c:pt idx="15">
                  <c:v>18.638016292422606</c:v>
                </c:pt>
                <c:pt idx="16">
                  <c:v>21.430999257990951</c:v>
                </c:pt>
                <c:pt idx="17">
                  <c:v>24.643864838171552</c:v>
                </c:pt>
                <c:pt idx="18">
                  <c:v>28.339924511423959</c:v>
                </c:pt>
                <c:pt idx="19">
                  <c:v>32.592062476954119</c:v>
                </c:pt>
                <c:pt idx="20">
                  <c:v>37.484186734229688</c:v>
                </c:pt>
                <c:pt idx="21">
                  <c:v>43.112900636249549</c:v>
                </c:pt>
                <c:pt idx="22">
                  <c:v>49.589428485920998</c:v>
                </c:pt>
                <c:pt idx="23">
                  <c:v>57.041833866010933</c:v>
                </c:pt>
                <c:pt idx="24">
                  <c:v>65.617575296852564</c:v>
                </c:pt>
                <c:pt idx="25">
                  <c:v>75.486450622089208</c:v>
                </c:pt>
                <c:pt idx="26">
                  <c:v>86.84398936936627</c:v>
                </c:pt>
                <c:pt idx="27">
                  <c:v>99.915361379362025</c:v>
                </c:pt>
                <c:pt idx="28">
                  <c:v>114.95988042662457</c:v>
                </c:pt>
                <c:pt idx="29">
                  <c:v>132.2761935812849</c:v>
                </c:pt>
                <c:pt idx="30">
                  <c:v>152.20826092627306</c:v>
                </c:pt>
                <c:pt idx="31">
                  <c:v>168.03730180425939</c:v>
                </c:pt>
                <c:pt idx="32">
                  <c:v>183.83118038860502</c:v>
                </c:pt>
                <c:pt idx="33">
                  <c:v>199.59334438474278</c:v>
                </c:pt>
                <c:pt idx="34">
                  <c:v>215.32665177885363</c:v>
                </c:pt>
                <c:pt idx="35">
                  <c:v>231.03350838235292</c:v>
                </c:pt>
                <c:pt idx="36">
                  <c:v>246.71596592246559</c:v>
                </c:pt>
                <c:pt idx="37">
                  <c:v>262.37579383768139</c:v>
                </c:pt>
                <c:pt idx="38">
                  <c:v>278.01453300854564</c:v>
                </c:pt>
                <c:pt idx="39">
                  <c:v>293.63353675060915</c:v>
                </c:pt>
                <c:pt idx="40">
                  <c:v>309.23400262011683</c:v>
                </c:pt>
                <c:pt idx="41">
                  <c:v>324.81699746053465</c:v>
                </c:pt>
                <c:pt idx="42">
                  <c:v>340.38347738827719</c:v>
                </c:pt>
                <c:pt idx="43">
                  <c:v>275.96082819556159</c:v>
                </c:pt>
                <c:pt idx="44">
                  <c:v>295.25904257516885</c:v>
                </c:pt>
                <c:pt idx="45">
                  <c:v>314.52912768369208</c:v>
                </c:pt>
                <c:pt idx="46">
                  <c:v>333.77304874821488</c:v>
                </c:pt>
                <c:pt idx="47">
                  <c:v>352.99252590905752</c:v>
                </c:pt>
                <c:pt idx="48">
                  <c:v>372.1890767431392</c:v>
                </c:pt>
                <c:pt idx="49">
                  <c:v>391.36404955187089</c:v>
                </c:pt>
                <c:pt idx="50">
                  <c:v>410.51864978264933</c:v>
                </c:pt>
                <c:pt idx="51">
                  <c:v>361.45014461667375</c:v>
                </c:pt>
                <c:pt idx="52">
                  <c:v>380.96715653184043</c:v>
                </c:pt>
                <c:pt idx="53">
                  <c:v>400.46242842840928</c:v>
                </c:pt>
                <c:pt idx="54">
                  <c:v>419.93716698819981</c:v>
                </c:pt>
                <c:pt idx="55">
                  <c:v>439.39245789344562</c:v>
                </c:pt>
                <c:pt idx="56">
                  <c:v>458.82928289019873</c:v>
                </c:pt>
                <c:pt idx="57">
                  <c:v>478.24853381001611</c:v>
                </c:pt>
                <c:pt idx="58">
                  <c:v>497.65102419606643</c:v>
                </c:pt>
                <c:pt idx="59">
                  <c:v>430.12020919230275</c:v>
                </c:pt>
                <c:pt idx="60">
                  <c:v>448.85740375593576</c:v>
                </c:pt>
                <c:pt idx="61">
                  <c:v>467.57786705730337</c:v>
                </c:pt>
                <c:pt idx="62">
                  <c:v>486.28236284852915</c:v>
                </c:pt>
                <c:pt idx="63">
                  <c:v>504.9715913698567</c:v>
                </c:pt>
                <c:pt idx="64">
                  <c:v>523.64619683432079</c:v>
                </c:pt>
                <c:pt idx="65">
                  <c:v>542.30677378956045</c:v>
                </c:pt>
                <c:pt idx="66">
                  <c:v>560.95387255882304</c:v>
                </c:pt>
                <c:pt idx="67">
                  <c:v>483.12287301095034</c:v>
                </c:pt>
                <c:pt idx="68">
                  <c:v>500.88040156064579</c:v>
                </c:pt>
                <c:pt idx="69">
                  <c:v>518.62460988083035</c:v>
                </c:pt>
                <c:pt idx="70">
                  <c:v>536.3560175939424</c:v>
                </c:pt>
                <c:pt idx="71">
                  <c:v>554.07510718571075</c:v>
                </c:pt>
                <c:pt idx="72">
                  <c:v>571.78232778630161</c:v>
                </c:pt>
                <c:pt idx="73">
                  <c:v>589.47809845895836</c:v>
                </c:pt>
                <c:pt idx="74">
                  <c:v>607.16281107343025</c:v>
                </c:pt>
                <c:pt idx="75">
                  <c:v>534.0652770890016</c:v>
                </c:pt>
                <c:pt idx="76">
                  <c:v>551.57651198639223</c:v>
                </c:pt>
                <c:pt idx="77">
                  <c:v>569.07609690520076</c:v>
                </c:pt>
                <c:pt idx="78">
                  <c:v>586.56444029427121</c:v>
                </c:pt>
                <c:pt idx="79">
                  <c:v>604.04192427781663</c:v>
                </c:pt>
                <c:pt idx="80">
                  <c:v>621.50890708020677</c:v>
                </c:pt>
                <c:pt idx="81">
                  <c:v>638.96572516416973</c:v>
                </c:pt>
                <c:pt idx="82">
                  <c:v>656.41269512333827</c:v>
                </c:pt>
                <c:pt idx="83">
                  <c:v>673.85011536326908</c:v>
                </c:pt>
                <c:pt idx="84">
                  <c:v>691.27826759955076</c:v>
                </c:pt>
                <c:pt idx="85">
                  <c:v>590.57338819665517</c:v>
                </c:pt>
                <c:pt idx="86">
                  <c:v>607.09028048942207</c:v>
                </c:pt>
                <c:pt idx="87">
                  <c:v>623.59784585855948</c:v>
                </c:pt>
                <c:pt idx="88">
                  <c:v>640.09636580371409</c:v>
                </c:pt>
                <c:pt idx="89">
                  <c:v>656.5861061405127</c:v>
                </c:pt>
                <c:pt idx="90">
                  <c:v>673.06731825443057</c:v>
                </c:pt>
                <c:pt idx="91">
                  <c:v>689.54024022555211</c:v>
                </c:pt>
                <c:pt idx="92">
                  <c:v>706.00509784034432</c:v>
                </c:pt>
                <c:pt idx="93">
                  <c:v>722.46210550421847</c:v>
                </c:pt>
                <c:pt idx="94">
                  <c:v>738.91146706668644</c:v>
                </c:pt>
                <c:pt idx="95">
                  <c:v>637.13716485658085</c:v>
                </c:pt>
                <c:pt idx="96">
                  <c:v>653.1348585090218</c:v>
                </c:pt>
                <c:pt idx="97">
                  <c:v>669.12447855411801</c:v>
                </c:pt>
                <c:pt idx="98">
                  <c:v>685.10624495595687</c:v>
                </c:pt>
                <c:pt idx="99">
                  <c:v>701.08036658735728</c:v>
                </c:pt>
                <c:pt idx="100">
                  <c:v>717.04704203428025</c:v>
                </c:pt>
                <c:pt idx="101">
                  <c:v>733.0064603249217</c:v>
                </c:pt>
                <c:pt idx="102">
                  <c:v>748.95880159206502</c:v>
                </c:pt>
                <c:pt idx="103">
                  <c:v>764.90423767611367</c:v>
                </c:pt>
                <c:pt idx="104">
                  <c:v>780.84293267527482</c:v>
                </c:pt>
                <c:pt idx="105">
                  <c:v>682.09216311170474</c:v>
                </c:pt>
                <c:pt idx="106">
                  <c:v>697.80696994124844</c:v>
                </c:pt>
                <c:pt idx="107">
                  <c:v>713.51453313820082</c:v>
                </c:pt>
                <c:pt idx="108">
                  <c:v>729.21503450467515</c:v>
                </c:pt>
                <c:pt idx="109">
                  <c:v>744.90864738226776</c:v>
                </c:pt>
                <c:pt idx="110">
                  <c:v>760.59553721938767</c:v>
                </c:pt>
                <c:pt idx="111">
                  <c:v>776.27586208939147</c:v>
                </c:pt>
                <c:pt idx="112">
                  <c:v>791.94977316471579</c:v>
                </c:pt>
                <c:pt idx="113">
                  <c:v>807.61741515155848</c:v>
                </c:pt>
                <c:pt idx="114">
                  <c:v>823.27892668911011</c:v>
                </c:pt>
                <c:pt idx="115">
                  <c:v>732.63189896797348</c:v>
                </c:pt>
                <c:pt idx="116">
                  <c:v>748.47987654126098</c:v>
                </c:pt>
                <c:pt idx="117">
                  <c:v>764.321034175568</c:v>
                </c:pt>
                <c:pt idx="118">
                  <c:v>780.15553300760382</c:v>
                </c:pt>
                <c:pt idx="119">
                  <c:v>795.98352710569088</c:v>
                </c:pt>
                <c:pt idx="120">
                  <c:v>811.80516391708795</c:v>
                </c:pt>
                <c:pt idx="121">
                  <c:v>827.62058467865961</c:v>
                </c:pt>
                <c:pt idx="122">
                  <c:v>843.42992479455927</c:v>
                </c:pt>
                <c:pt idx="123">
                  <c:v>859.23331418414864</c:v>
                </c:pt>
                <c:pt idx="124">
                  <c:v>875.03087760301878</c:v>
                </c:pt>
                <c:pt idx="125">
                  <c:v>791.52264552872691</c:v>
                </c:pt>
                <c:pt idx="126">
                  <c:v>807.64587889820859</c:v>
                </c:pt>
                <c:pt idx="127">
                  <c:v>823.76262040347035</c:v>
                </c:pt>
                <c:pt idx="128">
                  <c:v>839.87301482361215</c:v>
                </c:pt>
                <c:pt idx="129">
                  <c:v>855.97720093628323</c:v>
                </c:pt>
                <c:pt idx="130">
                  <c:v>872.07531187698567</c:v>
                </c:pt>
                <c:pt idx="131">
                  <c:v>888.16747547050124</c:v>
                </c:pt>
                <c:pt idx="132">
                  <c:v>904.25381453707325</c:v>
                </c:pt>
                <c:pt idx="133">
                  <c:v>920.33444717569864</c:v>
                </c:pt>
                <c:pt idx="134">
                  <c:v>936.40948702660933</c:v>
                </c:pt>
                <c:pt idx="135">
                  <c:v>848.55809489614876</c:v>
                </c:pt>
                <c:pt idx="136">
                  <c:v>864.78405734065075</c:v>
                </c:pt>
                <c:pt idx="137">
                  <c:v>881.00392150254174</c:v>
                </c:pt>
                <c:pt idx="138">
                  <c:v>897.21781535067532</c:v>
                </c:pt>
                <c:pt idx="139">
                  <c:v>913.4258618568432</c:v>
                </c:pt>
                <c:pt idx="140">
                  <c:v>929.62817927791514</c:v>
                </c:pt>
                <c:pt idx="141">
                  <c:v>945.82488141730835</c:v>
                </c:pt>
                <c:pt idx="142">
                  <c:v>962.01607786763998</c:v>
                </c:pt>
                <c:pt idx="143">
                  <c:v>978.20187423621553</c:v>
                </c:pt>
                <c:pt idx="144">
                  <c:v>994.38237235483382</c:v>
                </c:pt>
                <c:pt idx="145">
                  <c:v>905.00354968761405</c:v>
                </c:pt>
                <c:pt idx="146">
                  <c:v>921.57788263141322</c:v>
                </c:pt>
                <c:pt idx="147">
                  <c:v>938.14628296732155</c:v>
                </c:pt>
                <c:pt idx="148">
                  <c:v>954.70887010616536</c:v>
                </c:pt>
                <c:pt idx="149">
                  <c:v>971.26575898286592</c:v>
                </c:pt>
                <c:pt idx="150">
                  <c:v>987.81706029919644</c:v>
                </c:pt>
                <c:pt idx="151">
                  <c:v>1004.3628807494425</c:v>
                </c:pt>
                <c:pt idx="152">
                  <c:v>1020.9033232304419</c:v>
                </c:pt>
                <c:pt idx="153">
                  <c:v>1037.4384870373203</c:v>
                </c:pt>
                <c:pt idx="154">
                  <c:v>1053.9684680461196</c:v>
                </c:pt>
                <c:pt idx="155">
                  <c:v>966.62601140514414</c:v>
                </c:pt>
                <c:pt idx="156">
                  <c:v>983.44348696843338</c:v>
                </c:pt>
                <c:pt idx="157">
                  <c:v>1000.2552762703218</c:v>
                </c:pt>
                <c:pt idx="158">
                  <c:v>1017.0614882239994</c:v>
                </c:pt>
                <c:pt idx="159">
                  <c:v>1033.8622278544997</c:v>
                </c:pt>
                <c:pt idx="160">
                  <c:v>1050.6575964997107</c:v>
                </c:pt>
                <c:pt idx="161">
                  <c:v>1067.4476919978817</c:v>
                </c:pt>
                <c:pt idx="162">
                  <c:v>1084.2326088627349</c:v>
                </c:pt>
                <c:pt idx="163">
                  <c:v>1101.0124384471885</c:v>
                </c:pt>
                <c:pt idx="164">
                  <c:v>1117.7872690965926</c:v>
                </c:pt>
                <c:pt idx="165">
                  <c:v>1022.3009702525984</c:v>
                </c:pt>
                <c:pt idx="166">
                  <c:v>1039.2548467740485</c:v>
                </c:pt>
                <c:pt idx="167">
                  <c:v>1056.2032852046932</c:v>
                </c:pt>
                <c:pt idx="168">
                  <c:v>1073.1463849816832</c:v>
                </c:pt>
                <c:pt idx="169">
                  <c:v>1090.0842421506763</c:v>
                </c:pt>
                <c:pt idx="170">
                  <c:v>1107.0169495334719</c:v>
                </c:pt>
                <c:pt idx="171">
                  <c:v>1123.9445968848709</c:v>
                </c:pt>
                <c:pt idx="172">
                  <c:v>1140.8672710396083</c:v>
                </c:pt>
                <c:pt idx="173">
                  <c:v>1157.7850560501302</c:v>
                </c:pt>
                <c:pt idx="174">
                  <c:v>1174.6980333159111</c:v>
                </c:pt>
                <c:pt idx="175">
                  <c:v>764.28114044668121</c:v>
                </c:pt>
                <c:pt idx="176">
                  <c:v>759.96856868640737</c:v>
                </c:pt>
                <c:pt idx="177">
                  <c:v>755.65550007785362</c:v>
                </c:pt>
                <c:pt idx="178">
                  <c:v>534.6528133258779</c:v>
                </c:pt>
                <c:pt idx="179">
                  <c:v>533.25571791442655</c:v>
                </c:pt>
                <c:pt idx="180">
                  <c:v>531.85854549909379</c:v>
                </c:pt>
                <c:pt idx="181">
                  <c:v>381.0876374622872</c:v>
                </c:pt>
                <c:pt idx="182">
                  <c:v>379.56469744116322</c:v>
                </c:pt>
                <c:pt idx="183">
                  <c:v>378.04162441819039</c:v>
                </c:pt>
                <c:pt idx="184">
                  <c:v>45.359988241527674</c:v>
                </c:pt>
                <c:pt idx="185">
                  <c:v>45.359988241527674</c:v>
                </c:pt>
                <c:pt idx="186">
                  <c:v>45.359988241527674</c:v>
                </c:pt>
                <c:pt idx="187">
                  <c:v>45.359988241527674</c:v>
                </c:pt>
                <c:pt idx="188">
                  <c:v>45.359988241527674</c:v>
                </c:pt>
                <c:pt idx="189">
                  <c:v>45.359988241527674</c:v>
                </c:pt>
                <c:pt idx="190">
                  <c:v>45.359988241527674</c:v>
                </c:pt>
                <c:pt idx="191">
                  <c:v>45.359988241527674</c:v>
                </c:pt>
                <c:pt idx="192">
                  <c:v>45.359988241527674</c:v>
                </c:pt>
                <c:pt idx="193">
                  <c:v>45.359988241527674</c:v>
                </c:pt>
                <c:pt idx="194">
                  <c:v>45.359988241527674</c:v>
                </c:pt>
                <c:pt idx="195">
                  <c:v>45.359988241527674</c:v>
                </c:pt>
                <c:pt idx="196">
                  <c:v>45.359988241527674</c:v>
                </c:pt>
                <c:pt idx="197">
                  <c:v>45.359988241527674</c:v>
                </c:pt>
                <c:pt idx="198">
                  <c:v>45.359988241527674</c:v>
                </c:pt>
                <c:pt idx="199">
                  <c:v>45.359988241527674</c:v>
                </c:pt>
                <c:pt idx="200">
                  <c:v>45.359988241527674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2.9509973995419365</c:v>
                </c:pt>
                <c:pt idx="2">
                  <c:v>3.8993800326575379</c:v>
                </c:pt>
                <c:pt idx="3">
                  <c:v>5.1537861360321822</c:v>
                </c:pt>
                <c:pt idx="4">
                  <c:v>6.8133379322758998</c:v>
                </c:pt>
                <c:pt idx="5">
                  <c:v>9.0093769867322209</c:v>
                </c:pt>
                <c:pt idx="6">
                  <c:v>11.915971094051232</c:v>
                </c:pt>
                <c:pt idx="7">
                  <c:v>15.763857741989639</c:v>
                </c:pt>
                <c:pt idx="8">
                  <c:v>20.858951242140964</c:v>
                </c:pt>
                <c:pt idx="9">
                  <c:v>27.606911179441123</c:v>
                </c:pt>
                <c:pt idx="10">
                  <c:v>36.545762498237771</c:v>
                </c:pt>
                <c:pt idx="11">
                  <c:v>47.934246794954014</c:v>
                </c:pt>
                <c:pt idx="12">
                  <c:v>59.250271506484466</c:v>
                </c:pt>
                <c:pt idx="13">
                  <c:v>70.509737306549212</c:v>
                </c:pt>
                <c:pt idx="14">
                  <c:v>81.722993273441304</c:v>
                </c:pt>
                <c:pt idx="15">
                  <c:v>92.897294511118176</c:v>
                </c:pt>
                <c:pt idx="16">
                  <c:v>108.25587760652974</c:v>
                </c:pt>
                <c:pt idx="17">
                  <c:v>123.56076610518875</c:v>
                </c:pt>
                <c:pt idx="18">
                  <c:v>138.8195597916295</c:v>
                </c:pt>
                <c:pt idx="19">
                  <c:v>154.03804513155393</c:v>
                </c:pt>
                <c:pt idx="20">
                  <c:v>169.22076873606747</c:v>
                </c:pt>
                <c:pt idx="21">
                  <c:v>129.28787235572034</c:v>
                </c:pt>
                <c:pt idx="22">
                  <c:v>144.53094857798482</c:v>
                </c:pt>
                <c:pt idx="23">
                  <c:v>159.73554413485536</c:v>
                </c:pt>
                <c:pt idx="24">
                  <c:v>174.90584046860877</c:v>
                </c:pt>
                <c:pt idx="25">
                  <c:v>190.04523308883151</c:v>
                </c:pt>
                <c:pt idx="26">
                  <c:v>169.22076873606747</c:v>
                </c:pt>
                <c:pt idx="27">
                  <c:v>184.37139305479852</c:v>
                </c:pt>
                <c:pt idx="28">
                  <c:v>199.49292850815041</c:v>
                </c:pt>
                <c:pt idx="29">
                  <c:v>214.58789130305843</c:v>
                </c:pt>
                <c:pt idx="30">
                  <c:v>229.65841439261331</c:v>
                </c:pt>
                <c:pt idx="31">
                  <c:v>205.53397529366751</c:v>
                </c:pt>
                <c:pt idx="32">
                  <c:v>219.11152587483457</c:v>
                </c:pt>
                <c:pt idx="33">
                  <c:v>232.66975188863589</c:v>
                </c:pt>
                <c:pt idx="34">
                  <c:v>246.20993843849078</c:v>
                </c:pt>
                <c:pt idx="35">
                  <c:v>259.73321764902875</c:v>
                </c:pt>
                <c:pt idx="36">
                  <c:v>235.30394147234665</c:v>
                </c:pt>
                <c:pt idx="37">
                  <c:v>248.46496383915087</c:v>
                </c:pt>
                <c:pt idx="38">
                  <c:v>261.61017170872901</c:v>
                </c:pt>
                <c:pt idx="39">
                  <c:v>274.74047191396772</c:v>
                </c:pt>
                <c:pt idx="40">
                  <c:v>287.85667749117118</c:v>
                </c:pt>
                <c:pt idx="41">
                  <c:v>262.36086804994295</c:v>
                </c:pt>
                <c:pt idx="42">
                  <c:v>274.36551974723062</c:v>
                </c:pt>
                <c:pt idx="43">
                  <c:v>286.35837196420749</c:v>
                </c:pt>
                <c:pt idx="44">
                  <c:v>298.33998870460442</c:v>
                </c:pt>
                <c:pt idx="45">
                  <c:v>310.31088495066086</c:v>
                </c:pt>
                <c:pt idx="46">
                  <c:v>285.98376820295522</c:v>
                </c:pt>
                <c:pt idx="47">
                  <c:v>297.21717518827558</c:v>
                </c:pt>
                <c:pt idx="48">
                  <c:v>308.44111949657554</c:v>
                </c:pt>
                <c:pt idx="49">
                  <c:v>319.65599415471291</c:v>
                </c:pt>
                <c:pt idx="50">
                  <c:v>330.86216234726913</c:v>
                </c:pt>
                <c:pt idx="51">
                  <c:v>306.94512587259828</c:v>
                </c:pt>
                <c:pt idx="52">
                  <c:v>316.66622670451306</c:v>
                </c:pt>
                <c:pt idx="53">
                  <c:v>326.38071774395229</c:v>
                </c:pt>
                <c:pt idx="54">
                  <c:v>336.08882358493901</c:v>
                </c:pt>
                <c:pt idx="55">
                  <c:v>345.79075477962851</c:v>
                </c:pt>
                <c:pt idx="56">
                  <c:v>323.39233379750681</c:v>
                </c:pt>
                <c:pt idx="57">
                  <c:v>332.72903457884451</c:v>
                </c:pt>
                <c:pt idx="58">
                  <c:v>342.05996063814399</c:v>
                </c:pt>
                <c:pt idx="59">
                  <c:v>351.38529181133845</c:v>
                </c:pt>
                <c:pt idx="60">
                  <c:v>360.70519760433905</c:v>
                </c:pt>
                <c:pt idx="61">
                  <c:v>339.07468141574077</c:v>
                </c:pt>
                <c:pt idx="62">
                  <c:v>347.28282429814129</c:v>
                </c:pt>
                <c:pt idx="63">
                  <c:v>355.4867090941064</c:v>
                </c:pt>
                <c:pt idx="64">
                  <c:v>363.68644800338274</c:v>
                </c:pt>
                <c:pt idx="65">
                  <c:v>371.88214774985954</c:v>
                </c:pt>
                <c:pt idx="66">
                  <c:v>351.75819111537254</c:v>
                </c:pt>
                <c:pt idx="67">
                  <c:v>359.58708999068585</c:v>
                </c:pt>
                <c:pt idx="68">
                  <c:v>367.41226056988808</c:v>
                </c:pt>
                <c:pt idx="69">
                  <c:v>375.23379351840316</c:v>
                </c:pt>
                <c:pt idx="70">
                  <c:v>383.05177541071203</c:v>
                </c:pt>
                <c:pt idx="71">
                  <c:v>363.31382101236346</c:v>
                </c:pt>
                <c:pt idx="72">
                  <c:v>369.64735159591163</c:v>
                </c:pt>
                <c:pt idx="73">
                  <c:v>375.97851488636002</c:v>
                </c:pt>
                <c:pt idx="74">
                  <c:v>382.30735640887292</c:v>
                </c:pt>
                <c:pt idx="75">
                  <c:v>388.63392005694874</c:v>
                </c:pt>
                <c:pt idx="76">
                  <c:v>372.25458524998072</c:v>
                </c:pt>
                <c:pt idx="77">
                  <c:v>378.2124864803136</c:v>
                </c:pt>
                <c:pt idx="78">
                  <c:v>384.16834495549637</c:v>
                </c:pt>
                <c:pt idx="79">
                  <c:v>390.12219684408677</c:v>
                </c:pt>
                <c:pt idx="80">
                  <c:v>396.07407711953459</c:v>
                </c:pt>
                <c:pt idx="81">
                  <c:v>380.81842375711989</c:v>
                </c:pt>
                <c:pt idx="82">
                  <c:v>386.02913755517028</c:v>
                </c:pt>
                <c:pt idx="83">
                  <c:v>391.23832354179837</c:v>
                </c:pt>
                <c:pt idx="84">
                  <c:v>396.4460049513109</c:v>
                </c:pt>
                <c:pt idx="85">
                  <c:v>401.65220435716361</c:v>
                </c:pt>
                <c:pt idx="86">
                  <c:v>388.26183154386268</c:v>
                </c:pt>
                <c:pt idx="87">
                  <c:v>393.47036990588708</c:v>
                </c:pt>
                <c:pt idx="88">
                  <c:v>398.67741344442726</c:v>
                </c:pt>
                <c:pt idx="89">
                  <c:v>403.88298445816571</c:v>
                </c:pt>
                <c:pt idx="90">
                  <c:v>409.08710462349336</c:v>
                </c:pt>
                <c:pt idx="91">
                  <c:v>395.7021417186665</c:v>
                </c:pt>
                <c:pt idx="92">
                  <c:v>400.9085514815776</c:v>
                </c:pt>
                <c:pt idx="93">
                  <c:v>406.11349808426439</c:v>
                </c:pt>
                <c:pt idx="94">
                  <c:v>411.31700294422802</c:v>
                </c:pt>
                <c:pt idx="95">
                  <c:v>416.51908689232147</c:v>
                </c:pt>
                <c:pt idx="96">
                  <c:v>401.65220435716384</c:v>
                </c:pt>
                <c:pt idx="97">
                  <c:v>407.22865549260922</c:v>
                </c:pt>
                <c:pt idx="98">
                  <c:v>412.80345673799087</c:v>
                </c:pt>
                <c:pt idx="99">
                  <c:v>418.37663353903253</c:v>
                </c:pt>
                <c:pt idx="100">
                  <c:v>423.9482106076091</c:v>
                </c:pt>
                <c:pt idx="101">
                  <c:v>403.5112063253232</c:v>
                </c:pt>
                <c:pt idx="102">
                  <c:v>403.5112063253232</c:v>
                </c:pt>
                <c:pt idx="103">
                  <c:v>403.5112063253232</c:v>
                </c:pt>
                <c:pt idx="104">
                  <c:v>403.5112063253232</c:v>
                </c:pt>
                <c:pt idx="105">
                  <c:v>403.5112063253232</c:v>
                </c:pt>
                <c:pt idx="106">
                  <c:v>403.5112063253232</c:v>
                </c:pt>
                <c:pt idx="107">
                  <c:v>403.5112063253232</c:v>
                </c:pt>
                <c:pt idx="108">
                  <c:v>403.5112063253232</c:v>
                </c:pt>
                <c:pt idx="109">
                  <c:v>403.5112063253232</c:v>
                </c:pt>
                <c:pt idx="110">
                  <c:v>403.5112063253232</c:v>
                </c:pt>
                <c:pt idx="111">
                  <c:v>403.5112063253232</c:v>
                </c:pt>
                <c:pt idx="112">
                  <c:v>403.5112063253232</c:v>
                </c:pt>
                <c:pt idx="113">
                  <c:v>403.5112063253232</c:v>
                </c:pt>
                <c:pt idx="114">
                  <c:v>403.5112063253232</c:v>
                </c:pt>
                <c:pt idx="115">
                  <c:v>403.5112063253232</c:v>
                </c:pt>
                <c:pt idx="116">
                  <c:v>403.5112063253232</c:v>
                </c:pt>
                <c:pt idx="117">
                  <c:v>403.5112063253232</c:v>
                </c:pt>
                <c:pt idx="118">
                  <c:v>403.5112063253232</c:v>
                </c:pt>
                <c:pt idx="119">
                  <c:v>403.5112063253232</c:v>
                </c:pt>
                <c:pt idx="120">
                  <c:v>403.5112063253232</c:v>
                </c:pt>
                <c:pt idx="121">
                  <c:v>403.5112063253232</c:v>
                </c:pt>
                <c:pt idx="122">
                  <c:v>403.5112063253232</c:v>
                </c:pt>
                <c:pt idx="123">
                  <c:v>403.5112063253232</c:v>
                </c:pt>
                <c:pt idx="124">
                  <c:v>403.5112063253232</c:v>
                </c:pt>
                <c:pt idx="125">
                  <c:v>403.5112063253232</c:v>
                </c:pt>
                <c:pt idx="126">
                  <c:v>403.5112063253232</c:v>
                </c:pt>
                <c:pt idx="127">
                  <c:v>403.5112063253232</c:v>
                </c:pt>
                <c:pt idx="128">
                  <c:v>403.5112063253232</c:v>
                </c:pt>
                <c:pt idx="129">
                  <c:v>403.5112063253232</c:v>
                </c:pt>
                <c:pt idx="130">
                  <c:v>403.5112063253232</c:v>
                </c:pt>
                <c:pt idx="131">
                  <c:v>403.5112063253232</c:v>
                </c:pt>
                <c:pt idx="132">
                  <c:v>403.5112063253232</c:v>
                </c:pt>
                <c:pt idx="133">
                  <c:v>403.5112063253232</c:v>
                </c:pt>
                <c:pt idx="134">
                  <c:v>403.5112063253232</c:v>
                </c:pt>
                <c:pt idx="135">
                  <c:v>403.5112063253232</c:v>
                </c:pt>
                <c:pt idx="136">
                  <c:v>403.5112063253232</c:v>
                </c:pt>
                <c:pt idx="137">
                  <c:v>403.5112063253232</c:v>
                </c:pt>
                <c:pt idx="138">
                  <c:v>403.5112063253232</c:v>
                </c:pt>
                <c:pt idx="139">
                  <c:v>403.5112063253232</c:v>
                </c:pt>
                <c:pt idx="140">
                  <c:v>403.5112063253232</c:v>
                </c:pt>
                <c:pt idx="141">
                  <c:v>403.5112063253232</c:v>
                </c:pt>
                <c:pt idx="142">
                  <c:v>403.5112063253232</c:v>
                </c:pt>
                <c:pt idx="143">
                  <c:v>403.5112063253232</c:v>
                </c:pt>
                <c:pt idx="144">
                  <c:v>403.5112063253232</c:v>
                </c:pt>
                <c:pt idx="145">
                  <c:v>403.5112063253232</c:v>
                </c:pt>
                <c:pt idx="146">
                  <c:v>403.5112063253232</c:v>
                </c:pt>
                <c:pt idx="147">
                  <c:v>403.5112063253232</c:v>
                </c:pt>
                <c:pt idx="148">
                  <c:v>403.5112063253232</c:v>
                </c:pt>
                <c:pt idx="149">
                  <c:v>403.5112063253232</c:v>
                </c:pt>
                <c:pt idx="150">
                  <c:v>403.5112063253232</c:v>
                </c:pt>
                <c:pt idx="151">
                  <c:v>403.5112063253232</c:v>
                </c:pt>
                <c:pt idx="152">
                  <c:v>403.5112063253232</c:v>
                </c:pt>
                <c:pt idx="153">
                  <c:v>403.5112063253232</c:v>
                </c:pt>
                <c:pt idx="154">
                  <c:v>403.5112063253232</c:v>
                </c:pt>
                <c:pt idx="155">
                  <c:v>403.5112063253232</c:v>
                </c:pt>
                <c:pt idx="156">
                  <c:v>403.5112063253232</c:v>
                </c:pt>
                <c:pt idx="157">
                  <c:v>403.5112063253232</c:v>
                </c:pt>
                <c:pt idx="158">
                  <c:v>403.5112063253232</c:v>
                </c:pt>
                <c:pt idx="159">
                  <c:v>403.5112063253232</c:v>
                </c:pt>
                <c:pt idx="160">
                  <c:v>403.5112063253232</c:v>
                </c:pt>
                <c:pt idx="161">
                  <c:v>403.5112063253232</c:v>
                </c:pt>
                <c:pt idx="162">
                  <c:v>403.5112063253232</c:v>
                </c:pt>
                <c:pt idx="163">
                  <c:v>403.5112063253232</c:v>
                </c:pt>
                <c:pt idx="164">
                  <c:v>403.5112063253232</c:v>
                </c:pt>
                <c:pt idx="165">
                  <c:v>403.5112063253232</c:v>
                </c:pt>
                <c:pt idx="166">
                  <c:v>403.5112063253232</c:v>
                </c:pt>
                <c:pt idx="167">
                  <c:v>403.5112063253232</c:v>
                </c:pt>
                <c:pt idx="168">
                  <c:v>403.5112063253232</c:v>
                </c:pt>
                <c:pt idx="169">
                  <c:v>403.5112063253232</c:v>
                </c:pt>
                <c:pt idx="170">
                  <c:v>403.5112063253232</c:v>
                </c:pt>
                <c:pt idx="171">
                  <c:v>403.5112063253232</c:v>
                </c:pt>
                <c:pt idx="172">
                  <c:v>403.5112063253232</c:v>
                </c:pt>
                <c:pt idx="173">
                  <c:v>403.5112063253232</c:v>
                </c:pt>
                <c:pt idx="174">
                  <c:v>403.5112063253232</c:v>
                </c:pt>
                <c:pt idx="175">
                  <c:v>403.5112063253232</c:v>
                </c:pt>
                <c:pt idx="176">
                  <c:v>403.5112063253232</c:v>
                </c:pt>
                <c:pt idx="177">
                  <c:v>403.5112063253232</c:v>
                </c:pt>
                <c:pt idx="178">
                  <c:v>403.5112063253232</c:v>
                </c:pt>
                <c:pt idx="179">
                  <c:v>403.5112063253232</c:v>
                </c:pt>
                <c:pt idx="180">
                  <c:v>403.5112063253232</c:v>
                </c:pt>
                <c:pt idx="181">
                  <c:v>403.5112063253232</c:v>
                </c:pt>
                <c:pt idx="182">
                  <c:v>403.5112063253232</c:v>
                </c:pt>
                <c:pt idx="183">
                  <c:v>403.5112063253232</c:v>
                </c:pt>
                <c:pt idx="184">
                  <c:v>403.5112063253232</c:v>
                </c:pt>
                <c:pt idx="185">
                  <c:v>403.5112063253232</c:v>
                </c:pt>
                <c:pt idx="186">
                  <c:v>403.5112063253232</c:v>
                </c:pt>
                <c:pt idx="187">
                  <c:v>403.5112063253232</c:v>
                </c:pt>
                <c:pt idx="188">
                  <c:v>403.5112063253232</c:v>
                </c:pt>
                <c:pt idx="189">
                  <c:v>403.5112063253232</c:v>
                </c:pt>
                <c:pt idx="190">
                  <c:v>403.5112063253232</c:v>
                </c:pt>
                <c:pt idx="191">
                  <c:v>403.5112063253232</c:v>
                </c:pt>
                <c:pt idx="192">
                  <c:v>403.5112063253232</c:v>
                </c:pt>
                <c:pt idx="193">
                  <c:v>403.5112063253232</c:v>
                </c:pt>
                <c:pt idx="194">
                  <c:v>403.5112063253232</c:v>
                </c:pt>
                <c:pt idx="195">
                  <c:v>403.5112063253232</c:v>
                </c:pt>
                <c:pt idx="196">
                  <c:v>403.5112063253232</c:v>
                </c:pt>
                <c:pt idx="197">
                  <c:v>403.5112063253232</c:v>
                </c:pt>
                <c:pt idx="198">
                  <c:v>403.5112063253232</c:v>
                </c:pt>
                <c:pt idx="199">
                  <c:v>403.5112063253232</c:v>
                </c:pt>
                <c:pt idx="200">
                  <c:v>403.5112063253232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35" zoomScaleNormal="100" workbookViewId="0">
      <selection activeCell="B78" sqref="B78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71" t="s">
        <v>190</v>
      </c>
      <c r="D1" s="271"/>
      <c r="E1" s="27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7" t="s">
        <v>231</v>
      </c>
      <c r="B5" s="277"/>
      <c r="C5" s="24">
        <v>10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3" t="s">
        <v>12</v>
      </c>
      <c r="C9" s="264">
        <v>8.3333333329999995E-2</v>
      </c>
      <c r="D9" s="33">
        <f t="shared" ref="D9:D18" si="0">C9*$C$5</f>
        <v>0.83333333329999992</v>
      </c>
      <c r="E9" s="265">
        <v>183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3" t="s">
        <v>14</v>
      </c>
      <c r="C10" s="264">
        <v>8.3333333329999995E-2</v>
      </c>
      <c r="D10" s="33">
        <f t="shared" si="0"/>
        <v>0.83333333329999992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324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3" t="s">
        <v>13</v>
      </c>
      <c r="C11" s="264">
        <v>8.3333333329999995E-2</v>
      </c>
      <c r="D11" s="33">
        <f t="shared" si="0"/>
        <v>0.83333333329999992</v>
      </c>
      <c r="E11" s="265">
        <v>100</v>
      </c>
      <c r="F11" s="35" t="str">
        <f t="array" ref="F11">IF(E11="","",IF(INDEX(A:A,MAX(IF(ISNUMBER($A$88:$A$107),ROW($A$88:$A$107),"")))&lt;&gt;E11,"Corrigez : révolution incorrecte","OK"))</f>
        <v>OK</v>
      </c>
      <c r="G11" s="23" t="s">
        <v>324</v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3" t="s">
        <v>36</v>
      </c>
      <c r="C12" s="264">
        <v>0.75</v>
      </c>
      <c r="D12" s="33">
        <f t="shared" si="0"/>
        <v>7.5</v>
      </c>
      <c r="E12" s="265">
        <v>30</v>
      </c>
      <c r="F12" s="35" t="str">
        <f t="array" ref="F12">IF(E12="","",IF(INDEX(A:A,MAX(IF(ISNUMBER($A$114:$A$133),ROW($A$114:$A$133),"")))&lt;&gt;E12,"Corrigez : révolution incorrecte","OK"))</f>
        <v>OK</v>
      </c>
      <c r="G12" s="23" t="s">
        <v>324</v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0.99999999999</v>
      </c>
      <c r="D19" s="38">
        <f>SUM(D9:D18)</f>
        <v>9.9999999999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Chêne pubescent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67" t="s">
        <v>186</v>
      </c>
      <c r="D34" s="267"/>
      <c r="E34" s="268" t="s">
        <v>187</v>
      </c>
      <c r="F34" s="269"/>
      <c r="G34" s="269"/>
      <c r="H34" s="270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59">
        <v>30</v>
      </c>
      <c r="B36" s="259">
        <v>75.346153849999993</v>
      </c>
      <c r="C36" s="259"/>
      <c r="D36" s="259"/>
      <c r="E36" s="260"/>
      <c r="F36" s="260"/>
      <c r="G36" s="260"/>
      <c r="H36" s="260"/>
      <c r="I36" s="49">
        <f>IFERROR(B36/A36,"")</f>
        <v>2.5115384616666665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59">
        <v>42</v>
      </c>
      <c r="B37" s="259">
        <v>171.96</v>
      </c>
      <c r="C37" s="259">
        <v>1</v>
      </c>
      <c r="D37" s="259">
        <v>43.21</v>
      </c>
      <c r="E37" s="260">
        <v>1</v>
      </c>
      <c r="F37" s="260"/>
      <c r="G37" s="260"/>
      <c r="H37" s="260"/>
      <c r="I37" s="53">
        <f t="shared" ref="I37:I55" si="1">IF(A37&lt;&gt;0,(B37-(B36-D36))/(A37-A36),"")</f>
        <v>8.0511538458333352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59">
        <v>50</v>
      </c>
      <c r="B38" s="259">
        <v>208.33</v>
      </c>
      <c r="C38" s="259">
        <v>2</v>
      </c>
      <c r="D38" s="259">
        <v>35.58</v>
      </c>
      <c r="E38" s="260">
        <v>1</v>
      </c>
      <c r="F38" s="260"/>
      <c r="G38" s="260"/>
      <c r="H38" s="260"/>
      <c r="I38" s="53">
        <f t="shared" si="1"/>
        <v>9.9475000000000016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59">
        <v>58</v>
      </c>
      <c r="B39" s="259">
        <v>253.7</v>
      </c>
      <c r="C39" s="259">
        <v>3</v>
      </c>
      <c r="D39" s="259">
        <v>44.93</v>
      </c>
      <c r="E39" s="260">
        <v>1</v>
      </c>
      <c r="F39" s="260"/>
      <c r="G39" s="260"/>
      <c r="H39" s="260"/>
      <c r="I39" s="49">
        <f t="shared" si="1"/>
        <v>10.118749999999999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59">
        <v>66</v>
      </c>
      <c r="B40" s="259">
        <v>286.77</v>
      </c>
      <c r="C40" s="259">
        <v>4</v>
      </c>
      <c r="D40" s="259">
        <v>49.91</v>
      </c>
      <c r="E40" s="260">
        <v>1</v>
      </c>
      <c r="F40" s="260"/>
      <c r="G40" s="260"/>
      <c r="H40" s="260"/>
      <c r="I40" s="49">
        <f t="shared" si="1"/>
        <v>9.75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59">
        <v>74</v>
      </c>
      <c r="B41" s="259">
        <v>310.95999999999998</v>
      </c>
      <c r="C41" s="259">
        <v>5</v>
      </c>
      <c r="D41" s="259">
        <v>47.4</v>
      </c>
      <c r="E41" s="260">
        <v>1</v>
      </c>
      <c r="F41" s="260"/>
      <c r="G41" s="260"/>
      <c r="H41" s="260"/>
      <c r="I41" s="53">
        <f t="shared" si="1"/>
        <v>9.2624999999999993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59">
        <v>84</v>
      </c>
      <c r="B42" s="259">
        <v>355.09</v>
      </c>
      <c r="C42" s="259">
        <v>6</v>
      </c>
      <c r="D42" s="259">
        <v>61.47</v>
      </c>
      <c r="E42" s="260">
        <v>1</v>
      </c>
      <c r="F42" s="260"/>
      <c r="G42" s="260"/>
      <c r="H42" s="260"/>
      <c r="I42" s="53">
        <f t="shared" si="1"/>
        <v>9.1529999999999969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59">
        <v>94</v>
      </c>
      <c r="B43" s="259">
        <v>380.13</v>
      </c>
      <c r="C43" s="259">
        <v>7</v>
      </c>
      <c r="D43" s="259">
        <v>61.85</v>
      </c>
      <c r="E43" s="260">
        <v>1</v>
      </c>
      <c r="F43" s="260"/>
      <c r="G43" s="260"/>
      <c r="H43" s="260"/>
      <c r="I43" s="49">
        <f t="shared" si="1"/>
        <v>8.6509999999999998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59">
        <v>104</v>
      </c>
      <c r="B44" s="259">
        <v>402.2</v>
      </c>
      <c r="C44" s="259">
        <v>8</v>
      </c>
      <c r="D44" s="259">
        <v>60.19</v>
      </c>
      <c r="E44" s="260">
        <v>1</v>
      </c>
      <c r="F44" s="260"/>
      <c r="G44" s="260"/>
      <c r="H44" s="260"/>
      <c r="I44" s="49">
        <f t="shared" si="1"/>
        <v>8.3920000000000012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59">
        <v>114</v>
      </c>
      <c r="B45" s="261">
        <v>424.56</v>
      </c>
      <c r="C45" s="259">
        <v>9</v>
      </c>
      <c r="D45" s="261">
        <v>56.07</v>
      </c>
      <c r="E45" s="260">
        <v>1</v>
      </c>
      <c r="F45" s="260"/>
      <c r="G45" s="260"/>
      <c r="H45" s="260"/>
      <c r="I45" s="49">
        <f t="shared" si="1"/>
        <v>8.2550000000000008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59">
        <v>124</v>
      </c>
      <c r="B46" s="262">
        <v>451.86</v>
      </c>
      <c r="C46" s="259">
        <v>10</v>
      </c>
      <c r="D46" s="262">
        <v>52.53</v>
      </c>
      <c r="E46" s="260">
        <v>1</v>
      </c>
      <c r="F46" s="260"/>
      <c r="G46" s="260"/>
      <c r="H46" s="260"/>
      <c r="I46" s="49">
        <f t="shared" si="1"/>
        <v>8.3369999999999997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59">
        <v>134</v>
      </c>
      <c r="B47" s="261">
        <v>484.28</v>
      </c>
      <c r="C47" s="259">
        <v>11</v>
      </c>
      <c r="D47" s="261">
        <v>54.95</v>
      </c>
      <c r="E47" s="260">
        <v>1</v>
      </c>
      <c r="F47" s="260"/>
      <c r="G47" s="260"/>
      <c r="H47" s="260"/>
      <c r="I47" s="49">
        <f t="shared" si="1"/>
        <v>8.4949999999999939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59">
        <v>144</v>
      </c>
      <c r="B48" s="261">
        <v>514.94000000000005</v>
      </c>
      <c r="C48" s="259">
        <v>12</v>
      </c>
      <c r="D48" s="261">
        <v>56.01</v>
      </c>
      <c r="E48" s="260">
        <v>1</v>
      </c>
      <c r="F48" s="260"/>
      <c r="G48" s="260"/>
      <c r="H48" s="260"/>
      <c r="I48" s="49">
        <f t="shared" si="1"/>
        <v>8.561000000000007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59">
        <v>154</v>
      </c>
      <c r="B49" s="261">
        <v>546.49</v>
      </c>
      <c r="C49" s="259">
        <v>13</v>
      </c>
      <c r="D49" s="261">
        <v>55.13</v>
      </c>
      <c r="E49" s="260">
        <v>1</v>
      </c>
      <c r="F49" s="260"/>
      <c r="G49" s="260"/>
      <c r="H49" s="260"/>
      <c r="I49" s="49">
        <f t="shared" si="1"/>
        <v>8.7559999999999949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1">
        <v>164</v>
      </c>
      <c r="B50" s="261">
        <v>580.32000000000005</v>
      </c>
      <c r="C50" s="261">
        <v>14</v>
      </c>
      <c r="D50" s="261">
        <v>59.58</v>
      </c>
      <c r="E50" s="260">
        <v>1</v>
      </c>
      <c r="F50" s="260"/>
      <c r="G50" s="260"/>
      <c r="H50" s="260"/>
      <c r="I50" s="49">
        <f t="shared" si="1"/>
        <v>8.8960000000000043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1">
        <v>174</v>
      </c>
      <c r="B51" s="261">
        <v>610.52</v>
      </c>
      <c r="C51" s="261">
        <v>15</v>
      </c>
      <c r="D51" s="261">
        <v>214.77</v>
      </c>
      <c r="E51" s="260">
        <v>1</v>
      </c>
      <c r="F51" s="260"/>
      <c r="G51" s="260"/>
      <c r="H51" s="260"/>
      <c r="I51" s="49">
        <f t="shared" si="1"/>
        <v>8.977999999999998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1">
        <v>177</v>
      </c>
      <c r="B52" s="261">
        <v>388.94</v>
      </c>
      <c r="C52" s="261">
        <v>16</v>
      </c>
      <c r="D52" s="261">
        <v>115.19</v>
      </c>
      <c r="E52" s="260">
        <v>1</v>
      </c>
      <c r="F52" s="260"/>
      <c r="G52" s="260"/>
      <c r="H52" s="260"/>
      <c r="I52" s="49">
        <f t="shared" si="1"/>
        <v>-2.2700000000000009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1">
        <v>180</v>
      </c>
      <c r="B53" s="261">
        <v>271.56</v>
      </c>
      <c r="C53" s="261">
        <v>17</v>
      </c>
      <c r="D53" s="261">
        <v>77.72</v>
      </c>
      <c r="E53" s="260">
        <v>1</v>
      </c>
      <c r="F53" s="260"/>
      <c r="G53" s="260"/>
      <c r="H53" s="260"/>
      <c r="I53" s="49">
        <f t="shared" si="1"/>
        <v>-0.72999999999999921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1">
        <v>183</v>
      </c>
      <c r="B54" s="261">
        <v>191.47</v>
      </c>
      <c r="C54" s="261">
        <v>18</v>
      </c>
      <c r="D54" s="261">
        <v>169.76</v>
      </c>
      <c r="E54" s="260">
        <v>1</v>
      </c>
      <c r="F54" s="260"/>
      <c r="G54" s="260"/>
      <c r="H54" s="260"/>
      <c r="I54" s="49">
        <f t="shared" si="1"/>
        <v>-0.79000000000000148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1"/>
      <c r="B55" s="261"/>
      <c r="C55" s="261"/>
      <c r="D55" s="261"/>
      <c r="E55" s="260"/>
      <c r="F55" s="260"/>
      <c r="G55" s="260"/>
      <c r="H55" s="260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Chêne sessile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67" t="s">
        <v>186</v>
      </c>
      <c r="D60" s="267"/>
      <c r="E60" s="268" t="s">
        <v>187</v>
      </c>
      <c r="F60" s="269"/>
      <c r="G60" s="269"/>
      <c r="H60" s="270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261">
        <v>30</v>
      </c>
      <c r="B62" s="261">
        <v>75.346153849999993</v>
      </c>
      <c r="C62" s="261"/>
      <c r="D62" s="261"/>
      <c r="E62" s="260"/>
      <c r="F62" s="260"/>
      <c r="G62" s="260"/>
      <c r="H62" s="260"/>
      <c r="I62" s="53">
        <f>IFERROR(B62/A62,"")</f>
        <v>2.5115384616666665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8.0511538458333352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Chêne rouge d'Amérique</v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67" t="s">
        <v>186</v>
      </c>
      <c r="D86" s="267"/>
      <c r="E86" s="268" t="s">
        <v>187</v>
      </c>
      <c r="F86" s="269"/>
      <c r="G86" s="269"/>
      <c r="H86" s="270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1">
        <v>10</v>
      </c>
      <c r="B88" s="261">
        <v>18</v>
      </c>
      <c r="C88" s="261"/>
      <c r="D88" s="261">
        <v>0</v>
      </c>
      <c r="E88" s="260"/>
      <c r="F88" s="260"/>
      <c r="G88" s="260"/>
      <c r="H88" s="260"/>
      <c r="I88" s="53">
        <f>IFERROR(B88/A88,"")</f>
        <v>1.8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1">
        <v>15</v>
      </c>
      <c r="B89" s="261">
        <v>47</v>
      </c>
      <c r="C89" s="261"/>
      <c r="D89" s="261">
        <v>0</v>
      </c>
      <c r="E89" s="260"/>
      <c r="F89" s="260"/>
      <c r="G89" s="260"/>
      <c r="H89" s="260"/>
      <c r="I89" s="53">
        <f t="shared" ref="I89:I107" si="3">IF(A89&lt;&gt;0,(B89-(B88-D88))/(A89-A88),"")</f>
        <v>5.8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1">
        <v>20</v>
      </c>
      <c r="B90" s="261">
        <v>87</v>
      </c>
      <c r="C90" s="261">
        <v>1</v>
      </c>
      <c r="D90" s="261">
        <v>29</v>
      </c>
      <c r="E90" s="260"/>
      <c r="F90" s="260"/>
      <c r="G90" s="260"/>
      <c r="H90" s="260">
        <v>1</v>
      </c>
      <c r="I90" s="53">
        <f t="shared" si="3"/>
        <v>8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1">
        <v>25</v>
      </c>
      <c r="B91" s="261">
        <v>98</v>
      </c>
      <c r="C91" s="261">
        <v>2</v>
      </c>
      <c r="D91" s="261">
        <v>19</v>
      </c>
      <c r="E91" s="260"/>
      <c r="F91" s="260"/>
      <c r="G91" s="260"/>
      <c r="H91" s="260">
        <v>1</v>
      </c>
      <c r="I91" s="53">
        <f t="shared" si="3"/>
        <v>8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1">
        <v>30</v>
      </c>
      <c r="B92" s="261">
        <v>119</v>
      </c>
      <c r="C92" s="261">
        <v>3</v>
      </c>
      <c r="D92" s="261">
        <v>20</v>
      </c>
      <c r="E92" s="260"/>
      <c r="F92" s="260"/>
      <c r="G92" s="260"/>
      <c r="H92" s="260">
        <v>1</v>
      </c>
      <c r="I92" s="53">
        <f t="shared" si="3"/>
        <v>8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1">
        <v>35</v>
      </c>
      <c r="B93" s="261">
        <v>135</v>
      </c>
      <c r="C93" s="261">
        <v>4</v>
      </c>
      <c r="D93" s="261">
        <v>20</v>
      </c>
      <c r="E93" s="260">
        <v>1</v>
      </c>
      <c r="F93" s="260"/>
      <c r="G93" s="260"/>
      <c r="H93" s="260"/>
      <c r="I93" s="53">
        <f t="shared" si="3"/>
        <v>7.2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1">
        <v>40</v>
      </c>
      <c r="B94" s="261">
        <v>150</v>
      </c>
      <c r="C94" s="261">
        <v>5</v>
      </c>
      <c r="D94" s="261">
        <v>20</v>
      </c>
      <c r="E94" s="260">
        <v>1</v>
      </c>
      <c r="F94" s="260"/>
      <c r="G94" s="260"/>
      <c r="H94" s="260"/>
      <c r="I94" s="53">
        <f t="shared" si="3"/>
        <v>7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1">
        <v>45</v>
      </c>
      <c r="B95" s="261">
        <v>162</v>
      </c>
      <c r="C95" s="261">
        <v>6</v>
      </c>
      <c r="D95" s="261">
        <v>19</v>
      </c>
      <c r="E95" s="260">
        <v>1</v>
      </c>
      <c r="F95" s="260"/>
      <c r="G95" s="260"/>
      <c r="H95" s="260"/>
      <c r="I95" s="53">
        <f t="shared" si="3"/>
        <v>6.4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1">
        <v>50</v>
      </c>
      <c r="B96" s="261">
        <v>173</v>
      </c>
      <c r="C96" s="261">
        <v>7</v>
      </c>
      <c r="D96" s="261">
        <v>18</v>
      </c>
      <c r="E96" s="260">
        <v>1</v>
      </c>
      <c r="F96" s="260"/>
      <c r="G96" s="260"/>
      <c r="H96" s="260"/>
      <c r="I96" s="53">
        <f t="shared" si="3"/>
        <v>6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1">
        <v>55</v>
      </c>
      <c r="B97" s="261">
        <v>181</v>
      </c>
      <c r="C97" s="261">
        <v>8</v>
      </c>
      <c r="D97" s="261">
        <v>17</v>
      </c>
      <c r="E97" s="260">
        <v>1</v>
      </c>
      <c r="F97" s="260"/>
      <c r="G97" s="260"/>
      <c r="H97" s="260"/>
      <c r="I97" s="53">
        <f t="shared" si="3"/>
        <v>5.2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1">
        <v>60</v>
      </c>
      <c r="B98" s="261">
        <v>189</v>
      </c>
      <c r="C98" s="261">
        <v>9</v>
      </c>
      <c r="D98" s="261">
        <v>16</v>
      </c>
      <c r="E98" s="260">
        <v>1</v>
      </c>
      <c r="F98" s="260"/>
      <c r="G98" s="260"/>
      <c r="H98" s="260"/>
      <c r="I98" s="53">
        <f t="shared" si="3"/>
        <v>5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1">
        <v>65</v>
      </c>
      <c r="B99" s="261">
        <v>195</v>
      </c>
      <c r="C99" s="261">
        <v>10</v>
      </c>
      <c r="D99" s="261">
        <v>15</v>
      </c>
      <c r="E99" s="260">
        <v>1</v>
      </c>
      <c r="F99" s="260"/>
      <c r="G99" s="260"/>
      <c r="H99" s="260"/>
      <c r="I99" s="53">
        <f t="shared" si="3"/>
        <v>4.4000000000000004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1">
        <v>70</v>
      </c>
      <c r="B100" s="261">
        <v>201</v>
      </c>
      <c r="C100" s="261">
        <v>11</v>
      </c>
      <c r="D100" s="261">
        <v>14</v>
      </c>
      <c r="E100" s="260">
        <v>1</v>
      </c>
      <c r="F100" s="260"/>
      <c r="G100" s="260"/>
      <c r="H100" s="260"/>
      <c r="I100" s="53">
        <f t="shared" si="3"/>
        <v>4.2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1">
        <v>75</v>
      </c>
      <c r="B101" s="261">
        <v>204</v>
      </c>
      <c r="C101" s="261">
        <v>12</v>
      </c>
      <c r="D101" s="261">
        <v>12</v>
      </c>
      <c r="E101" s="260">
        <v>1</v>
      </c>
      <c r="F101" s="260"/>
      <c r="G101" s="260"/>
      <c r="H101" s="260"/>
      <c r="I101" s="53">
        <f t="shared" si="3"/>
        <v>3.4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1">
        <v>80</v>
      </c>
      <c r="B102" s="261">
        <v>208</v>
      </c>
      <c r="C102" s="261">
        <v>13</v>
      </c>
      <c r="D102" s="261">
        <v>11</v>
      </c>
      <c r="E102" s="260">
        <v>1</v>
      </c>
      <c r="F102" s="260"/>
      <c r="G102" s="260"/>
      <c r="H102" s="260"/>
      <c r="I102" s="53">
        <f t="shared" si="3"/>
        <v>3.2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>
        <v>85</v>
      </c>
      <c r="B103" s="257">
        <v>211</v>
      </c>
      <c r="C103" s="256">
        <v>14</v>
      </c>
      <c r="D103" s="256">
        <v>10</v>
      </c>
      <c r="E103" s="255">
        <v>1</v>
      </c>
      <c r="F103" s="255"/>
      <c r="G103" s="255"/>
      <c r="H103" s="255"/>
      <c r="I103" s="53">
        <f t="shared" si="3"/>
        <v>2.8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>
        <v>90</v>
      </c>
      <c r="B104" s="257">
        <v>215</v>
      </c>
      <c r="C104" s="256">
        <v>15</v>
      </c>
      <c r="D104" s="256">
        <v>10</v>
      </c>
      <c r="E104" s="255">
        <v>1</v>
      </c>
      <c r="F104" s="255"/>
      <c r="G104" s="255"/>
      <c r="H104" s="255"/>
      <c r="I104" s="53">
        <f t="shared" si="3"/>
        <v>2.8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>
        <v>95</v>
      </c>
      <c r="B105" s="257">
        <v>219</v>
      </c>
      <c r="C105" s="256">
        <v>16</v>
      </c>
      <c r="D105" s="256">
        <v>11</v>
      </c>
      <c r="E105" s="255">
        <v>1</v>
      </c>
      <c r="F105" s="255"/>
      <c r="G105" s="255"/>
      <c r="H105" s="255"/>
      <c r="I105" s="53">
        <f t="shared" si="3"/>
        <v>2.8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>
        <v>100</v>
      </c>
      <c r="B106" s="257">
        <v>223</v>
      </c>
      <c r="C106" s="256">
        <v>17</v>
      </c>
      <c r="D106" s="256">
        <v>11</v>
      </c>
      <c r="E106" s="255">
        <v>1</v>
      </c>
      <c r="F106" s="255"/>
      <c r="G106" s="255"/>
      <c r="H106" s="255"/>
      <c r="I106" s="53">
        <f t="shared" si="3"/>
        <v>3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>Pin maritime</v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67" t="s">
        <v>186</v>
      </c>
      <c r="D112" s="267"/>
      <c r="E112" s="268" t="s">
        <v>187</v>
      </c>
      <c r="F112" s="269"/>
      <c r="G112" s="269"/>
      <c r="H112" s="270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1">
        <v>11</v>
      </c>
      <c r="B114" s="261">
        <v>83</v>
      </c>
      <c r="C114" s="261"/>
      <c r="D114" s="261"/>
      <c r="E114" s="260"/>
      <c r="F114" s="260"/>
      <c r="G114" s="260"/>
      <c r="H114" s="260"/>
      <c r="I114" s="53">
        <f>IFERROR(B114/A114,"")</f>
        <v>7.5454545454545459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1">
        <v>12</v>
      </c>
      <c r="B115" s="261">
        <v>106</v>
      </c>
      <c r="C115" s="261">
        <v>1</v>
      </c>
      <c r="D115" s="261">
        <v>34</v>
      </c>
      <c r="E115" s="260"/>
      <c r="F115" s="260"/>
      <c r="G115" s="260">
        <v>1</v>
      </c>
      <c r="H115" s="260"/>
      <c r="I115" s="53">
        <f t="shared" ref="I115:I133" si="4">IF(A115&lt;&gt;0,(B115-(B114-D114))/(A115-A114),"")</f>
        <v>23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1">
        <v>13</v>
      </c>
      <c r="B116" s="261">
        <v>89</v>
      </c>
      <c r="C116" s="261"/>
      <c r="D116" s="261"/>
      <c r="E116" s="260"/>
      <c r="F116" s="260"/>
      <c r="G116" s="260"/>
      <c r="H116" s="260"/>
      <c r="I116" s="53">
        <f t="shared" si="4"/>
        <v>17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1">
        <v>14</v>
      </c>
      <c r="B117" s="261">
        <v>110</v>
      </c>
      <c r="C117" s="261"/>
      <c r="D117" s="261"/>
      <c r="E117" s="260"/>
      <c r="F117" s="260"/>
      <c r="G117" s="260"/>
      <c r="H117" s="260"/>
      <c r="I117" s="53">
        <f t="shared" si="4"/>
        <v>21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1">
        <v>15</v>
      </c>
      <c r="B118" s="261">
        <v>131</v>
      </c>
      <c r="C118" s="261"/>
      <c r="D118" s="261"/>
      <c r="E118" s="260"/>
      <c r="F118" s="260"/>
      <c r="G118" s="260"/>
      <c r="H118" s="260"/>
      <c r="I118" s="53">
        <f t="shared" si="4"/>
        <v>21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1">
        <v>16</v>
      </c>
      <c r="B119" s="261">
        <v>153</v>
      </c>
      <c r="C119" s="261"/>
      <c r="D119" s="261"/>
      <c r="E119" s="260"/>
      <c r="F119" s="260"/>
      <c r="G119" s="260"/>
      <c r="H119" s="260"/>
      <c r="I119" s="53">
        <f t="shared" si="4"/>
        <v>22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1">
        <v>17</v>
      </c>
      <c r="B120" s="261">
        <v>176</v>
      </c>
      <c r="C120" s="261">
        <v>2</v>
      </c>
      <c r="D120" s="261">
        <v>43</v>
      </c>
      <c r="E120" s="260">
        <v>0.25</v>
      </c>
      <c r="F120" s="260">
        <v>0.75</v>
      </c>
      <c r="G120" s="260"/>
      <c r="H120" s="260"/>
      <c r="I120" s="53">
        <f t="shared" si="4"/>
        <v>23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1">
        <v>18</v>
      </c>
      <c r="B121" s="261">
        <v>151</v>
      </c>
      <c r="C121" s="261"/>
      <c r="D121" s="261"/>
      <c r="E121" s="260"/>
      <c r="F121" s="260"/>
      <c r="G121" s="260"/>
      <c r="H121" s="260"/>
      <c r="I121" s="53">
        <f t="shared" si="4"/>
        <v>18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1">
        <v>19</v>
      </c>
      <c r="B122" s="261">
        <v>171</v>
      </c>
      <c r="C122" s="261"/>
      <c r="D122" s="261"/>
      <c r="E122" s="260"/>
      <c r="F122" s="260"/>
      <c r="G122" s="260"/>
      <c r="H122" s="260"/>
      <c r="I122" s="53">
        <f t="shared" si="4"/>
        <v>20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1">
        <v>20</v>
      </c>
      <c r="B123" s="261">
        <v>192</v>
      </c>
      <c r="C123" s="261"/>
      <c r="D123" s="261"/>
      <c r="E123" s="260"/>
      <c r="F123" s="260"/>
      <c r="G123" s="260"/>
      <c r="H123" s="260"/>
      <c r="I123" s="53">
        <f t="shared" si="4"/>
        <v>21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1">
        <v>21</v>
      </c>
      <c r="B124" s="261">
        <v>212</v>
      </c>
      <c r="C124" s="261"/>
      <c r="D124" s="261"/>
      <c r="E124" s="260"/>
      <c r="F124" s="260"/>
      <c r="G124" s="260"/>
      <c r="H124" s="260"/>
      <c r="I124" s="53">
        <f t="shared" si="4"/>
        <v>20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1">
        <v>22</v>
      </c>
      <c r="B125" s="261">
        <v>232</v>
      </c>
      <c r="C125" s="261">
        <v>3</v>
      </c>
      <c r="D125" s="261">
        <v>56</v>
      </c>
      <c r="E125" s="260">
        <v>0.6</v>
      </c>
      <c r="F125" s="260">
        <v>0.4</v>
      </c>
      <c r="G125" s="260"/>
      <c r="H125" s="260"/>
      <c r="I125" s="53">
        <f t="shared" si="4"/>
        <v>20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1">
        <v>23</v>
      </c>
      <c r="B126" s="261">
        <v>192</v>
      </c>
      <c r="C126" s="261"/>
      <c r="D126" s="261"/>
      <c r="E126" s="260"/>
      <c r="F126" s="260"/>
      <c r="G126" s="260"/>
      <c r="H126" s="260"/>
      <c r="I126" s="53">
        <f t="shared" si="4"/>
        <v>16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1">
        <v>24</v>
      </c>
      <c r="B127" s="261">
        <v>209</v>
      </c>
      <c r="C127" s="261"/>
      <c r="D127" s="261"/>
      <c r="E127" s="260"/>
      <c r="F127" s="260"/>
      <c r="G127" s="260"/>
      <c r="H127" s="260"/>
      <c r="I127" s="53">
        <f t="shared" si="4"/>
        <v>17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1">
        <v>25</v>
      </c>
      <c r="B128" s="261">
        <v>226</v>
      </c>
      <c r="C128" s="261"/>
      <c r="D128" s="261"/>
      <c r="E128" s="260"/>
      <c r="F128" s="260"/>
      <c r="G128" s="260"/>
      <c r="H128" s="260"/>
      <c r="I128" s="53">
        <f t="shared" si="4"/>
        <v>17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1">
        <v>26</v>
      </c>
      <c r="B129" s="261">
        <v>244</v>
      </c>
      <c r="C129" s="261"/>
      <c r="D129" s="261"/>
      <c r="E129" s="260"/>
      <c r="F129" s="260"/>
      <c r="G129" s="260"/>
      <c r="H129" s="260"/>
      <c r="I129" s="53">
        <f t="shared" si="4"/>
        <v>18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1">
        <v>27</v>
      </c>
      <c r="B130" s="261">
        <v>261</v>
      </c>
      <c r="C130" s="261"/>
      <c r="D130" s="261"/>
      <c r="E130" s="260"/>
      <c r="F130" s="260"/>
      <c r="G130" s="260"/>
      <c r="H130" s="260"/>
      <c r="I130" s="53">
        <f t="shared" si="4"/>
        <v>17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1">
        <v>28</v>
      </c>
      <c r="B131" s="261">
        <v>277</v>
      </c>
      <c r="C131" s="261"/>
      <c r="D131" s="261"/>
      <c r="E131" s="260"/>
      <c r="F131" s="260"/>
      <c r="G131" s="260"/>
      <c r="H131" s="260"/>
      <c r="I131" s="53">
        <f t="shared" si="4"/>
        <v>16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1">
        <v>29</v>
      </c>
      <c r="B132" s="261">
        <v>293</v>
      </c>
      <c r="C132" s="261"/>
      <c r="D132" s="261"/>
      <c r="E132" s="260"/>
      <c r="F132" s="260"/>
      <c r="G132" s="260"/>
      <c r="H132" s="260"/>
      <c r="I132" s="53">
        <f t="shared" si="4"/>
        <v>16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1">
        <v>30</v>
      </c>
      <c r="B133" s="261">
        <v>309</v>
      </c>
      <c r="C133" s="261">
        <v>4</v>
      </c>
      <c r="D133" s="261">
        <v>309</v>
      </c>
      <c r="E133" s="260">
        <v>1</v>
      </c>
      <c r="F133" s="260"/>
      <c r="G133" s="260"/>
      <c r="H133" s="260"/>
      <c r="I133" s="53">
        <f t="shared" si="4"/>
        <v>16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67" t="s">
        <v>186</v>
      </c>
      <c r="D138" s="267"/>
      <c r="E138" s="268" t="s">
        <v>187</v>
      </c>
      <c r="F138" s="269"/>
      <c r="G138" s="269"/>
      <c r="H138" s="270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67" t="s">
        <v>186</v>
      </c>
      <c r="D164" s="267"/>
      <c r="E164" s="268" t="s">
        <v>187</v>
      </c>
      <c r="F164" s="269"/>
      <c r="G164" s="269"/>
      <c r="H164" s="270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67" t="s">
        <v>186</v>
      </c>
      <c r="D190" s="267"/>
      <c r="E190" s="268" t="s">
        <v>187</v>
      </c>
      <c r="F190" s="269"/>
      <c r="G190" s="269"/>
      <c r="H190" s="270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67" t="s">
        <v>186</v>
      </c>
      <c r="D216" s="267"/>
      <c r="E216" s="268" t="s">
        <v>187</v>
      </c>
      <c r="F216" s="269"/>
      <c r="G216" s="269"/>
      <c r="H216" s="270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67" t="s">
        <v>186</v>
      </c>
      <c r="D242" s="267"/>
      <c r="E242" s="268" t="s">
        <v>187</v>
      </c>
      <c r="F242" s="269"/>
      <c r="G242" s="269"/>
      <c r="H242" s="270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67" t="s">
        <v>186</v>
      </c>
      <c r="D268" s="267"/>
      <c r="E268" s="268" t="s">
        <v>187</v>
      </c>
      <c r="F268" s="269"/>
      <c r="G268" s="269"/>
      <c r="H268" s="270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1" zoomScale="115" zoomScaleNormal="115" workbookViewId="0">
      <selection activeCell="F24" sqref="F24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20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Chêne pubescent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 sessile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>Chêne rouge d'Amérique</v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>Pin maritime</v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561.16051468364344</v>
      </c>
      <c r="T3" s="59">
        <f>IF('Données projet'!E9&gt;30,$R$33-$H$33,LOOKUP('Données projet'!$E$9,$A$3:$A$203,R3:R203)-LOOKUP('Données projet'!$E$9,$A$3:$A$203,$H$3:$H$203))</f>
        <v>137.34523913145267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491.82493848755047</v>
      </c>
      <c r="AO3" s="59">
        <f>IF('Données projet'!E10&gt;30,$AM$33-$H$33,LOOKUP('Données projet'!$E$10,$A$3:$A$203,AM3:AM203)-LOOKUP('Données projet'!$E$10,$A$3:$A$203,$H$3:$H$203))</f>
        <v>119.46953275458026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216.10252108537389</v>
      </c>
      <c r="BJ3" s="59">
        <f>IF('Données projet'!E11&gt;30,$BH$33-$H$33,LOOKUP('Données projet'!$E$11,$A$3:$A$203,BH3:BH203)-LOOKUP('Données projet'!$E$11,$A$3:$A$203,$H$3:$H$203))</f>
        <v>196.91968622092054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152.85416952858094</v>
      </c>
      <c r="CE3" s="59">
        <f>IF('Données projet'!E12&gt;30,$CC$33-$H$33,LOOKUP('Données projet'!$E$12,$A$3:$A$203,CC3:CC203)-LOOKUP('Données projet'!$E$12,$A$3:$A$203,$H$3:$H$203))</f>
        <v>369.87619681979322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0.46799999999999997</v>
      </c>
      <c r="D4" s="11">
        <f>IFERROR(EXP(-1.0587+0.8836*LN(C4)+0.284),0)</f>
        <v>0.23560326283967137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5.431323432446586</v>
      </c>
      <c r="H4" s="66">
        <f t="shared" ref="H4:H67" si="1">(B4+E4+F4)*44/12+(C4+D4)*0.475*44/12</f>
        <v>294.55877568277907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2.5115384616666665</v>
      </c>
      <c r="N4" s="13">
        <f>IF('Données projet'!$A$36&gt;35,N3+M4-V3,IF(A4&lt;'Données projet'!$A$36,$K$205^A4,IF(A4='Données projet'!$A$36,'Données projet'!$B$36,N3+M4-V3)))</f>
        <v>1.1549646791293957</v>
      </c>
      <c r="O4" s="13">
        <f>N4*VLOOKUP('Données projet'!$B$9,Paramètres!$A$1:$I$89,3,0)*VLOOKUP('Données projet'!$B$9,Paramètres!$A$1:$I$89,5,0)</f>
        <v>1.1711341846372074</v>
      </c>
      <c r="P4" s="13">
        <f>EXP(-1.0587+0.8836*LN(O4)+0.284)</f>
        <v>0.52987436341288163</v>
      </c>
      <c r="Q4" s="20">
        <f t="shared" ref="Q4:Q34" si="2">(O4+P4)*0.475*44/12</f>
        <v>2.962589887853905</v>
      </c>
      <c r="R4" s="59">
        <f t="shared" si="0"/>
        <v>296.29592322118719</v>
      </c>
      <c r="S4" s="59">
        <f ca="1">AVERAGE(OFFSET($R$3,0,0,'Données projet'!$E$9+1,1))-AVERAGE(OFFSET($H$3,0,0,'Données projet'!$E$9+1,1))</f>
        <v>561.16051468364344</v>
      </c>
      <c r="T4" s="59">
        <f>$T$3</f>
        <v>137.34523913145267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2.5115384616666665</v>
      </c>
      <c r="AI4" s="13">
        <f>IF('Données projet'!$A$62&gt;35,AI3+AH4-AQ3,IF(A4&lt;'Données projet'!$A$62,$AF$205^A4,IF(A4='Données projet'!$A$62,'Données projet'!$B$62,AI3+AH4-AQ3)))</f>
        <v>1.1549646791293957</v>
      </c>
      <c r="AJ4" s="13">
        <f>AI4*VLOOKUP('Données projet'!$B$10,Paramètres!$A$1:$I$89,3,0)*VLOOKUP('Données projet'!$B$10,Paramètres!$A$1:$I$89,5,0)</f>
        <v>1.0450120416762774</v>
      </c>
      <c r="AK4" s="13">
        <f>EXP(-1.0587+0.8836*LN(AJ4)+0.284)</f>
        <v>0.4791236857711621</v>
      </c>
      <c r="AL4" s="20">
        <f t="shared" ref="AL4:AL67" si="4">(AJ4+AK4)*0.475*44/12</f>
        <v>2.6545363919709568</v>
      </c>
      <c r="AM4" s="59">
        <f t="shared" ref="AM4:AM67" si="5">AL4+(AD4+AE4)*44/12</f>
        <v>295.98786972530428</v>
      </c>
      <c r="AN4" s="59">
        <f ca="1">AVERAGE(OFFSET($AM$3,0,0,'Données projet'!$E$10+1,1))-AVERAGE(OFFSET($H$3,0,0,'Données projet'!$E$10+1,1))</f>
        <v>491.82493848755047</v>
      </c>
      <c r="AO4" s="59">
        <f>$AO$3</f>
        <v>119.46953275458026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1.8</v>
      </c>
      <c r="BD4" s="12">
        <f>IF('Données projet'!$A$88&gt;35,BD3+BC4-BL3,IF(A4&lt;'Données projet'!$A$88,$BA$205^A4,IF(A4='Données projet'!$A$88,'Données projet'!$B$88,BD3+BC4-BL3)))</f>
        <v>1.335141362540313</v>
      </c>
      <c r="BE4" s="13">
        <f>BD4*VLOOKUP('Données projet'!$B$11,Paramètres!$A$1:$I$89,3,0)*VLOOKUP('Données projet'!$B$11,Paramètres!$A$1:$I$89,5,0)</f>
        <v>1.1663794943152175</v>
      </c>
      <c r="BF4" s="13">
        <f>EXP(-1.0587+0.8836*LN(BE4)+0.284)</f>
        <v>0.52797307958445927</v>
      </c>
      <c r="BG4" s="20">
        <f t="shared" ref="BG4:BG67" si="7">(BE4+BF4)*0.475*44/12</f>
        <v>2.9509973995419365</v>
      </c>
      <c r="BH4" s="59">
        <f t="shared" ref="BH4:BH67" si="8">BG4+(AY4+AZ4)*44/12</f>
        <v>296.28433073287528</v>
      </c>
      <c r="BI4" s="59">
        <f ca="1">AVERAGE(OFFSET($BH$3,0,0,'Données projet'!$E$11+1,1))-AVERAGE(OFFSET($H$3,0,0,'Données projet'!$E$11+1,1))</f>
        <v>216.10252108537389</v>
      </c>
      <c r="BJ4" s="59">
        <f>$BJ$3</f>
        <v>196.91968622092054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7.5454545454545459</v>
      </c>
      <c r="BY4" s="12">
        <f>IF('Données projet'!$A$114&gt;35,BY3+BX4-CG3,IF(A4&lt;'Données projet'!$A$114,$BV$205^A4,IF(A4='Données projet'!$A$114,'Données projet'!$B$114,BY3+BX4-CG3)))</f>
        <v>1.4943820583928935</v>
      </c>
      <c r="BZ4" s="13">
        <f>BY4*VLOOKUP('Données projet'!$B$12,Paramètres!$A$1:$I$89,3,0)*VLOOKUP('Données projet'!$B$12,Paramètres!$A$1:$I$89,5,0)</f>
        <v>0.89364047091895038</v>
      </c>
      <c r="CA4" s="13">
        <f>EXP(-1.0587+0.8836*LN(BZ4)+0.284)</f>
        <v>0.41725306962072783</v>
      </c>
      <c r="CB4" s="20">
        <f t="shared" ref="CB4:CB67" si="10">(BZ4+CA4)*0.475*44/12</f>
        <v>2.2831395831066059</v>
      </c>
      <c r="CC4" s="59">
        <f t="shared" ref="CC4:CC67" si="11">CB4+(BT4+BU4)*44/12</f>
        <v>295.61647291643993</v>
      </c>
      <c r="CD4" s="59">
        <f ca="1">AVERAGE(OFFSET($CC$3,0,0,'Données projet'!$E$12+1,1))-AVERAGE(OFFSET($H$3,0,0,'Données projet'!$E$12+1,1))</f>
        <v>152.85416952858094</v>
      </c>
      <c r="CE4" s="59">
        <f>$CE$3</f>
        <v>369.87619681979322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0.93599999999999994</v>
      </c>
      <c r="D5" s="11">
        <f t="shared" ref="D5:D68" si="32">IFERROR(EXP(-1.0587+0.8836*LN(C5)+0.284),0)</f>
        <v>0.43468174797979486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10.58070121247561</v>
      </c>
      <c r="H5" s="66">
        <f t="shared" si="1"/>
        <v>295.7206040443981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2.5115384616666665</v>
      </c>
      <c r="N5" s="13">
        <f>IF('Données projet'!$A$36&gt;35,N4+M5-V4,IF(A5&lt;'Données projet'!$A$36,$K$205^A5,IF(A5='Données projet'!$A$36,'Données projet'!$B$36,N4+M5-V4)))</f>
        <v>1.333943410036468</v>
      </c>
      <c r="O5" s="13">
        <f>N5*VLOOKUP('Données projet'!$B$9,Paramètres!$A$1:$I$89,3,0)*VLOOKUP('Données projet'!$B$9,Paramètres!$A$1:$I$89,5,0)</f>
        <v>1.3526186177769786</v>
      </c>
      <c r="P5" s="13">
        <f t="shared" ref="P5:P68" si="33">EXP(-1.0587+0.8836*LN(O5)+0.284)</f>
        <v>0.60180891054335639</v>
      </c>
      <c r="Q5" s="20">
        <f t="shared" si="2"/>
        <v>3.4039612784912503</v>
      </c>
      <c r="R5" s="59">
        <f t="shared" si="0"/>
        <v>296.73729461182455</v>
      </c>
      <c r="S5" s="59">
        <f ca="1">AVERAGE(OFFSET($R$3,0,0,'Données projet'!$E$9+1,1))-AVERAGE(OFFSET($H$3,0,0,'Données projet'!$E$9+1,1))</f>
        <v>561.16051468364344</v>
      </c>
      <c r="T5" s="59">
        <f t="shared" ref="T5:T68" si="34">$T$3</f>
        <v>137.34523913145267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2.5115384616666665</v>
      </c>
      <c r="AI5" s="13">
        <f>IF('Données projet'!$A$62&gt;35,AI4+AH5-AQ4,IF(A5&lt;'Données projet'!$A$62,$AF$205^A5,IF(A5='Données projet'!$A$62,'Données projet'!$B$62,AI4+AH5-AQ4)))</f>
        <v>1.333943410036468</v>
      </c>
      <c r="AJ5" s="13">
        <f>AI5*VLOOKUP('Données projet'!$B$10,Paramètres!$A$1:$I$89,3,0)*VLOOKUP('Données projet'!$B$10,Paramètres!$A$1:$I$89,5,0)</f>
        <v>1.2069519974009961</v>
      </c>
      <c r="AK5" s="13">
        <f t="shared" ref="AK5:AK68" si="35">EXP(-1.0587+0.8836*LN(AJ5)+0.284)</f>
        <v>0.54416843549908334</v>
      </c>
      <c r="AL5" s="20">
        <f t="shared" si="4"/>
        <v>3.0498680873009718</v>
      </c>
      <c r="AM5" s="59">
        <f t="shared" si="5"/>
        <v>296.38320142063429</v>
      </c>
      <c r="AN5" s="59">
        <f ca="1">AVERAGE(OFFSET($AM$3,0,0,'Données projet'!$E$10+1,1))-AVERAGE(OFFSET($H$3,0,0,'Données projet'!$E$10+1,1))</f>
        <v>491.82493848755047</v>
      </c>
      <c r="AO5" s="59">
        <f t="shared" ref="AO5:AO68" si="36">$AO$3</f>
        <v>119.46953275458026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1.8</v>
      </c>
      <c r="BD5" s="12">
        <f>IF('Données projet'!$A$88&gt;35,BD4+BC5-BL4,IF(A5&lt;'Données projet'!$A$88,$BA$205^A5,IF(A5='Données projet'!$A$88,'Données projet'!$B$88,BD4+BC5-BL4)))</f>
        <v>1.7826024579660036</v>
      </c>
      <c r="BE5" s="13">
        <f>BD5*VLOOKUP('Données projet'!$B$11,Paramètres!$A$1:$I$89,3,0)*VLOOKUP('Données projet'!$B$11,Paramètres!$A$1:$I$89,5,0)</f>
        <v>1.5572815072791011</v>
      </c>
      <c r="BF5" s="13">
        <f t="shared" ref="BF5:BF68" si="37">EXP(-1.0587+0.8836*LN(BE5)+0.284)</f>
        <v>0.68159698037116012</v>
      </c>
      <c r="BG5" s="20">
        <f t="shared" si="7"/>
        <v>3.8993800326575379</v>
      </c>
      <c r="BH5" s="59">
        <f t="shared" si="8"/>
        <v>297.23271336599083</v>
      </c>
      <c r="BI5" s="59">
        <f ca="1">AVERAGE(OFFSET($BH$3,0,0,'Données projet'!$E$11+1,1))-AVERAGE(OFFSET($H$3,0,0,'Données projet'!$E$11+1,1))</f>
        <v>216.10252108537389</v>
      </c>
      <c r="BJ5" s="59">
        <f t="shared" ref="BJ5:BJ68" si="38">$BJ$3</f>
        <v>196.91968622092054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7.5454545454545459</v>
      </c>
      <c r="BY5" s="12">
        <f>IF('Données projet'!$A$114&gt;35,BY4+BX5-CG4,IF(A5&lt;'Données projet'!$A$114,$BV$205^A5,IF(A5='Données projet'!$A$114,'Données projet'!$B$114,BY4+BX5-CG4)))</f>
        <v>2.2331777364465815</v>
      </c>
      <c r="BZ5" s="13">
        <f>BY5*VLOOKUP('Données projet'!$B$12,Paramètres!$A$1:$I$89,3,0)*VLOOKUP('Données projet'!$B$12,Paramètres!$A$1:$I$89,5,0)</f>
        <v>1.3354402863950559</v>
      </c>
      <c r="CA5" s="13">
        <f t="shared" ref="CA5:CA68" si="39">EXP(-1.0587+0.8836*LN(BZ5)+0.284)</f>
        <v>0.59505053454406853</v>
      </c>
      <c r="CB5" s="20">
        <f t="shared" si="10"/>
        <v>3.3622715131356418</v>
      </c>
      <c r="CC5" s="59">
        <f t="shared" si="11"/>
        <v>296.69560484646894</v>
      </c>
      <c r="CD5" s="59">
        <f ca="1">AVERAGE(OFFSET($CC$3,0,0,'Données projet'!$E$12+1,1))-AVERAGE(OFFSET($H$3,0,0,'Données projet'!$E$12+1,1))</f>
        <v>152.85416952858094</v>
      </c>
      <c r="CE5" s="59">
        <f t="shared" ref="CE5:CE68" si="40">$CE$3</f>
        <v>369.87619681979322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1.4039999999999999</v>
      </c>
      <c r="D6" s="11">
        <f t="shared" si="32"/>
        <v>0.62196456335211292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15.639024699560167</v>
      </c>
      <c r="H6" s="66">
        <f t="shared" si="1"/>
        <v>296.86188828117156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2.5115384616666665</v>
      </c>
      <c r="N6" s="13">
        <f>IF('Données projet'!$A$36&gt;35,N5+M6-V5,IF(A6&lt;'Données projet'!$A$36,$K$205^A6,IF(A6='Données projet'!$A$36,'Données projet'!$B$36,N5+M6-V5)))</f>
        <v>1.5406575225495411</v>
      </c>
      <c r="O6" s="13">
        <f>N6*VLOOKUP('Données projet'!$B$9,Paramètres!$A$1:$I$89,3,0)*VLOOKUP('Données projet'!$B$9,Paramètres!$A$1:$I$89,5,0)</f>
        <v>1.5622267278652346</v>
      </c>
      <c r="P6" s="13">
        <f t="shared" si="33"/>
        <v>0.68350912936539521</v>
      </c>
      <c r="Q6" s="20">
        <f t="shared" si="2"/>
        <v>3.9113232846766799</v>
      </c>
      <c r="R6" s="59">
        <f t="shared" si="0"/>
        <v>297.24465661800997</v>
      </c>
      <c r="S6" s="59">
        <f ca="1">AVERAGE(OFFSET($R$3,0,0,'Données projet'!$E$9+1,1))-AVERAGE(OFFSET($H$3,0,0,'Données projet'!$E$9+1,1))</f>
        <v>561.16051468364344</v>
      </c>
      <c r="T6" s="59">
        <f t="shared" si="34"/>
        <v>137.34523913145267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2.5115384616666665</v>
      </c>
      <c r="AI6" s="13">
        <f>IF('Données projet'!$A$62&gt;35,AI5+AH6-AQ5,IF(A6&lt;'Données projet'!$A$62,$AF$205^A6,IF(A6='Données projet'!$A$62,'Données projet'!$B$62,AI5+AH6-AQ5)))</f>
        <v>1.5406575225495411</v>
      </c>
      <c r="AJ6" s="13">
        <f>AI6*VLOOKUP('Données projet'!$B$10,Paramètres!$A$1:$I$89,3,0)*VLOOKUP('Données projet'!$B$10,Paramètres!$A$1:$I$89,5,0)</f>
        <v>1.3939869264028248</v>
      </c>
      <c r="AK6" s="13">
        <f t="shared" si="35"/>
        <v>0.61804351358023235</v>
      </c>
      <c r="AL6" s="20">
        <f t="shared" si="4"/>
        <v>3.5042863496371583</v>
      </c>
      <c r="AM6" s="59">
        <f t="shared" si="5"/>
        <v>296.83761968297046</v>
      </c>
      <c r="AN6" s="59">
        <f ca="1">AVERAGE(OFFSET($AM$3,0,0,'Données projet'!$E$10+1,1))-AVERAGE(OFFSET($H$3,0,0,'Données projet'!$E$10+1,1))</f>
        <v>491.82493848755047</v>
      </c>
      <c r="AO6" s="59">
        <f t="shared" si="36"/>
        <v>119.46953275458026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1.8</v>
      </c>
      <c r="BD6" s="12">
        <f>IF('Données projet'!$A$88&gt;35,BD5+BC6-BL5,IF(A6&lt;'Données projet'!$A$88,$BA$205^A6,IF(A6='Données projet'!$A$88,'Données projet'!$B$88,BD5+BC6-BL5)))</f>
        <v>2.3800262745964411</v>
      </c>
      <c r="BE6" s="13">
        <f>BD6*VLOOKUP('Données projet'!$B$11,Paramètres!$A$1:$I$89,3,0)*VLOOKUP('Données projet'!$B$11,Paramètres!$A$1:$I$89,5,0)</f>
        <v>2.0791909534874513</v>
      </c>
      <c r="BF6" s="13">
        <f t="shared" si="37"/>
        <v>0.87992070356451979</v>
      </c>
      <c r="BG6" s="20">
        <f t="shared" si="7"/>
        <v>5.1537861360321822</v>
      </c>
      <c r="BH6" s="59">
        <f t="shared" si="8"/>
        <v>298.4871194693655</v>
      </c>
      <c r="BI6" s="59">
        <f ca="1">AVERAGE(OFFSET($BH$3,0,0,'Données projet'!$E$11+1,1))-AVERAGE(OFFSET($H$3,0,0,'Données projet'!$E$11+1,1))</f>
        <v>216.10252108537389</v>
      </c>
      <c r="BJ6" s="59">
        <f t="shared" si="38"/>
        <v>196.91968622092054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7.5454545454545459</v>
      </c>
      <c r="BY6" s="12">
        <f>IF('Données projet'!$A$114&gt;35,BY5+BX6-CG5,IF(A6&lt;'Données projet'!$A$114,$BV$205^A6,IF(A6='Données projet'!$A$114,'Données projet'!$B$114,BY5+BX6-CG5)))</f>
        <v>3.337220742548225</v>
      </c>
      <c r="BZ6" s="13">
        <f>BY6*VLOOKUP('Données projet'!$B$12,Paramètres!$A$1:$I$89,3,0)*VLOOKUP('Données projet'!$B$12,Paramètres!$A$1:$I$89,5,0)</f>
        <v>1.9956580040438385</v>
      </c>
      <c r="CA6" s="13">
        <f t="shared" si="39"/>
        <v>0.84861002696285914</v>
      </c>
      <c r="CB6" s="20">
        <f t="shared" si="10"/>
        <v>4.9537668206699985</v>
      </c>
      <c r="CC6" s="59">
        <f t="shared" si="11"/>
        <v>298.28710015400333</v>
      </c>
      <c r="CD6" s="59">
        <f ca="1">AVERAGE(OFFSET($CC$3,0,0,'Données projet'!$E$12+1,1))-AVERAGE(OFFSET($H$3,0,0,'Données projet'!$E$12+1,1))</f>
        <v>152.85416952858094</v>
      </c>
      <c r="CE6" s="59">
        <f t="shared" si="40"/>
        <v>369.87619681979322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1.8719999999999999</v>
      </c>
      <c r="D7" s="11">
        <f t="shared" si="32"/>
        <v>0.80197625342459555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20.641220201874074</v>
      </c>
      <c r="H7" s="66">
        <f t="shared" si="1"/>
        <v>297.99050864138115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2.5115384616666665</v>
      </c>
      <c r="N7" s="13">
        <f>IF('Données projet'!$A$36&gt;35,N6+M7-V6,IF(A7&lt;'Données projet'!$A$36,$K$205^A7,IF(A7='Données projet'!$A$36,'Données projet'!$B$36,N6+M7-V6)))</f>
        <v>1.7794050211797205</v>
      </c>
      <c r="O7" s="13">
        <f>N7*VLOOKUP('Données projet'!$B$9,Paramètres!$A$1:$I$89,3,0)*VLOOKUP('Données projet'!$B$9,Paramètres!$A$1:$I$89,5,0)</f>
        <v>1.804316691476237</v>
      </c>
      <c r="P7" s="13">
        <f t="shared" si="33"/>
        <v>0.77630078541713954</v>
      </c>
      <c r="Q7" s="20">
        <f t="shared" si="2"/>
        <v>4.4945754389226309</v>
      </c>
      <c r="R7" s="59">
        <f t="shared" si="0"/>
        <v>297.82790877225597</v>
      </c>
      <c r="S7" s="59">
        <f ca="1">AVERAGE(OFFSET($R$3,0,0,'Données projet'!$E$9+1,1))-AVERAGE(OFFSET($H$3,0,0,'Données projet'!$E$9+1,1))</f>
        <v>561.16051468364344</v>
      </c>
      <c r="T7" s="59">
        <f t="shared" si="34"/>
        <v>137.34523913145267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2.5115384616666665</v>
      </c>
      <c r="AI7" s="13">
        <f>IF('Données projet'!$A$62&gt;35,AI6+AH7-AQ6,IF(A7&lt;'Données projet'!$A$62,$AF$205^A7,IF(A7='Données projet'!$A$62,'Données projet'!$B$62,AI6+AH7-AQ6)))</f>
        <v>1.7794050211797205</v>
      </c>
      <c r="AJ7" s="13">
        <f>AI7*VLOOKUP('Données projet'!$B$10,Paramètres!$A$1:$I$89,3,0)*VLOOKUP('Données projet'!$B$10,Paramètres!$A$1:$I$89,5,0)</f>
        <v>1.610005663163411</v>
      </c>
      <c r="AK7" s="13">
        <f t="shared" si="35"/>
        <v>0.70194770545312557</v>
      </c>
      <c r="AL7" s="20">
        <f t="shared" si="4"/>
        <v>4.0266521170071341</v>
      </c>
      <c r="AM7" s="59">
        <f t="shared" si="5"/>
        <v>297.35998545034045</v>
      </c>
      <c r="AN7" s="59">
        <f ca="1">AVERAGE(OFFSET($AM$3,0,0,'Données projet'!$E$10+1,1))-AVERAGE(OFFSET($H$3,0,0,'Données projet'!$E$10+1,1))</f>
        <v>491.82493848755047</v>
      </c>
      <c r="AO7" s="59">
        <f t="shared" si="36"/>
        <v>119.46953275458026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1.8</v>
      </c>
      <c r="BD7" s="12">
        <f>IF('Données projet'!$A$88&gt;35,BD6+BC7-BL6,IF(A7&lt;'Données projet'!$A$88,$BA$205^A7,IF(A7='Données projet'!$A$88,'Données projet'!$B$88,BD6+BC7-BL6)))</f>
        <v>3.1776715231464374</v>
      </c>
      <c r="BE7" s="13">
        <f>BD7*VLOOKUP('Données projet'!$B$11,Paramètres!$A$1:$I$89,3,0)*VLOOKUP('Données projet'!$B$11,Paramètres!$A$1:$I$89,5,0)</f>
        <v>2.7760138426207281</v>
      </c>
      <c r="BF7" s="13">
        <f t="shared" si="37"/>
        <v>1.135950520408497</v>
      </c>
      <c r="BG7" s="20">
        <f t="shared" si="7"/>
        <v>6.8133379322758998</v>
      </c>
      <c r="BH7" s="59">
        <f t="shared" si="8"/>
        <v>300.1466712656092</v>
      </c>
      <c r="BI7" s="59">
        <f ca="1">AVERAGE(OFFSET($BH$3,0,0,'Données projet'!$E$11+1,1))-AVERAGE(OFFSET($H$3,0,0,'Données projet'!$E$11+1,1))</f>
        <v>216.10252108537389</v>
      </c>
      <c r="BJ7" s="59">
        <f t="shared" si="38"/>
        <v>196.91968622092054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7.5454545454545459</v>
      </c>
      <c r="BY7" s="12">
        <f>IF('Données projet'!$A$114&gt;35,BY6+BX7-CG6,IF(A7&lt;'Données projet'!$A$114,$BV$205^A7,IF(A7='Données projet'!$A$114,'Données projet'!$B$114,BY6+BX7-CG6)))</f>
        <v>4.9870828025606775</v>
      </c>
      <c r="BZ7" s="13">
        <f>BY7*VLOOKUP('Données projet'!$B$12,Paramètres!$A$1:$I$89,3,0)*VLOOKUP('Données projet'!$B$12,Paramètres!$A$1:$I$89,5,0)</f>
        <v>2.9822755159312857</v>
      </c>
      <c r="CA7" s="13">
        <f t="shared" si="39"/>
        <v>1.2102148238782438</v>
      </c>
      <c r="CB7" s="20">
        <f t="shared" si="10"/>
        <v>7.3019206751682626</v>
      </c>
      <c r="CC7" s="59">
        <f t="shared" si="11"/>
        <v>300.63525400850159</v>
      </c>
      <c r="CD7" s="59">
        <f ca="1">AVERAGE(OFFSET($CC$3,0,0,'Données projet'!$E$12+1,1))-AVERAGE(OFFSET($H$3,0,0,'Données projet'!$E$12+1,1))</f>
        <v>152.85416952858094</v>
      </c>
      <c r="CE7" s="59">
        <f t="shared" si="40"/>
        <v>369.87619681979322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2.34</v>
      </c>
      <c r="D8" s="11">
        <f t="shared" si="32"/>
        <v>0.97676749007450259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25.603117467241773</v>
      </c>
      <c r="H8" s="66">
        <f t="shared" si="1"/>
        <v>299.11003671187973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2.5115384616666665</v>
      </c>
      <c r="N8" s="13">
        <f>IF('Données projet'!$A$36&gt;35,N7+M8-V7,IF(A8&lt;'Données projet'!$A$36,$K$205^A8,IF(A8='Données projet'!$A$36,'Données projet'!$B$36,N7+M8-V7)))</f>
        <v>2.0551499493280714</v>
      </c>
      <c r="O8" s="13">
        <f>N8*VLOOKUP('Données projet'!$B$9,Paramètres!$A$1:$I$89,3,0)*VLOOKUP('Données projet'!$B$9,Paramètres!$A$1:$I$89,5,0)</f>
        <v>2.0839220486186645</v>
      </c>
      <c r="P8" s="13">
        <f t="shared" si="33"/>
        <v>0.88168962717263466</v>
      </c>
      <c r="Q8" s="20">
        <f t="shared" si="2"/>
        <v>5.1651070020031797</v>
      </c>
      <c r="R8" s="59">
        <f t="shared" si="0"/>
        <v>298.49844033533651</v>
      </c>
      <c r="S8" s="59">
        <f ca="1">AVERAGE(OFFSET($R$3,0,0,'Données projet'!$E$9+1,1))-AVERAGE(OFFSET($H$3,0,0,'Données projet'!$E$9+1,1))</f>
        <v>561.16051468364344</v>
      </c>
      <c r="T8" s="59">
        <f t="shared" si="34"/>
        <v>137.34523913145267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2.5115384616666665</v>
      </c>
      <c r="AI8" s="13">
        <f>IF('Données projet'!$A$62&gt;35,AI7+AH8-AQ7,IF(A8&lt;'Données projet'!$A$62,$AF$205^A8,IF(A8='Données projet'!$A$62,'Données projet'!$B$62,AI7+AH8-AQ7)))</f>
        <v>2.0551499493280714</v>
      </c>
      <c r="AJ8" s="13">
        <f>AI8*VLOOKUP('Données projet'!$B$10,Paramètres!$A$1:$I$89,3,0)*VLOOKUP('Données projet'!$B$10,Paramètres!$A$1:$I$89,5,0)</f>
        <v>1.8594996741520389</v>
      </c>
      <c r="AK8" s="13">
        <f t="shared" si="35"/>
        <v>0.79724254096057801</v>
      </c>
      <c r="AL8" s="20">
        <f t="shared" si="4"/>
        <v>4.6271593579878081</v>
      </c>
      <c r="AM8" s="59">
        <f t="shared" si="5"/>
        <v>297.96049269132112</v>
      </c>
      <c r="AN8" s="59">
        <f ca="1">AVERAGE(OFFSET($AM$3,0,0,'Données projet'!$E$10+1,1))-AVERAGE(OFFSET($H$3,0,0,'Données projet'!$E$10+1,1))</f>
        <v>491.82493848755047</v>
      </c>
      <c r="AO8" s="59">
        <f t="shared" si="36"/>
        <v>119.46953275458026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1.8</v>
      </c>
      <c r="BD8" s="12">
        <f>IF('Données projet'!$A$88&gt;35,BD7+BC8-BL7,IF(A8&lt;'Données projet'!$A$88,$BA$205^A8,IF(A8='Données projet'!$A$88,'Données projet'!$B$88,BD7+BC8-BL7)))</f>
        <v>4.2426406871192865</v>
      </c>
      <c r="BE8" s="13">
        <f>BD8*VLOOKUP('Données projet'!$B$11,Paramètres!$A$1:$I$89,3,0)*VLOOKUP('Données projet'!$B$11,Paramètres!$A$1:$I$89,5,0)</f>
        <v>3.7063709042674091</v>
      </c>
      <c r="BF8" s="13">
        <f t="shared" si="37"/>
        <v>1.4664771263922398</v>
      </c>
      <c r="BG8" s="20">
        <f t="shared" si="7"/>
        <v>9.0093769867322209</v>
      </c>
      <c r="BH8" s="59">
        <f t="shared" si="8"/>
        <v>302.34271032006552</v>
      </c>
      <c r="BI8" s="59">
        <f ca="1">AVERAGE(OFFSET($BH$3,0,0,'Données projet'!$E$11+1,1))-AVERAGE(OFFSET($H$3,0,0,'Données projet'!$E$11+1,1))</f>
        <v>216.10252108537389</v>
      </c>
      <c r="BJ8" s="59">
        <f t="shared" si="38"/>
        <v>196.91968622092054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7.5454545454545459</v>
      </c>
      <c r="BY8" s="12">
        <f>IF('Données projet'!$A$114&gt;35,BY7+BX8-CG7,IF(A8&lt;'Données projet'!$A$114,$BV$205^A8,IF(A8='Données projet'!$A$114,'Données projet'!$B$114,BY7+BX8-CG7)))</f>
        <v>7.4526070638664255</v>
      </c>
      <c r="BZ8" s="13">
        <f>BY8*VLOOKUP('Données projet'!$B$12,Paramètres!$A$1:$I$89,3,0)*VLOOKUP('Données projet'!$B$12,Paramètres!$A$1:$I$89,5,0)</f>
        <v>4.4566590241921231</v>
      </c>
      <c r="CA8" s="13">
        <f t="shared" si="39"/>
        <v>1.7259045655829262</v>
      </c>
      <c r="CB8" s="20">
        <f t="shared" si="10"/>
        <v>10.76796491885821</v>
      </c>
      <c r="CC8" s="59">
        <f t="shared" si="11"/>
        <v>304.1012982521915</v>
      </c>
      <c r="CD8" s="59">
        <f ca="1">AVERAGE(OFFSET($CC$3,0,0,'Données projet'!$E$12+1,1))-AVERAGE(OFFSET($H$3,0,0,'Données projet'!$E$12+1,1))</f>
        <v>152.85416952858094</v>
      </c>
      <c r="CE8" s="59">
        <f t="shared" si="40"/>
        <v>369.87619681979322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2.8079999999999998</v>
      </c>
      <c r="D9" s="11">
        <f t="shared" si="32"/>
        <v>1.1475080621585647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30.533746444732781</v>
      </c>
      <c r="H9" s="66">
        <f t="shared" si="1"/>
        <v>300.22250987492617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2.5115384616666665</v>
      </c>
      <c r="N9" s="13">
        <f>IF('Données projet'!$A$36&gt;35,N8+M9-V8,IF(A9&lt;'Données projet'!$A$36,$K$205^A9,IF(A9='Données projet'!$A$36,'Données projet'!$B$36,N8+M9-V8)))</f>
        <v>2.3736256017884898</v>
      </c>
      <c r="O9" s="13">
        <f>N9*VLOOKUP('Données projet'!$B$9,Paramètres!$A$1:$I$89,3,0)*VLOOKUP('Données projet'!$B$9,Paramètres!$A$1:$I$89,5,0)</f>
        <v>2.4068563602135287</v>
      </c>
      <c r="P9" s="13">
        <f t="shared" si="33"/>
        <v>1.0013858201188113</v>
      </c>
      <c r="Q9" s="20">
        <f t="shared" si="2"/>
        <v>5.936021797412157</v>
      </c>
      <c r="R9" s="59">
        <f t="shared" si="0"/>
        <v>299.26935513074545</v>
      </c>
      <c r="S9" s="59">
        <f ca="1">AVERAGE(OFFSET($R$3,0,0,'Données projet'!$E$9+1,1))-AVERAGE(OFFSET($H$3,0,0,'Données projet'!$E$9+1,1))</f>
        <v>561.16051468364344</v>
      </c>
      <c r="T9" s="59">
        <f t="shared" si="34"/>
        <v>137.34523913145267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2.5115384616666665</v>
      </c>
      <c r="AI9" s="13">
        <f>IF('Données projet'!$A$62&gt;35,AI8+AH9-AQ8,IF(A9&lt;'Données projet'!$A$62,$AF$205^A9,IF(A9='Données projet'!$A$62,'Données projet'!$B$62,AI8+AH9-AQ8)))</f>
        <v>2.3736256017884898</v>
      </c>
      <c r="AJ9" s="13">
        <f>AI9*VLOOKUP('Données projet'!$B$10,Paramètres!$A$1:$I$89,3,0)*VLOOKUP('Données projet'!$B$10,Paramètres!$A$1:$I$89,5,0)</f>
        <v>2.1476564444982258</v>
      </c>
      <c r="AK9" s="13">
        <f t="shared" si="35"/>
        <v>0.9054743881625561</v>
      </c>
      <c r="AL9" s="20">
        <f t="shared" si="4"/>
        <v>5.3175362002175284</v>
      </c>
      <c r="AM9" s="59">
        <f t="shared" si="5"/>
        <v>298.65086953355086</v>
      </c>
      <c r="AN9" s="59">
        <f ca="1">AVERAGE(OFFSET($AM$3,0,0,'Données projet'!$E$10+1,1))-AVERAGE(OFFSET($H$3,0,0,'Données projet'!$E$10+1,1))</f>
        <v>491.82493848755047</v>
      </c>
      <c r="AO9" s="59">
        <f t="shared" si="36"/>
        <v>119.46953275458026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1.8</v>
      </c>
      <c r="BD9" s="12">
        <f>IF('Données projet'!$A$88&gt;35,BD8+BC9-BL8,IF(A9&lt;'Données projet'!$A$88,$BA$205^A9,IF(A9='Données projet'!$A$88,'Données projet'!$B$88,BD8+BC9-BL8)))</f>
        <v>5.6645250677694134</v>
      </c>
      <c r="BE9" s="13">
        <f>BD9*VLOOKUP('Données projet'!$B$11,Paramètres!$A$1:$I$89,3,0)*VLOOKUP('Données projet'!$B$11,Paramètres!$A$1:$I$89,5,0)</f>
        <v>4.9485290992033608</v>
      </c>
      <c r="BF9" s="13">
        <f t="shared" si="37"/>
        <v>1.8931767921179217</v>
      </c>
      <c r="BG9" s="20">
        <f t="shared" si="7"/>
        <v>11.915971094051232</v>
      </c>
      <c r="BH9" s="59">
        <f t="shared" si="8"/>
        <v>305.24930442738457</v>
      </c>
      <c r="BI9" s="59">
        <f ca="1">AVERAGE(OFFSET($BH$3,0,0,'Données projet'!$E$11+1,1))-AVERAGE(OFFSET($H$3,0,0,'Données projet'!$E$11+1,1))</f>
        <v>216.10252108537389</v>
      </c>
      <c r="BJ9" s="59">
        <f t="shared" si="38"/>
        <v>196.91968622092054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7.5454545454545459</v>
      </c>
      <c r="BY9" s="12">
        <f>IF('Données projet'!$A$114&gt;35,BY8+BX9-CG8,IF(A9&lt;'Données projet'!$A$114,$BV$205^A9,IF(A9='Données projet'!$A$114,'Données projet'!$B$114,BY8+BX9-CG8)))</f>
        <v>11.137042284494127</v>
      </c>
      <c r="BZ9" s="13">
        <f>BY9*VLOOKUP('Données projet'!$B$12,Paramètres!$A$1:$I$89,3,0)*VLOOKUP('Données projet'!$B$12,Paramètres!$A$1:$I$89,5,0)</f>
        <v>6.6599512861274883</v>
      </c>
      <c r="CA9" s="13">
        <f t="shared" si="39"/>
        <v>2.461337037629669</v>
      </c>
      <c r="CB9" s="20">
        <f t="shared" si="10"/>
        <v>15.886243830543714</v>
      </c>
      <c r="CC9" s="59">
        <f t="shared" si="11"/>
        <v>309.21957716387703</v>
      </c>
      <c r="CD9" s="59">
        <f ca="1">AVERAGE(OFFSET($CC$3,0,0,'Données projet'!$E$12+1,1))-AVERAGE(OFFSET($H$3,0,0,'Données projet'!$E$12+1,1))</f>
        <v>152.85416952858094</v>
      </c>
      <c r="CE9" s="59">
        <f t="shared" si="40"/>
        <v>369.87619681979322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3.2759999999999998</v>
      </c>
      <c r="D10" s="11">
        <f t="shared" si="32"/>
        <v>1.3149520873221709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35.438928393364129</v>
      </c>
      <c r="H10" s="66">
        <f t="shared" si="1"/>
        <v>301.3292415520861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2.5115384616666665</v>
      </c>
      <c r="N10" s="13">
        <f>IF('Données projet'!$A$36&gt;35,N9+M10-V9,IF(A10&lt;'Données projet'!$A$36,$K$205^A10,IF(A10='Données projet'!$A$36,'Données projet'!$B$36,N9+M10-V9)))</f>
        <v>2.7414537315429621</v>
      </c>
      <c r="O10" s="13">
        <f>N10*VLOOKUP('Données projet'!$B$9,Paramètres!$A$1:$I$89,3,0)*VLOOKUP('Données projet'!$B$9,Paramètres!$A$1:$I$89,5,0)</f>
        <v>2.7798340837845639</v>
      </c>
      <c r="P10" s="13">
        <f t="shared" si="33"/>
        <v>1.1373316979475836</v>
      </c>
      <c r="Q10" s="20">
        <f t="shared" si="2"/>
        <v>6.8223970698501573</v>
      </c>
      <c r="R10" s="59">
        <f t="shared" si="0"/>
        <v>300.1557304031835</v>
      </c>
      <c r="S10" s="59">
        <f ca="1">AVERAGE(OFFSET($R$3,0,0,'Données projet'!$E$9+1,1))-AVERAGE(OFFSET($H$3,0,0,'Données projet'!$E$9+1,1))</f>
        <v>561.16051468364344</v>
      </c>
      <c r="T10" s="59">
        <f t="shared" si="34"/>
        <v>137.34523913145267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2.5115384616666665</v>
      </c>
      <c r="AI10" s="13">
        <f>IF('Données projet'!$A$62&gt;35,AI9+AH10-AQ9,IF(A10&lt;'Données projet'!$A$62,$AF$205^A10,IF(A10='Données projet'!$A$62,'Données projet'!$B$62,AI9+AH10-AQ9)))</f>
        <v>2.7414537315429621</v>
      </c>
      <c r="AJ10" s="13">
        <f>AI10*VLOOKUP('Données projet'!$B$10,Paramètres!$A$1:$I$89,3,0)*VLOOKUP('Données projet'!$B$10,Paramètres!$A$1:$I$89,5,0)</f>
        <v>2.4804673363000722</v>
      </c>
      <c r="AK10" s="13">
        <f t="shared" si="35"/>
        <v>1.0283995465551767</v>
      </c>
      <c r="AL10" s="20">
        <f t="shared" si="4"/>
        <v>6.1112764876395573</v>
      </c>
      <c r="AM10" s="59">
        <f t="shared" si="5"/>
        <v>299.44460982097286</v>
      </c>
      <c r="AN10" s="59">
        <f ca="1">AVERAGE(OFFSET($AM$3,0,0,'Données projet'!$E$10+1,1))-AVERAGE(OFFSET($H$3,0,0,'Données projet'!$E$10+1,1))</f>
        <v>491.82493848755047</v>
      </c>
      <c r="AO10" s="59">
        <f t="shared" si="36"/>
        <v>119.46953275458026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1.8</v>
      </c>
      <c r="BD10" s="12">
        <f>IF('Données projet'!$A$88&gt;35,BD9+BC10-BL9,IF(A10&lt;'Données projet'!$A$88,$BA$205^A10,IF(A10='Données projet'!$A$88,'Données projet'!$B$88,BD9+BC10-BL9)))</f>
        <v>7.5629417171254145</v>
      </c>
      <c r="BE10" s="13">
        <f>BD10*VLOOKUP('Données projet'!$B$11,Paramètres!$A$1:$I$89,3,0)*VLOOKUP('Données projet'!$B$11,Paramètres!$A$1:$I$89,5,0)</f>
        <v>6.6069858840807631</v>
      </c>
      <c r="BF10" s="13">
        <f t="shared" si="37"/>
        <v>2.4440329151477385</v>
      </c>
      <c r="BG10" s="20">
        <f t="shared" si="7"/>
        <v>15.763857741989639</v>
      </c>
      <c r="BH10" s="59">
        <f t="shared" si="8"/>
        <v>309.09719107532294</v>
      </c>
      <c r="BI10" s="59">
        <f ca="1">AVERAGE(OFFSET($BH$3,0,0,'Données projet'!$E$11+1,1))-AVERAGE(OFFSET($H$3,0,0,'Données projet'!$E$11+1,1))</f>
        <v>216.10252108537389</v>
      </c>
      <c r="BJ10" s="59">
        <f t="shared" si="38"/>
        <v>196.91968622092054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7.5454545454545459</v>
      </c>
      <c r="BY10" s="12">
        <f>IF('Données projet'!$A$114&gt;35,BY9+BX10-CG9,IF(A10&lt;'Données projet'!$A$114,$BV$205^A10,IF(A10='Données projet'!$A$114,'Données projet'!$B$114,BY9+BX10-CG9)))</f>
        <v>16.642996173511026</v>
      </c>
      <c r="BZ10" s="13">
        <f>BY10*VLOOKUP('Données projet'!$B$12,Paramètres!$A$1:$I$89,3,0)*VLOOKUP('Données projet'!$B$12,Paramètres!$A$1:$I$89,5,0)</f>
        <v>9.9525117117595947</v>
      </c>
      <c r="CA10" s="13">
        <f t="shared" si="39"/>
        <v>3.5101477414317164</v>
      </c>
      <c r="CB10" s="20">
        <f t="shared" si="10"/>
        <v>23.447465214308199</v>
      </c>
      <c r="CC10" s="59">
        <f t="shared" si="11"/>
        <v>316.7807985476415</v>
      </c>
      <c r="CD10" s="59">
        <f ca="1">AVERAGE(OFFSET($CC$3,0,0,'Données projet'!$E$12+1,1))-AVERAGE(OFFSET($H$3,0,0,'Données projet'!$E$12+1,1))</f>
        <v>152.85416952858094</v>
      </c>
      <c r="CE10" s="59">
        <f t="shared" si="40"/>
        <v>369.87619681979322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3.7439999999999998</v>
      </c>
      <c r="D11" s="11">
        <f t="shared" si="32"/>
        <v>1.4796248382778823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40.322718049864356</v>
      </c>
      <c r="H11" s="66">
        <f t="shared" si="1"/>
        <v>302.43114659333395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2.5115384616666665</v>
      </c>
      <c r="N11" s="13">
        <f>IF('Données projet'!$A$36&gt;35,N10+M11-V10,IF(A11&lt;'Données projet'!$A$36,$K$205^A11,IF(A11='Données projet'!$A$36,'Données projet'!$B$36,N10+M11-V10)))</f>
        <v>3.1662822293996018</v>
      </c>
      <c r="O11" s="13">
        <f>N11*VLOOKUP('Données projet'!$B$9,Paramètres!$A$1:$I$89,3,0)*VLOOKUP('Données projet'!$B$9,Paramètres!$A$1:$I$89,5,0)</f>
        <v>3.2106101806111966</v>
      </c>
      <c r="P11" s="13">
        <f t="shared" si="33"/>
        <v>1.291733281187126</v>
      </c>
      <c r="Q11" s="20">
        <f t="shared" si="2"/>
        <v>7.8415815292987441</v>
      </c>
      <c r="R11" s="59">
        <f t="shared" si="0"/>
        <v>301.17491486263208</v>
      </c>
      <c r="S11" s="59">
        <f ca="1">AVERAGE(OFFSET($R$3,0,0,'Données projet'!$E$9+1,1))-AVERAGE(OFFSET($H$3,0,0,'Données projet'!$E$9+1,1))</f>
        <v>561.16051468364344</v>
      </c>
      <c r="T11" s="59">
        <f t="shared" si="34"/>
        <v>137.34523913145267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2.5115384616666665</v>
      </c>
      <c r="AI11" s="13">
        <f>IF('Données projet'!$A$62&gt;35,AI10+AH11-AQ10,IF(A11&lt;'Données projet'!$A$62,$AF$205^A11,IF(A11='Données projet'!$A$62,'Données projet'!$B$62,AI10+AH11-AQ10)))</f>
        <v>3.1662822293996018</v>
      </c>
      <c r="AJ11" s="13">
        <f>AI11*VLOOKUP('Données projet'!$B$10,Paramètres!$A$1:$I$89,3,0)*VLOOKUP('Données projet'!$B$10,Paramètres!$A$1:$I$89,5,0)</f>
        <v>2.8648521611607598</v>
      </c>
      <c r="AK11" s="13">
        <f t="shared" si="35"/>
        <v>1.168012746888458</v>
      </c>
      <c r="AL11" s="20">
        <f t="shared" si="4"/>
        <v>7.0239063815190539</v>
      </c>
      <c r="AM11" s="59">
        <f t="shared" si="5"/>
        <v>300.35723971485237</v>
      </c>
      <c r="AN11" s="59">
        <f ca="1">AVERAGE(OFFSET($AM$3,0,0,'Données projet'!$E$10+1,1))-AVERAGE(OFFSET($H$3,0,0,'Données projet'!$E$10+1,1))</f>
        <v>491.82493848755047</v>
      </c>
      <c r="AO11" s="59">
        <f t="shared" si="36"/>
        <v>119.46953275458026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1.8</v>
      </c>
      <c r="BD11" s="12">
        <f>IF('Données projet'!$A$88&gt;35,BD10+BC11-BL10,IF(A11&lt;'Données projet'!$A$88,$BA$205^A11,IF(A11='Données projet'!$A$88,'Données projet'!$B$88,BD10+BC11-BL10)))</f>
        <v>10.097596309015799</v>
      </c>
      <c r="BE11" s="13">
        <f>BD11*VLOOKUP('Données projet'!$B$11,Paramètres!$A$1:$I$89,3,0)*VLOOKUP('Données projet'!$B$11,Paramètres!$A$1:$I$89,5,0)</f>
        <v>8.8212601355562033</v>
      </c>
      <c r="BF11" s="13">
        <f t="shared" si="37"/>
        <v>3.1551711996443523</v>
      </c>
      <c r="BG11" s="20">
        <f t="shared" si="7"/>
        <v>20.858951242140964</v>
      </c>
      <c r="BH11" s="59">
        <f t="shared" si="8"/>
        <v>314.19228457547428</v>
      </c>
      <c r="BI11" s="59">
        <f ca="1">AVERAGE(OFFSET($BH$3,0,0,'Données projet'!$E$11+1,1))-AVERAGE(OFFSET($H$3,0,0,'Données projet'!$E$11+1,1))</f>
        <v>216.10252108537389</v>
      </c>
      <c r="BJ11" s="59">
        <f t="shared" si="38"/>
        <v>196.91968622092054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7.5454545454545459</v>
      </c>
      <c r="BY11" s="12">
        <f>IF('Données projet'!$A$114&gt;35,BY10+BX11-CG10,IF(A11&lt;'Données projet'!$A$114,$BV$205^A11,IF(A11='Données projet'!$A$114,'Données projet'!$B$114,BY10+BX11-CG10)))</f>
        <v>24.870994879596463</v>
      </c>
      <c r="BZ11" s="13">
        <f>BY11*VLOOKUP('Données projet'!$B$12,Paramètres!$A$1:$I$89,3,0)*VLOOKUP('Données projet'!$B$12,Paramètres!$A$1:$I$89,5,0)</f>
        <v>14.872854937998687</v>
      </c>
      <c r="CA11" s="13">
        <f t="shared" si="39"/>
        <v>5.0058715967414829</v>
      </c>
      <c r="CB11" s="20">
        <f t="shared" si="10"/>
        <v>34.622115381339128</v>
      </c>
      <c r="CC11" s="59">
        <f t="shared" si="11"/>
        <v>327.95544871467246</v>
      </c>
      <c r="CD11" s="59">
        <f ca="1">AVERAGE(OFFSET($CC$3,0,0,'Données projet'!$E$12+1,1))-AVERAGE(OFFSET($H$3,0,0,'Données projet'!$E$12+1,1))</f>
        <v>152.85416952858094</v>
      </c>
      <c r="CE11" s="59">
        <f t="shared" si="40"/>
        <v>369.87619681979322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4.2119999999999997</v>
      </c>
      <c r="D12" s="11">
        <f t="shared" si="32"/>
        <v>1.6419123971514347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45.188095697309329</v>
      </c>
      <c r="H12" s="66">
        <f t="shared" si="1"/>
        <v>303.52889742503874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2.5115384616666665</v>
      </c>
      <c r="N12" s="13">
        <f>IF('Données projet'!$A$36&gt;35,N11+M12-V11,IF(A12&lt;'Données projet'!$A$36,$K$205^A12,IF(A12='Données projet'!$A$36,'Données projet'!$B$36,N11+M12-V11)))</f>
        <v>3.6569441391116189</v>
      </c>
      <c r="O12" s="13">
        <f>N12*VLOOKUP('Données projet'!$B$9,Paramètres!$A$1:$I$89,3,0)*VLOOKUP('Données projet'!$B$9,Paramètres!$A$1:$I$89,5,0)</f>
        <v>3.7081413570591817</v>
      </c>
      <c r="P12" s="13">
        <f t="shared" si="33"/>
        <v>1.4670960747313657</v>
      </c>
      <c r="Q12" s="20">
        <f t="shared" si="2"/>
        <v>9.0135385270352035</v>
      </c>
      <c r="R12" s="59">
        <f t="shared" si="0"/>
        <v>302.34687186036854</v>
      </c>
      <c r="S12" s="59">
        <f ca="1">AVERAGE(OFFSET($R$3,0,0,'Données projet'!$E$9+1,1))-AVERAGE(OFFSET($H$3,0,0,'Données projet'!$E$9+1,1))</f>
        <v>561.16051468364344</v>
      </c>
      <c r="T12" s="59">
        <f t="shared" si="34"/>
        <v>137.34523913145267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2.5115384616666665</v>
      </c>
      <c r="AI12" s="13">
        <f>IF('Données projet'!$A$62&gt;35,AI11+AH12-AQ11,IF(A12&lt;'Données projet'!$A$62,$AF$205^A12,IF(A12='Données projet'!$A$62,'Données projet'!$B$62,AI11+AH12-AQ11)))</f>
        <v>3.6569441391116189</v>
      </c>
      <c r="AJ12" s="13">
        <f>AI12*VLOOKUP('Données projet'!$B$10,Paramètres!$A$1:$I$89,3,0)*VLOOKUP('Données projet'!$B$10,Paramètres!$A$1:$I$89,5,0)</f>
        <v>3.3088030570681926</v>
      </c>
      <c r="AK12" s="13">
        <f t="shared" si="35"/>
        <v>1.3265795200549755</v>
      </c>
      <c r="AL12" s="20">
        <f t="shared" si="4"/>
        <v>8.0732913218228504</v>
      </c>
      <c r="AM12" s="59">
        <f t="shared" si="5"/>
        <v>301.40662465515618</v>
      </c>
      <c r="AN12" s="59">
        <f ca="1">AVERAGE(OFFSET($AM$3,0,0,'Données projet'!$E$10+1,1))-AVERAGE(OFFSET($H$3,0,0,'Données projet'!$E$10+1,1))</f>
        <v>491.82493848755047</v>
      </c>
      <c r="AO12" s="59">
        <f t="shared" si="36"/>
        <v>119.46953275458026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1.8</v>
      </c>
      <c r="BD12" s="12">
        <f>IF('Données projet'!$A$88&gt;35,BD11+BC12-BL11,IF(A12&lt;'Données projet'!$A$88,$BA$205^A12,IF(A12='Données projet'!$A$88,'Données projet'!$B$88,BD11+BC12-BL11)))</f>
        <v>13.48171849440139</v>
      </c>
      <c r="BE12" s="13">
        <f>BD12*VLOOKUP('Données projet'!$B$11,Paramètres!$A$1:$I$89,3,0)*VLOOKUP('Données projet'!$B$11,Paramètres!$A$1:$I$89,5,0)</f>
        <v>11.777629276709055</v>
      </c>
      <c r="BF12" s="13">
        <f t="shared" si="37"/>
        <v>4.0732288167499631</v>
      </c>
      <c r="BG12" s="20">
        <f t="shared" si="7"/>
        <v>27.606911179441123</v>
      </c>
      <c r="BH12" s="59">
        <f t="shared" si="8"/>
        <v>320.94024451277443</v>
      </c>
      <c r="BI12" s="59">
        <f ca="1">AVERAGE(OFFSET($BH$3,0,0,'Données projet'!$E$11+1,1))-AVERAGE(OFFSET($H$3,0,0,'Données projet'!$E$11+1,1))</f>
        <v>216.10252108537389</v>
      </c>
      <c r="BJ12" s="59">
        <f t="shared" si="38"/>
        <v>196.91968622092054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7.5454545454545459</v>
      </c>
      <c r="BY12" s="12">
        <f>IF('Données projet'!$A$114&gt;35,BY11+BX12-CG11,IF(A12&lt;'Données projet'!$A$114,$BV$205^A12,IF(A12='Données projet'!$A$114,'Données projet'!$B$114,BY11+BX12-CG11)))</f>
        <v>37.166768522450475</v>
      </c>
      <c r="BZ12" s="13">
        <f>BY12*VLOOKUP('Données projet'!$B$12,Paramètres!$A$1:$I$89,3,0)*VLOOKUP('Données projet'!$B$12,Paramètres!$A$1:$I$89,5,0)</f>
        <v>22.225727576425388</v>
      </c>
      <c r="CA12" s="13">
        <f t="shared" si="39"/>
        <v>7.1389446510425687</v>
      </c>
      <c r="CB12" s="20">
        <f t="shared" si="10"/>
        <v>51.143470796173354</v>
      </c>
      <c r="CC12" s="59">
        <f t="shared" si="11"/>
        <v>344.47680412950666</v>
      </c>
      <c r="CD12" s="59">
        <f ca="1">AVERAGE(OFFSET($CC$3,0,0,'Données projet'!$E$12+1,1))-AVERAGE(OFFSET($H$3,0,0,'Données projet'!$E$12+1,1))</f>
        <v>152.85416952858094</v>
      </c>
      <c r="CE12" s="59">
        <f t="shared" si="40"/>
        <v>369.87619681979322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4.68</v>
      </c>
      <c r="D13" s="11">
        <f t="shared" si="32"/>
        <v>1.8021100168054613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50.037340480603554</v>
      </c>
      <c r="H13" s="66">
        <f t="shared" si="1"/>
        <v>304.62300827926947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2.5115384616666665</v>
      </c>
      <c r="N13" s="13">
        <f>IF('Données projet'!$A$36&gt;35,N12+M13-V12,IF(A13&lt;'Données projet'!$A$36,$K$205^A13,IF(A13='Données projet'!$A$36,'Données projet'!$B$36,N12+M13-V12)))</f>
        <v>4.2236413142231752</v>
      </c>
      <c r="O13" s="13">
        <f>N13*VLOOKUP('Données projet'!$B$9,Paramètres!$A$1:$I$89,3,0)*VLOOKUP('Données projet'!$B$9,Paramètres!$A$1:$I$89,5,0)</f>
        <v>4.2827722926223002</v>
      </c>
      <c r="P13" s="13">
        <f t="shared" si="33"/>
        <v>1.6662657251612452</v>
      </c>
      <c r="Q13" s="20">
        <f t="shared" si="2"/>
        <v>10.361241214306341</v>
      </c>
      <c r="R13" s="59">
        <f t="shared" si="0"/>
        <v>303.69457454763966</v>
      </c>
      <c r="S13" s="59">
        <f ca="1">AVERAGE(OFFSET($R$3,0,0,'Données projet'!$E$9+1,1))-AVERAGE(OFFSET($H$3,0,0,'Données projet'!$E$9+1,1))</f>
        <v>561.16051468364344</v>
      </c>
      <c r="T13" s="59">
        <f t="shared" si="34"/>
        <v>137.34523913145267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2.5115384616666665</v>
      </c>
      <c r="AI13" s="13">
        <f>IF('Données projet'!$A$62&gt;35,AI12+AH13-AQ12,IF(A13&lt;'Données projet'!$A$62,$AF$205^A13,IF(A13='Données projet'!$A$62,'Données projet'!$B$62,AI12+AH13-AQ12)))</f>
        <v>4.2236413142231752</v>
      </c>
      <c r="AJ13" s="13">
        <f>AI13*VLOOKUP('Données projet'!$B$10,Paramètres!$A$1:$I$89,3,0)*VLOOKUP('Données projet'!$B$10,Paramètres!$A$1:$I$89,5,0)</f>
        <v>3.821550661109129</v>
      </c>
      <c r="AK13" s="13">
        <f t="shared" si="35"/>
        <v>1.5066729603057551</v>
      </c>
      <c r="AL13" s="20">
        <f t="shared" si="4"/>
        <v>9.279989473964255</v>
      </c>
      <c r="AM13" s="59">
        <f t="shared" si="5"/>
        <v>302.61332280729755</v>
      </c>
      <c r="AN13" s="59">
        <f ca="1">AVERAGE(OFFSET($AM$3,0,0,'Données projet'!$E$10+1,1))-AVERAGE(OFFSET($H$3,0,0,'Données projet'!$E$10+1,1))</f>
        <v>491.82493848755047</v>
      </c>
      <c r="AO13" s="59">
        <f t="shared" si="36"/>
        <v>119.46953275458026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>
        <f>VLOOKUP(A13,'Données projet'!$A$87:$I$107,2,0)</f>
        <v>18</v>
      </c>
      <c r="BB13" s="12">
        <f>VLOOKUP(A13,'Données projet'!$A$87:$I$107,9,0)</f>
        <v>1.8</v>
      </c>
      <c r="BC13" s="12">
        <f t="array" ref="BC13">INDEX(BB:BB,MIN(IF(ISNUMBER(BB13:BB209),ROW(BB13:BB209),"")))</f>
        <v>1.8</v>
      </c>
      <c r="BD13" s="12">
        <f>IF('Données projet'!$A$88&gt;35,BD12+BC13-BL12,IF(A13&lt;'Données projet'!$A$88,$BA$205^A13,IF(A13='Données projet'!$A$88,'Données projet'!$B$88,BD12+BC13-BL12)))</f>
        <v>18</v>
      </c>
      <c r="BE13" s="13">
        <f>BD13*VLOOKUP('Données projet'!$B$11,Paramètres!$A$1:$I$89,3,0)*VLOOKUP('Données projet'!$B$11,Paramètres!$A$1:$I$89,5,0)</f>
        <v>15.724800000000004</v>
      </c>
      <c r="BF13" s="13">
        <f t="shared" si="37"/>
        <v>5.2584129176484753</v>
      </c>
      <c r="BG13" s="20">
        <f t="shared" si="7"/>
        <v>36.545762498237771</v>
      </c>
      <c r="BH13" s="59">
        <f t="shared" si="8"/>
        <v>329.87909583157108</v>
      </c>
      <c r="BI13" s="59">
        <f ca="1">AVERAGE(OFFSET($BH$3,0,0,'Données projet'!$E$11+1,1))-AVERAGE(OFFSET($H$3,0,0,'Données projet'!$E$11+1,1))</f>
        <v>216.10252108537389</v>
      </c>
      <c r="BJ13" s="59">
        <f t="shared" si="38"/>
        <v>196.91968622092054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7.5454545454545459</v>
      </c>
      <c r="BY13" s="12">
        <f>IF('Données projet'!$A$114&gt;35,BY12+BX13-CG12,IF(A13&lt;'Données projet'!$A$114,$BV$205^A13,IF(A13='Données projet'!$A$114,'Données projet'!$B$114,BY12+BX13-CG12)))</f>
        <v>55.541352048391744</v>
      </c>
      <c r="BZ13" s="13">
        <f>BY13*VLOOKUP('Données projet'!$B$12,Paramètres!$A$1:$I$89,3,0)*VLOOKUP('Données projet'!$B$12,Paramètres!$A$1:$I$89,5,0)</f>
        <v>33.213728524938269</v>
      </c>
      <c r="CA13" s="13">
        <f t="shared" si="39"/>
        <v>10.180950459021789</v>
      </c>
      <c r="CB13" s="20">
        <f t="shared" si="10"/>
        <v>75.579065897063757</v>
      </c>
      <c r="CC13" s="59">
        <f t="shared" si="11"/>
        <v>368.91239923039706</v>
      </c>
      <c r="CD13" s="59">
        <f ca="1">AVERAGE(OFFSET($CC$3,0,0,'Données projet'!$E$12+1,1))-AVERAGE(OFFSET($H$3,0,0,'Données projet'!$E$12+1,1))</f>
        <v>152.85416952858094</v>
      </c>
      <c r="CE13" s="59">
        <f t="shared" si="40"/>
        <v>369.87619681979322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5.1479999999999997</v>
      </c>
      <c r="D14" s="11">
        <f t="shared" si="32"/>
        <v>1.9604504824312583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54.872249338065849</v>
      </c>
      <c r="H14" s="66">
        <f t="shared" si="1"/>
        <v>305.71388459023444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2.5115384616666665</v>
      </c>
      <c r="N14" s="13">
        <f>IF('Données projet'!$A$36&gt;35,N13+M14-V13,IF(A14&lt;'Données projet'!$A$36,$K$205^A14,IF(A14='Données projet'!$A$36,'Données projet'!$B$36,N13+M14-V13)))</f>
        <v>4.8781565352394285</v>
      </c>
      <c r="O14" s="13">
        <f>N14*VLOOKUP('Données projet'!$B$9,Paramètres!$A$1:$I$89,3,0)*VLOOKUP('Données projet'!$B$9,Paramètres!$A$1:$I$89,5,0)</f>
        <v>4.9464507267327811</v>
      </c>
      <c r="P14" s="13">
        <f t="shared" si="33"/>
        <v>1.8924741976121178</v>
      </c>
      <c r="Q14" s="20">
        <f t="shared" si="2"/>
        <v>11.911127576567367</v>
      </c>
      <c r="R14" s="59">
        <f t="shared" si="0"/>
        <v>305.24446090990068</v>
      </c>
      <c r="S14" s="59">
        <f ca="1">AVERAGE(OFFSET($R$3,0,0,'Données projet'!$E$9+1,1))-AVERAGE(OFFSET($H$3,0,0,'Données projet'!$E$9+1,1))</f>
        <v>561.16051468364344</v>
      </c>
      <c r="T14" s="59">
        <f t="shared" si="34"/>
        <v>137.34523913145267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2.5115384616666665</v>
      </c>
      <c r="AI14" s="13">
        <f>IF('Données projet'!$A$62&gt;35,AI13+AH14-AQ13,IF(A14&lt;'Données projet'!$A$62,$AF$205^A14,IF(A14='Données projet'!$A$62,'Données projet'!$B$62,AI13+AH14-AQ13)))</f>
        <v>4.8781565352394285</v>
      </c>
      <c r="AJ14" s="13">
        <f>AI14*VLOOKUP('Données projet'!$B$10,Paramètres!$A$1:$I$89,3,0)*VLOOKUP('Données projet'!$B$10,Paramètres!$A$1:$I$89,5,0)</f>
        <v>4.4137560330846348</v>
      </c>
      <c r="AK14" s="13">
        <f t="shared" si="35"/>
        <v>1.7112154793573418</v>
      </c>
      <c r="AL14" s="20">
        <f t="shared" si="4"/>
        <v>10.667658717503109</v>
      </c>
      <c r="AM14" s="59">
        <f t="shared" si="5"/>
        <v>304.00099205083643</v>
      </c>
      <c r="AN14" s="59">
        <f ca="1">AVERAGE(OFFSET($AM$3,0,0,'Données projet'!$E$10+1,1))-AVERAGE(OFFSET($H$3,0,0,'Données projet'!$E$10+1,1))</f>
        <v>491.82493848755047</v>
      </c>
      <c r="AO14" s="59">
        <f t="shared" si="36"/>
        <v>119.46953275458026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5.8</v>
      </c>
      <c r="BD14" s="12">
        <f>IF('Données projet'!$A$88&gt;35,BD13+BC14-BL13,IF(A14&lt;'Données projet'!$A$88,$BA$205^A14,IF(A14='Données projet'!$A$88,'Données projet'!$B$88,BD13+BC14-BL13)))</f>
        <v>23.8</v>
      </c>
      <c r="BE14" s="13">
        <f>BD14*VLOOKUP('Données projet'!$B$11,Paramètres!$A$1:$I$89,3,0)*VLOOKUP('Données projet'!$B$11,Paramètres!$A$1:$I$89,5,0)</f>
        <v>20.791680000000003</v>
      </c>
      <c r="BF14" s="13">
        <f t="shared" si="37"/>
        <v>6.7303755760501467</v>
      </c>
      <c r="BG14" s="20">
        <f t="shared" si="7"/>
        <v>47.934246794954014</v>
      </c>
      <c r="BH14" s="59">
        <f t="shared" si="8"/>
        <v>341.26758012828731</v>
      </c>
      <c r="BI14" s="59">
        <f ca="1">AVERAGE(OFFSET($BH$3,0,0,'Données projet'!$E$11+1,1))-AVERAGE(OFFSET($H$3,0,0,'Données projet'!$E$11+1,1))</f>
        <v>216.10252108537389</v>
      </c>
      <c r="BJ14" s="59">
        <f t="shared" si="38"/>
        <v>196.91968622092054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>
        <f>VLOOKUP(A14,'Données projet'!$A$113:$I$133,2,0)</f>
        <v>83</v>
      </c>
      <c r="BW14" s="12">
        <f>VLOOKUP(A14,'Données projet'!$A$113:$I$133,9,0)</f>
        <v>7.5454545454545459</v>
      </c>
      <c r="BX14" s="12">
        <f t="array" ref="BX14">INDEX(BW:BW,MIN(IF(ISNUMBER(BW14:BW210),ROW(BW14:BW210),"")))</f>
        <v>7.5454545454545459</v>
      </c>
      <c r="BY14" s="12">
        <f>IF('Données projet'!$A$114&gt;35,BY13+BX14-CG13,IF(A14&lt;'Données projet'!$A$114,$BV$205^A14,IF(A14='Données projet'!$A$114,'Données projet'!$B$114,BY13+BX14-CG13)))</f>
        <v>83</v>
      </c>
      <c r="BZ14" s="13">
        <f>BY14*VLOOKUP('Données projet'!$B$12,Paramètres!$A$1:$I$89,3,0)*VLOOKUP('Données projet'!$B$12,Paramètres!$A$1:$I$89,5,0)</f>
        <v>49.634</v>
      </c>
      <c r="CA14" s="13">
        <f t="shared" si="39"/>
        <v>14.519198189037462</v>
      </c>
      <c r="CB14" s="20">
        <f t="shared" si="10"/>
        <v>111.73348684590691</v>
      </c>
      <c r="CC14" s="59">
        <f t="shared" si="11"/>
        <v>405.06682017924021</v>
      </c>
      <c r="CD14" s="59">
        <f ca="1">AVERAGE(OFFSET($CC$3,0,0,'Données projet'!$E$12+1,1))-AVERAGE(OFFSET($H$3,0,0,'Données projet'!$E$12+1,1))</f>
        <v>152.85416952858094</v>
      </c>
      <c r="CE14" s="59">
        <f t="shared" si="40"/>
        <v>369.87619681979322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5.6159999999999997</v>
      </c>
      <c r="D15" s="11">
        <f t="shared" si="32"/>
        <v>2.1171218270411956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59.694273752598697</v>
      </c>
      <c r="H15" s="66">
        <f t="shared" si="1"/>
        <v>306.80185384876341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2.5115384616666665</v>
      </c>
      <c r="N15" s="13">
        <f>IF('Données projet'!$A$36&gt;35,N14+M15-V14,IF(A15&lt;'Données projet'!$A$36,$K$205^A15,IF(A15='Données projet'!$A$36,'Données projet'!$B$36,N14+M15-V14)))</f>
        <v>5.6340984974657715</v>
      </c>
      <c r="O15" s="13">
        <f>N15*VLOOKUP('Données projet'!$B$9,Paramètres!$A$1:$I$89,3,0)*VLOOKUP('Données projet'!$B$9,Paramètres!$A$1:$I$89,5,0)</f>
        <v>5.7129758764302929</v>
      </c>
      <c r="P15" s="13">
        <f t="shared" si="33"/>
        <v>2.149392221508398</v>
      </c>
      <c r="Q15" s="20">
        <f t="shared" si="2"/>
        <v>13.693624437243221</v>
      </c>
      <c r="R15" s="59">
        <f t="shared" si="0"/>
        <v>307.02695777057653</v>
      </c>
      <c r="S15" s="59">
        <f ca="1">AVERAGE(OFFSET($R$3,0,0,'Données projet'!$E$9+1,1))-AVERAGE(OFFSET($H$3,0,0,'Données projet'!$E$9+1,1))</f>
        <v>561.16051468364344</v>
      </c>
      <c r="T15" s="59">
        <f t="shared" si="34"/>
        <v>137.34523913145267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2.5115384616666665</v>
      </c>
      <c r="AI15" s="13">
        <f>IF('Données projet'!$A$62&gt;35,AI14+AH15-AQ14,IF(A15&lt;'Données projet'!$A$62,$AF$205^A15,IF(A15='Données projet'!$A$62,'Données projet'!$B$62,AI14+AH15-AQ14)))</f>
        <v>5.6340984974657715</v>
      </c>
      <c r="AJ15" s="13">
        <f>AI15*VLOOKUP('Données projet'!$B$10,Paramètres!$A$1:$I$89,3,0)*VLOOKUP('Données projet'!$B$10,Paramètres!$A$1:$I$89,5,0)</f>
        <v>5.0977323205070295</v>
      </c>
      <c r="AK15" s="13">
        <f t="shared" si="35"/>
        <v>1.9435262289421678</v>
      </c>
      <c r="AL15" s="20">
        <f t="shared" si="4"/>
        <v>12.263525306957353</v>
      </c>
      <c r="AM15" s="59">
        <f t="shared" si="5"/>
        <v>305.59685864029069</v>
      </c>
      <c r="AN15" s="59">
        <f ca="1">AVERAGE(OFFSET($AM$3,0,0,'Données projet'!$E$10+1,1))-AVERAGE(OFFSET($H$3,0,0,'Données projet'!$E$10+1,1))</f>
        <v>491.82493848755047</v>
      </c>
      <c r="AO15" s="59">
        <f t="shared" si="36"/>
        <v>119.46953275458026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5.8</v>
      </c>
      <c r="BD15" s="12">
        <f>IF('Données projet'!$A$88&gt;35,BD14+BC15-BL14,IF(A15&lt;'Données projet'!$A$88,$BA$205^A15,IF(A15='Données projet'!$A$88,'Données projet'!$B$88,BD14+BC15-BL14)))</f>
        <v>29.6</v>
      </c>
      <c r="BE15" s="13">
        <f>BD15*VLOOKUP('Données projet'!$B$11,Paramètres!$A$1:$I$89,3,0)*VLOOKUP('Données projet'!$B$11,Paramètres!$A$1:$I$89,5,0)</f>
        <v>25.858560000000008</v>
      </c>
      <c r="BF15" s="13">
        <f t="shared" si="37"/>
        <v>8.1607346448714608</v>
      </c>
      <c r="BG15" s="20">
        <f t="shared" si="7"/>
        <v>59.250271506484466</v>
      </c>
      <c r="BH15" s="59">
        <f t="shared" si="8"/>
        <v>352.58360483981778</v>
      </c>
      <c r="BI15" s="59">
        <f ca="1">AVERAGE(OFFSET($BH$3,0,0,'Données projet'!$E$11+1,1))-AVERAGE(OFFSET($H$3,0,0,'Données projet'!$E$11+1,1))</f>
        <v>216.10252108537389</v>
      </c>
      <c r="BJ15" s="59">
        <f t="shared" si="38"/>
        <v>196.91968622092054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>
        <f>VLOOKUP(A15,'Données projet'!$A$113:$I$133,2,0)</f>
        <v>106</v>
      </c>
      <c r="BW15" s="12">
        <f>VLOOKUP(A15,'Données projet'!$A$113:$I$133,9,0)</f>
        <v>23</v>
      </c>
      <c r="BX15" s="12">
        <f t="array" ref="BX15">INDEX(BW:BW,MIN(IF(ISNUMBER(BW15:BW211),ROW(BW15:BW211),"")))</f>
        <v>23</v>
      </c>
      <c r="BY15" s="12">
        <f>IF('Données projet'!$A$114&gt;35,BY14+BX15-CG14,IF(A15&lt;'Données projet'!$A$114,$BV$205^A15,IF(A15='Données projet'!$A$114,'Données projet'!$B$114,BY14+BX15-CG14)))</f>
        <v>106</v>
      </c>
      <c r="BZ15" s="13">
        <f>BY15*VLOOKUP('Données projet'!$B$12,Paramètres!$A$1:$I$89,3,0)*VLOOKUP('Données projet'!$B$12,Paramètres!$A$1:$I$89,5,0)</f>
        <v>63.388000000000012</v>
      </c>
      <c r="CA15" s="13">
        <f t="shared" si="39"/>
        <v>18.022104085041263</v>
      </c>
      <c r="CB15" s="20">
        <f t="shared" si="10"/>
        <v>141.78926461478019</v>
      </c>
      <c r="CC15" s="59">
        <f t="shared" si="11"/>
        <v>435.12259794811348</v>
      </c>
      <c r="CD15" s="59">
        <f ca="1">AVERAGE(OFFSET($CC$3,0,0,'Données projet'!$E$12+1,1))-AVERAGE(OFFSET($H$3,0,0,'Données projet'!$E$12+1,1))</f>
        <v>152.85416952858094</v>
      </c>
      <c r="CE15" s="59">
        <f t="shared" si="40"/>
        <v>369.87619681979322</v>
      </c>
      <c r="CF15" s="15">
        <f>IF(ISNA(VLOOKUP(A15,'Données projet'!$A$113:$I$133,3,0)),0,VLOOKUP(A15,'Données projet'!$A$113:$I$133,3,0))</f>
        <v>1</v>
      </c>
      <c r="CG15" s="15">
        <f>IF(ISNA(VLOOKUP(A15,'Données projet'!$A$113:$I$133,4,0)),0,VLOOKUP(A15,'Données projet'!$A$113:$I$133,4,0))</f>
        <v>34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1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23.020547073308105</v>
      </c>
      <c r="CN15" s="22">
        <f t="shared" si="12"/>
        <v>23.020547073308105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6.0839999999999996</v>
      </c>
      <c r="D16" s="11">
        <f t="shared" si="32"/>
        <v>2.2722789577396263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64.504609498340969</v>
      </c>
      <c r="H16" s="66">
        <f t="shared" si="1"/>
        <v>307.88718585139651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2.5115384616666665</v>
      </c>
      <c r="N16" s="13">
        <f>IF('Données projet'!$A$36&gt;35,N15+M16-V15,IF(A16&lt;'Données projet'!$A$36,$K$205^A16,IF(A16='Données projet'!$A$36,'Données projet'!$B$36,N15+M16-V15)))</f>
        <v>6.5071847633089641</v>
      </c>
      <c r="O16" s="13">
        <f>N16*VLOOKUP('Données projet'!$B$9,Paramètres!$A$1:$I$89,3,0)*VLOOKUP('Données projet'!$B$9,Paramètres!$A$1:$I$89,5,0)</f>
        <v>6.5982853499952894</v>
      </c>
      <c r="P16" s="13">
        <f t="shared" si="33"/>
        <v>2.4411888562127162</v>
      </c>
      <c r="Q16" s="20">
        <f t="shared" si="2"/>
        <v>15.743750909145609</v>
      </c>
      <c r="R16" s="59">
        <f t="shared" si="0"/>
        <v>309.07708424247892</v>
      </c>
      <c r="S16" s="59">
        <f ca="1">AVERAGE(OFFSET($R$3,0,0,'Données projet'!$E$9+1,1))-AVERAGE(OFFSET($H$3,0,0,'Données projet'!$E$9+1,1))</f>
        <v>561.16051468364344</v>
      </c>
      <c r="T16" s="59">
        <f t="shared" si="34"/>
        <v>137.34523913145267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2.5115384616666665</v>
      </c>
      <c r="AI16" s="13">
        <f>IF('Données projet'!$A$62&gt;35,AI15+AH16-AQ15,IF(A16&lt;'Données projet'!$A$62,$AF$205^A16,IF(A16='Données projet'!$A$62,'Données projet'!$B$62,AI15+AH16-AQ15)))</f>
        <v>6.5071847633089641</v>
      </c>
      <c r="AJ16" s="13">
        <f>AI16*VLOOKUP('Données projet'!$B$10,Paramètres!$A$1:$I$89,3,0)*VLOOKUP('Données projet'!$B$10,Paramètres!$A$1:$I$89,5,0)</f>
        <v>5.8877007738419502</v>
      </c>
      <c r="AK16" s="13">
        <f t="shared" si="35"/>
        <v>2.2073749613372775</v>
      </c>
      <c r="AL16" s="20">
        <f t="shared" si="4"/>
        <v>14.098923572103821</v>
      </c>
      <c r="AM16" s="59">
        <f t="shared" si="5"/>
        <v>307.43225690543716</v>
      </c>
      <c r="AN16" s="59">
        <f ca="1">AVERAGE(OFFSET($AM$3,0,0,'Données projet'!$E$10+1,1))-AVERAGE(OFFSET($H$3,0,0,'Données projet'!$E$10+1,1))</f>
        <v>491.82493848755047</v>
      </c>
      <c r="AO16" s="59">
        <f t="shared" si="36"/>
        <v>119.46953275458026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5.8</v>
      </c>
      <c r="BD16" s="12">
        <f>IF('Données projet'!$A$88&gt;35,BD15+BC16-BL15,IF(A16&lt;'Données projet'!$A$88,$BA$205^A16,IF(A16='Données projet'!$A$88,'Données projet'!$B$88,BD15+BC16-BL15)))</f>
        <v>35.4</v>
      </c>
      <c r="BE16" s="13">
        <f>BD16*VLOOKUP('Données projet'!$B$11,Paramètres!$A$1:$I$89,3,0)*VLOOKUP('Données projet'!$B$11,Paramètres!$A$1:$I$89,5,0)</f>
        <v>30.925440000000002</v>
      </c>
      <c r="BF16" s="13">
        <f t="shared" si="37"/>
        <v>9.5586196975402125</v>
      </c>
      <c r="BG16" s="20">
        <f t="shared" si="7"/>
        <v>70.509737306549212</v>
      </c>
      <c r="BH16" s="59">
        <f t="shared" si="8"/>
        <v>363.84307063988251</v>
      </c>
      <c r="BI16" s="59">
        <f ca="1">AVERAGE(OFFSET($BH$3,0,0,'Données projet'!$E$11+1,1))-AVERAGE(OFFSET($H$3,0,0,'Données projet'!$E$11+1,1))</f>
        <v>216.10252108537389</v>
      </c>
      <c r="BJ16" s="59">
        <f t="shared" si="38"/>
        <v>196.91968622092054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>
        <f>VLOOKUP(A16,'Données projet'!$A$113:$I$133,2,0)</f>
        <v>89</v>
      </c>
      <c r="BW16" s="12">
        <f>VLOOKUP(A16,'Données projet'!$A$113:$I$133,9,0)</f>
        <v>17</v>
      </c>
      <c r="BX16" s="12">
        <f t="array" ref="BX16">INDEX(BW:BW,MIN(IF(ISNUMBER(BW16:BW212),ROW(BW16:BW212),"")))</f>
        <v>17</v>
      </c>
      <c r="BY16" s="12">
        <f>IF('Données projet'!$A$114&gt;35,BY15+BX16-CG15,IF(A16&lt;'Données projet'!$A$114,$BV$205^A16,IF(A16='Données projet'!$A$114,'Données projet'!$B$114,BY15+BX16-CG15)))</f>
        <v>89</v>
      </c>
      <c r="BZ16" s="13">
        <f>BY16*VLOOKUP('Données projet'!$B$12,Paramètres!$A$1:$I$89,3,0)*VLOOKUP('Données projet'!$B$12,Paramètres!$A$1:$I$89,5,0)</f>
        <v>53.222000000000008</v>
      </c>
      <c r="CA16" s="13">
        <f t="shared" si="39"/>
        <v>15.442806897867877</v>
      </c>
      <c r="CB16" s="20">
        <f t="shared" si="10"/>
        <v>119.59120534711991</v>
      </c>
      <c r="CC16" s="59">
        <f t="shared" si="11"/>
        <v>412.92453868045322</v>
      </c>
      <c r="CD16" s="59">
        <f ca="1">AVERAGE(OFFSET($CC$3,0,0,'Données projet'!$E$12+1,1))-AVERAGE(OFFSET($H$3,0,0,'Données projet'!$E$12+1,1))</f>
        <v>152.85416952858094</v>
      </c>
      <c r="CE16" s="59">
        <f t="shared" si="40"/>
        <v>369.87619681979322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16.277984942160291</v>
      </c>
      <c r="CN16" s="22">
        <f t="shared" si="12"/>
        <v>16.277984942160291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6.5519999999999996</v>
      </c>
      <c r="D17" s="11">
        <f t="shared" si="32"/>
        <v>2.4260515959655735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69.304257933769335</v>
      </c>
      <c r="H17" s="66">
        <f t="shared" si="1"/>
        <v>308.97010652964002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2.5115384616666665</v>
      </c>
      <c r="N17" s="13">
        <f>IF('Données projet'!$A$36&gt;35,N16+M17-V16,IF(A17&lt;'Données projet'!$A$36,$K$205^A17,IF(A17='Données projet'!$A$36,'Données projet'!$B$36,N16+M17-V16)))</f>
        <v>7.5155685621908308</v>
      </c>
      <c r="O17" s="13">
        <f>N17*VLOOKUP('Données projet'!$B$9,Paramètres!$A$1:$I$89,3,0)*VLOOKUP('Données projet'!$B$9,Paramètres!$A$1:$I$89,5,0)</f>
        <v>7.6207865220615032</v>
      </c>
      <c r="P17" s="13">
        <f t="shared" si="33"/>
        <v>2.7725991431731201</v>
      </c>
      <c r="Q17" s="20">
        <f t="shared" si="2"/>
        <v>18.101813366950303</v>
      </c>
      <c r="R17" s="59">
        <f t="shared" si="0"/>
        <v>311.43514670028361</v>
      </c>
      <c r="S17" s="59">
        <f ca="1">AVERAGE(OFFSET($R$3,0,0,'Données projet'!$E$9+1,1))-AVERAGE(OFFSET($H$3,0,0,'Données projet'!$E$9+1,1))</f>
        <v>561.16051468364344</v>
      </c>
      <c r="T17" s="59">
        <f t="shared" si="34"/>
        <v>137.34523913145267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2.5115384616666665</v>
      </c>
      <c r="AI17" s="13">
        <f>IF('Données projet'!$A$62&gt;35,AI16+AH17-AQ16,IF(A17&lt;'Données projet'!$A$62,$AF$205^A17,IF(A17='Données projet'!$A$62,'Données projet'!$B$62,AI16+AH17-AQ16)))</f>
        <v>7.5155685621908308</v>
      </c>
      <c r="AJ17" s="13">
        <f>AI17*VLOOKUP('Données projet'!$B$10,Paramètres!$A$1:$I$89,3,0)*VLOOKUP('Données projet'!$B$10,Paramètres!$A$1:$I$89,5,0)</f>
        <v>6.8000864350702628</v>
      </c>
      <c r="AK17" s="13">
        <f t="shared" si="35"/>
        <v>2.5070432018768174</v>
      </c>
      <c r="AL17" s="20">
        <f t="shared" si="4"/>
        <v>16.209917451016164</v>
      </c>
      <c r="AM17" s="59">
        <f t="shared" si="5"/>
        <v>309.54325078434948</v>
      </c>
      <c r="AN17" s="59">
        <f ca="1">AVERAGE(OFFSET($AM$3,0,0,'Données projet'!$E$10+1,1))-AVERAGE(OFFSET($H$3,0,0,'Données projet'!$E$10+1,1))</f>
        <v>491.82493848755047</v>
      </c>
      <c r="AO17" s="59">
        <f t="shared" si="36"/>
        <v>119.46953275458026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5.8</v>
      </c>
      <c r="BD17" s="12">
        <f>IF('Données projet'!$A$88&gt;35,BD16+BC17-BL16,IF(A17&lt;'Données projet'!$A$88,$BA$205^A17,IF(A17='Données projet'!$A$88,'Données projet'!$B$88,BD16+BC17-BL16)))</f>
        <v>41.199999999999996</v>
      </c>
      <c r="BE17" s="13">
        <f>BD17*VLOOKUP('Données projet'!$B$11,Paramètres!$A$1:$I$89,3,0)*VLOOKUP('Données projet'!$B$11,Paramètres!$A$1:$I$89,5,0)</f>
        <v>35.992319999999999</v>
      </c>
      <c r="BF17" s="13">
        <f t="shared" si="37"/>
        <v>10.929972788578748</v>
      </c>
      <c r="BG17" s="20">
        <f t="shared" si="7"/>
        <v>81.722993273441304</v>
      </c>
      <c r="BH17" s="59">
        <f t="shared" si="8"/>
        <v>375.05632660677463</v>
      </c>
      <c r="BI17" s="59">
        <f ca="1">AVERAGE(OFFSET($BH$3,0,0,'Données projet'!$E$11+1,1))-AVERAGE(OFFSET($H$3,0,0,'Données projet'!$E$11+1,1))</f>
        <v>216.10252108537389</v>
      </c>
      <c r="BJ17" s="59">
        <f t="shared" si="38"/>
        <v>196.91968622092054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>
        <f>VLOOKUP(A17,'Données projet'!$A$113:$I$133,2,0)</f>
        <v>110</v>
      </c>
      <c r="BW17" s="12">
        <f>VLOOKUP(A17,'Données projet'!$A$113:$I$133,9,0)</f>
        <v>21</v>
      </c>
      <c r="BX17" s="12">
        <f t="array" ref="BX17">INDEX(BW:BW,MIN(IF(ISNUMBER(BW17:BW213),ROW(BW17:BW213),"")))</f>
        <v>21</v>
      </c>
      <c r="BY17" s="12">
        <f>IF('Données projet'!$A$114&gt;35,BY16+BX17-CG16,IF(A17&lt;'Données projet'!$A$114,$BV$205^A17,IF(A17='Données projet'!$A$114,'Données projet'!$B$114,BY16+BX17-CG16)))</f>
        <v>110</v>
      </c>
      <c r="BZ17" s="13">
        <f>BY17*VLOOKUP('Données projet'!$B$12,Paramètres!$A$1:$I$89,3,0)*VLOOKUP('Données projet'!$B$12,Paramètres!$A$1:$I$89,5,0)</f>
        <v>65.78</v>
      </c>
      <c r="CA17" s="13">
        <f t="shared" si="39"/>
        <v>18.621720661480644</v>
      </c>
      <c r="CB17" s="20">
        <f t="shared" si="10"/>
        <v>146.99966348541213</v>
      </c>
      <c r="CC17" s="59">
        <f t="shared" si="11"/>
        <v>440.33299681874541</v>
      </c>
      <c r="CD17" s="59">
        <f ca="1">AVERAGE(OFFSET($CC$3,0,0,'Données projet'!$E$12+1,1))-AVERAGE(OFFSET($H$3,0,0,'Données projet'!$E$12+1,1))</f>
        <v>152.85416952858094</v>
      </c>
      <c r="CE17" s="59">
        <f t="shared" si="40"/>
        <v>369.87619681979322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11.510273536654053</v>
      </c>
      <c r="CN17" s="22">
        <f t="shared" si="12"/>
        <v>11.510273536654053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7.02</v>
      </c>
      <c r="D18" s="11">
        <f t="shared" si="32"/>
        <v>2.5785498814341232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74.094069260193223</v>
      </c>
      <c r="H18" s="66">
        <f t="shared" si="1"/>
        <v>310.05080771016441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2.5115384616666665</v>
      </c>
      <c r="N18" s="13">
        <f>IF('Données projet'!$A$36&gt;35,N17+M18-V17,IF(A18&lt;'Données projet'!$A$36,$K$205^A18,IF(A18='Données projet'!$A$36,'Données projet'!$B$36,N17+M18-V17)))</f>
        <v>8.6802162329057069</v>
      </c>
      <c r="O18" s="13">
        <f>N18*VLOOKUP('Données projet'!$B$9,Paramètres!$A$1:$I$89,3,0)*VLOOKUP('Données projet'!$B$9,Paramètres!$A$1:$I$89,5,0)</f>
        <v>8.8017392601663875</v>
      </c>
      <c r="P18" s="13">
        <f t="shared" si="33"/>
        <v>3.1490009423730032</v>
      </c>
      <c r="Q18" s="20">
        <f t="shared" si="2"/>
        <v>20.814205852756107</v>
      </c>
      <c r="R18" s="59">
        <f t="shared" si="0"/>
        <v>314.14753918608943</v>
      </c>
      <c r="S18" s="59">
        <f ca="1">AVERAGE(OFFSET($R$3,0,0,'Données projet'!$E$9+1,1))-AVERAGE(OFFSET($H$3,0,0,'Données projet'!$E$9+1,1))</f>
        <v>561.16051468364344</v>
      </c>
      <c r="T18" s="59">
        <f t="shared" si="34"/>
        <v>137.34523913145267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2.5115384616666665</v>
      </c>
      <c r="AI18" s="13">
        <f>IF('Données projet'!$A$62&gt;35,AI17+AH18-AQ17,IF(A18&lt;'Données projet'!$A$62,$AF$205^A18,IF(A18='Données projet'!$A$62,'Données projet'!$B$62,AI17+AH18-AQ17)))</f>
        <v>8.6802162329057069</v>
      </c>
      <c r="AJ18" s="13">
        <f>AI18*VLOOKUP('Données projet'!$B$10,Paramètres!$A$1:$I$89,3,0)*VLOOKUP('Données projet'!$B$10,Paramètres!$A$1:$I$89,5,0)</f>
        <v>7.8538596475330831</v>
      </c>
      <c r="AK18" s="13">
        <f t="shared" si="35"/>
        <v>2.8473937261066919</v>
      </c>
      <c r="AL18" s="20">
        <f t="shared" si="4"/>
        <v>18.638016292422606</v>
      </c>
      <c r="AM18" s="59">
        <f t="shared" si="5"/>
        <v>311.97134962575592</v>
      </c>
      <c r="AN18" s="59">
        <f ca="1">AVERAGE(OFFSET($AM$3,0,0,'Données projet'!$E$10+1,1))-AVERAGE(OFFSET($H$3,0,0,'Données projet'!$E$10+1,1))</f>
        <v>491.82493848755047</v>
      </c>
      <c r="AO18" s="59">
        <f t="shared" si="36"/>
        <v>119.46953275458026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>
        <f>VLOOKUP(A18,'Données projet'!$A$87:$I$107,2,0)</f>
        <v>47</v>
      </c>
      <c r="BB18" s="12">
        <f>VLOOKUP(A18,'Données projet'!$A$87:$I$107,9,0)</f>
        <v>5.8</v>
      </c>
      <c r="BC18" s="12">
        <f t="array" ref="BC18">INDEX(BB:BB,MIN(IF(ISNUMBER(BB18:BB214),ROW(BB18:BB214),"")))</f>
        <v>5.8</v>
      </c>
      <c r="BD18" s="12">
        <f>IF('Données projet'!$A$88&gt;35,BD17+BC18-BL17,IF(A18&lt;'Données projet'!$A$88,$BA$205^A18,IF(A18='Données projet'!$A$88,'Données projet'!$B$88,BD17+BC18-BL17)))</f>
        <v>46.999999999999993</v>
      </c>
      <c r="BE18" s="13">
        <f>BD18*VLOOKUP('Données projet'!$B$11,Paramètres!$A$1:$I$89,3,0)*VLOOKUP('Données projet'!$B$11,Paramètres!$A$1:$I$89,5,0)</f>
        <v>41.059200000000004</v>
      </c>
      <c r="BF18" s="13">
        <f t="shared" si="37"/>
        <v>12.278959527914743</v>
      </c>
      <c r="BG18" s="20">
        <f t="shared" si="7"/>
        <v>92.897294511118176</v>
      </c>
      <c r="BH18" s="59">
        <f t="shared" si="8"/>
        <v>386.23062784445148</v>
      </c>
      <c r="BI18" s="59">
        <f ca="1">AVERAGE(OFFSET($BH$3,0,0,'Données projet'!$E$11+1,1))-AVERAGE(OFFSET($H$3,0,0,'Données projet'!$E$11+1,1))</f>
        <v>216.10252108537389</v>
      </c>
      <c r="BJ18" s="59">
        <f t="shared" si="38"/>
        <v>196.91968622092054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>
        <f>VLOOKUP(A18,'Données projet'!$A$113:$I$133,2,0)</f>
        <v>131</v>
      </c>
      <c r="BW18" s="12">
        <f>VLOOKUP(A18,'Données projet'!$A$113:$I$133,9,0)</f>
        <v>21</v>
      </c>
      <c r="BX18" s="12">
        <f t="array" ref="BX18">INDEX(BW:BW,MIN(IF(ISNUMBER(BW18:BW214),ROW(BW18:BW214),"")))</f>
        <v>21</v>
      </c>
      <c r="BY18" s="12">
        <f>IF('Données projet'!$A$114&gt;35,BY17+BX18-CG17,IF(A18&lt;'Données projet'!$A$114,$BV$205^A18,IF(A18='Données projet'!$A$114,'Données projet'!$B$114,BY17+BX18-CG17)))</f>
        <v>131</v>
      </c>
      <c r="BZ18" s="13">
        <f>BY18*VLOOKUP('Données projet'!$B$12,Paramètres!$A$1:$I$89,3,0)*VLOOKUP('Données projet'!$B$12,Paramètres!$A$1:$I$89,5,0)</f>
        <v>78.338000000000008</v>
      </c>
      <c r="CA18" s="13">
        <f t="shared" si="39"/>
        <v>21.730321306378922</v>
      </c>
      <c r="CB18" s="20">
        <f t="shared" si="10"/>
        <v>174.28565960860999</v>
      </c>
      <c r="CC18" s="59">
        <f t="shared" si="11"/>
        <v>467.6189929419433</v>
      </c>
      <c r="CD18" s="59">
        <f ca="1">AVERAGE(OFFSET($CC$3,0,0,'Données projet'!$E$12+1,1))-AVERAGE(OFFSET($H$3,0,0,'Données projet'!$E$12+1,1))</f>
        <v>152.85416952858094</v>
      </c>
      <c r="CE18" s="59">
        <f t="shared" si="40"/>
        <v>369.87619681979322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8.1389924710801456</v>
      </c>
      <c r="CN18" s="22">
        <f t="shared" si="12"/>
        <v>8.1389924710801456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7.4879999999999995</v>
      </c>
      <c r="D19" s="11">
        <f t="shared" si="32"/>
        <v>2.7298684377500635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78.874773905439085</v>
      </c>
      <c r="H19" s="66">
        <f t="shared" si="1"/>
        <v>311.129454195748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2.5115384616666665</v>
      </c>
      <c r="N19" s="13">
        <f>IF('Données projet'!$A$36&gt;35,N18+M19-V18,IF(A19&lt;'Données projet'!$A$36,$K$205^A19,IF(A19='Données projet'!$A$36,'Données projet'!$B$36,N18+M19-V18)))</f>
        <v>10.025343156211713</v>
      </c>
      <c r="O19" s="13">
        <f>N19*VLOOKUP('Données projet'!$B$9,Paramètres!$A$1:$I$89,3,0)*VLOOKUP('Données projet'!$B$9,Paramètres!$A$1:$I$89,5,0)</f>
        <v>10.165697960398678</v>
      </c>
      <c r="P19" s="13">
        <f t="shared" si="33"/>
        <v>3.5765021999240014</v>
      </c>
      <c r="Q19" s="20">
        <f t="shared" si="2"/>
        <v>23.934331945895334</v>
      </c>
      <c r="R19" s="59">
        <f t="shared" si="0"/>
        <v>317.26766527922865</v>
      </c>
      <c r="S19" s="59">
        <f ca="1">AVERAGE(OFFSET($R$3,0,0,'Données projet'!$E$9+1,1))-AVERAGE(OFFSET($H$3,0,0,'Données projet'!$E$9+1,1))</f>
        <v>561.16051468364344</v>
      </c>
      <c r="T19" s="59">
        <f t="shared" si="34"/>
        <v>137.34523913145267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2.5115384616666665</v>
      </c>
      <c r="AI19" s="13">
        <f>IF('Données projet'!$A$62&gt;35,AI18+AH19-AQ18,IF(A19&lt;'Données projet'!$A$62,$AF$205^A19,IF(A19='Données projet'!$A$62,'Données projet'!$B$62,AI18+AH19-AQ18)))</f>
        <v>10.025343156211713</v>
      </c>
      <c r="AJ19" s="13">
        <f>AI19*VLOOKUP('Données projet'!$B$10,Paramètres!$A$1:$I$89,3,0)*VLOOKUP('Données projet'!$B$10,Paramètres!$A$1:$I$89,5,0)</f>
        <v>9.0709304877403572</v>
      </c>
      <c r="AK19" s="13">
        <f t="shared" si="35"/>
        <v>3.2339494690008594</v>
      </c>
      <c r="AL19" s="20">
        <f t="shared" si="4"/>
        <v>21.430999257990951</v>
      </c>
      <c r="AM19" s="59">
        <f t="shared" si="5"/>
        <v>314.76433259132426</v>
      </c>
      <c r="AN19" s="59">
        <f ca="1">AVERAGE(OFFSET($AM$3,0,0,'Données projet'!$E$10+1,1))-AVERAGE(OFFSET($H$3,0,0,'Données projet'!$E$10+1,1))</f>
        <v>491.82493848755047</v>
      </c>
      <c r="AO19" s="59">
        <f t="shared" si="36"/>
        <v>119.46953275458026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8</v>
      </c>
      <c r="BD19" s="12">
        <f>IF('Données projet'!$A$88&gt;35,BD18+BC19-BL18,IF(A19&lt;'Données projet'!$A$88,$BA$205^A19,IF(A19='Données projet'!$A$88,'Données projet'!$B$88,BD18+BC19-BL18)))</f>
        <v>54.999999999999993</v>
      </c>
      <c r="BE19" s="13">
        <f>BD19*VLOOKUP('Données projet'!$B$11,Paramètres!$A$1:$I$89,3,0)*VLOOKUP('Données projet'!$B$11,Paramètres!$A$1:$I$89,5,0)</f>
        <v>48.048000000000002</v>
      </c>
      <c r="BF19" s="13">
        <f t="shared" si="37"/>
        <v>14.108484750160615</v>
      </c>
      <c r="BG19" s="20">
        <f t="shared" si="7"/>
        <v>108.25587760652974</v>
      </c>
      <c r="BH19" s="59">
        <f t="shared" si="8"/>
        <v>401.58921093986305</v>
      </c>
      <c r="BI19" s="59">
        <f ca="1">AVERAGE(OFFSET($BH$3,0,0,'Données projet'!$E$11+1,1))-AVERAGE(OFFSET($H$3,0,0,'Données projet'!$E$11+1,1))</f>
        <v>216.10252108537389</v>
      </c>
      <c r="BJ19" s="59">
        <f t="shared" si="38"/>
        <v>196.91968622092054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>
        <f>VLOOKUP(A19,'Données projet'!$A$113:$I$133,2,0)</f>
        <v>153</v>
      </c>
      <c r="BW19" s="12">
        <f>VLOOKUP(A19,'Données projet'!$A$113:$I$133,9,0)</f>
        <v>22</v>
      </c>
      <c r="BX19" s="12">
        <f t="array" ref="BX19">INDEX(BW:BW,MIN(IF(ISNUMBER(BW19:BW215),ROW(BW19:BW215),"")))</f>
        <v>22</v>
      </c>
      <c r="BY19" s="12">
        <f>IF('Données projet'!$A$114&gt;35,BY18+BX19-CG18,IF(A19&lt;'Données projet'!$A$114,$BV$205^A19,IF(A19='Données projet'!$A$114,'Données projet'!$B$114,BY18+BX19-CG18)))</f>
        <v>153</v>
      </c>
      <c r="BZ19" s="13">
        <f>BY19*VLOOKUP('Données projet'!$B$12,Paramètres!$A$1:$I$89,3,0)*VLOOKUP('Données projet'!$B$12,Paramètres!$A$1:$I$89,5,0)</f>
        <v>91.494000000000014</v>
      </c>
      <c r="CA19" s="13">
        <f t="shared" si="39"/>
        <v>24.925195840896542</v>
      </c>
      <c r="CB19" s="20">
        <f t="shared" si="10"/>
        <v>202.76343275622813</v>
      </c>
      <c r="CC19" s="59">
        <f t="shared" si="11"/>
        <v>496.09676608956147</v>
      </c>
      <c r="CD19" s="59">
        <f ca="1">AVERAGE(OFFSET($CC$3,0,0,'Données projet'!$E$12+1,1))-AVERAGE(OFFSET($H$3,0,0,'Données projet'!$E$12+1,1))</f>
        <v>152.85416952858094</v>
      </c>
      <c r="CE19" s="59">
        <f t="shared" si="40"/>
        <v>369.87619681979322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5.7551367683270263</v>
      </c>
      <c r="CN19" s="22">
        <f t="shared" si="12"/>
        <v>5.7551367683270263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7.9559999999999995</v>
      </c>
      <c r="D20" s="11">
        <f t="shared" si="32"/>
        <v>2.880089392049658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83.647005833365782</v>
      </c>
      <c r="H20" s="66">
        <f t="shared" si="1"/>
        <v>312.20618902448649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2.5115384616666665</v>
      </c>
      <c r="N20" s="13">
        <f>IF('Données projet'!$A$36&gt;35,N19+M20-V19,IF(A20&lt;'Données projet'!$A$36,$K$205^A20,IF(A20='Données projet'!$A$36,'Données projet'!$B$36,N19+M20-V19)))</f>
        <v>11.578917241576145</v>
      </c>
      <c r="O20" s="13">
        <f>N20*VLOOKUP('Données projet'!$B$9,Paramètres!$A$1:$I$89,3,0)*VLOOKUP('Données projet'!$B$9,Paramètres!$A$1:$I$89,5,0)</f>
        <v>11.74102208295821</v>
      </c>
      <c r="P20" s="13">
        <f t="shared" si="33"/>
        <v>4.0620400629102322</v>
      </c>
      <c r="Q20" s="20">
        <f t="shared" si="2"/>
        <v>27.523666570720867</v>
      </c>
      <c r="R20" s="59">
        <f t="shared" si="0"/>
        <v>320.85699990405419</v>
      </c>
      <c r="S20" s="59">
        <f ca="1">AVERAGE(OFFSET($R$3,0,0,'Données projet'!$E$9+1,1))-AVERAGE(OFFSET($H$3,0,0,'Données projet'!$E$9+1,1))</f>
        <v>561.16051468364344</v>
      </c>
      <c r="T20" s="59">
        <f t="shared" si="34"/>
        <v>137.34523913145267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2.5115384616666665</v>
      </c>
      <c r="AI20" s="13">
        <f>IF('Données projet'!$A$62&gt;35,AI19+AH20-AQ19,IF(A20&lt;'Données projet'!$A$62,$AF$205^A20,IF(A20='Données projet'!$A$62,'Données projet'!$B$62,AI19+AH20-AQ19)))</f>
        <v>11.578917241576145</v>
      </c>
      <c r="AJ20" s="13">
        <f>AI20*VLOOKUP('Données projet'!$B$10,Paramètres!$A$1:$I$89,3,0)*VLOOKUP('Données projet'!$B$10,Paramètres!$A$1:$I$89,5,0)</f>
        <v>10.476604320178096</v>
      </c>
      <c r="AK20" s="13">
        <f t="shared" si="35"/>
        <v>3.6729831467146621</v>
      </c>
      <c r="AL20" s="20">
        <f t="shared" si="4"/>
        <v>24.643864838171552</v>
      </c>
      <c r="AM20" s="59">
        <f t="shared" si="5"/>
        <v>317.97719817150488</v>
      </c>
      <c r="AN20" s="59">
        <f ca="1">AVERAGE(OFFSET($AM$3,0,0,'Données projet'!$E$10+1,1))-AVERAGE(OFFSET($H$3,0,0,'Données projet'!$E$10+1,1))</f>
        <v>491.82493848755047</v>
      </c>
      <c r="AO20" s="59">
        <f t="shared" si="36"/>
        <v>119.46953275458026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8</v>
      </c>
      <c r="BD20" s="12">
        <f>IF('Données projet'!$A$88&gt;35,BD19+BC20-BL19,IF(A20&lt;'Données projet'!$A$88,$BA$205^A20,IF(A20='Données projet'!$A$88,'Données projet'!$B$88,BD19+BC20-BL19)))</f>
        <v>62.999999999999993</v>
      </c>
      <c r="BE20" s="13">
        <f>BD20*VLOOKUP('Données projet'!$B$11,Paramètres!$A$1:$I$89,3,0)*VLOOKUP('Données projet'!$B$11,Paramètres!$A$1:$I$89,5,0)</f>
        <v>55.036800000000007</v>
      </c>
      <c r="BF20" s="13">
        <f t="shared" si="37"/>
        <v>15.907180538864345</v>
      </c>
      <c r="BG20" s="20">
        <f t="shared" si="7"/>
        <v>123.56076610518875</v>
      </c>
      <c r="BH20" s="59">
        <f t="shared" si="8"/>
        <v>416.89409943852206</v>
      </c>
      <c r="BI20" s="59">
        <f ca="1">AVERAGE(OFFSET($BH$3,0,0,'Données projet'!$E$11+1,1))-AVERAGE(OFFSET($H$3,0,0,'Données projet'!$E$11+1,1))</f>
        <v>216.10252108537389</v>
      </c>
      <c r="BJ20" s="59">
        <f t="shared" si="38"/>
        <v>196.91968622092054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>
        <f>VLOOKUP(A20,'Données projet'!$A$113:$I$133,2,0)</f>
        <v>176</v>
      </c>
      <c r="BW20" s="12">
        <f>VLOOKUP(A20,'Données projet'!$A$113:$I$133,9,0)</f>
        <v>23</v>
      </c>
      <c r="BX20" s="12">
        <f t="array" ref="BX20">INDEX(BW:BW,MIN(IF(ISNUMBER(BW20:BW216),ROW(BW20:BW216),"")))</f>
        <v>23</v>
      </c>
      <c r="BY20" s="12">
        <f>IF('Données projet'!$A$114&gt;35,BY19+BX20-CG19,IF(A20&lt;'Données projet'!$A$114,$BV$205^A20,IF(A20='Données projet'!$A$114,'Données projet'!$B$114,BY19+BX20-CG19)))</f>
        <v>176</v>
      </c>
      <c r="BZ20" s="13">
        <f>BY20*VLOOKUP('Données projet'!$B$12,Paramètres!$A$1:$I$89,3,0)*VLOOKUP('Données projet'!$B$12,Paramètres!$A$1:$I$89,5,0)</f>
        <v>105.24800000000002</v>
      </c>
      <c r="CA20" s="13">
        <f t="shared" si="39"/>
        <v>28.208515027560551</v>
      </c>
      <c r="CB20" s="20">
        <f t="shared" si="10"/>
        <v>232.43676367300131</v>
      </c>
      <c r="CC20" s="59">
        <f t="shared" si="11"/>
        <v>525.77009700633459</v>
      </c>
      <c r="CD20" s="59">
        <f ca="1">AVERAGE(OFFSET($CC$3,0,0,'Données projet'!$E$12+1,1))-AVERAGE(OFFSET($H$3,0,0,'Données projet'!$E$12+1,1))</f>
        <v>152.85416952858094</v>
      </c>
      <c r="CE20" s="59">
        <f t="shared" si="40"/>
        <v>369.87619681979322</v>
      </c>
      <c r="CF20" s="15">
        <f>IF(ISNA(VLOOKUP(A20,'Données projet'!$A$113:$I$133,3,0)),0,VLOOKUP(A20,'Données projet'!$A$113:$I$133,3,0))</f>
        <v>2</v>
      </c>
      <c r="CG20" s="15">
        <f>IF(ISNA(VLOOKUP(A20,'Données projet'!$A$113:$I$133,4,0)),0,VLOOKUP(A20,'Données projet'!$A$113:$I$133,4,0))</f>
        <v>43</v>
      </c>
      <c r="CH20" s="16">
        <f>IF(ISNA(VLOOKUP(A20,'Données projet'!$A$113:$I$133,5,0)),0%,VLOOKUP(A20,'Données projet'!$A$113:$I$133,5,0)*VLOOKUP('Données projet'!$B$12,Paramètres!$A$1:$I$89,7,0))</f>
        <v>0.1125</v>
      </c>
      <c r="CI20" s="16">
        <f>IF(ISNA(VLOOKUP(A20,'Données projet'!$A$113:$I$133,6,0)),0%,VLOOKUP(A20,'Données projet'!$A$113:$I$133,6,0)*VLOOKUP('Données projet'!$B$12,Paramètres!$A$1:$I$89,7,0))</f>
        <v>0.33750000000000002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3.837518820806888</v>
      </c>
      <c r="CL20" s="21">
        <f>EXP(-LN(2)/25)*CL19+(1-EXP(-LN(2)/25))/(LN(2)/25)*Calculateur!CG20*Calculateur!CI20*VLOOKUP('Données projet'!$B$12,Paramètres!$A$1:$I$89,3,0)*0.475*44/12</f>
        <v>11.467227141000196</v>
      </c>
      <c r="CM20" s="21">
        <f>EXP(-LN(2)/2)*CM19+(1-EXP(-LN(2)/2))/(LN(2)/2)*CG20*CJ20*VLOOKUP('Données projet'!$B$12,Paramètres!$A$1:$I$89,3,0)*0.475*44/12</f>
        <v>4.0694962355400728</v>
      </c>
      <c r="CN20" s="22">
        <f t="shared" si="12"/>
        <v>19.374242197347158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8.4239999999999995</v>
      </c>
      <c r="D21" s="11">
        <f t="shared" si="32"/>
        <v>3.0292846636388133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88.411320210545227</v>
      </c>
      <c r="H21" s="66">
        <f t="shared" si="1"/>
        <v>313.28113745583755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2.5115384616666665</v>
      </c>
      <c r="N21" s="13">
        <f>IF('Données projet'!$A$36&gt;35,N20+M21-V20,IF(A21&lt;'Données projet'!$A$36,$K$205^A21,IF(A21='Données projet'!$A$36,'Données projet'!$B$36,N20+M21-V20)))</f>
        <v>13.373240436582819</v>
      </c>
      <c r="O21" s="13">
        <f>N21*VLOOKUP('Données projet'!$B$9,Paramètres!$A$1:$I$89,3,0)*VLOOKUP('Données projet'!$B$9,Paramètres!$A$1:$I$89,5,0)</f>
        <v>13.56046580269498</v>
      </c>
      <c r="P21" s="13">
        <f t="shared" si="33"/>
        <v>4.6134934498400133</v>
      </c>
      <c r="Q21" s="20">
        <f t="shared" si="2"/>
        <v>31.652979031498443</v>
      </c>
      <c r="R21" s="59">
        <f t="shared" si="0"/>
        <v>324.98631236483175</v>
      </c>
      <c r="S21" s="59">
        <f ca="1">AVERAGE(OFFSET($R$3,0,0,'Données projet'!$E$9+1,1))-AVERAGE(OFFSET($H$3,0,0,'Données projet'!$E$9+1,1))</f>
        <v>561.16051468364344</v>
      </c>
      <c r="T21" s="59">
        <f t="shared" si="34"/>
        <v>137.34523913145267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2.5115384616666665</v>
      </c>
      <c r="AI21" s="13">
        <f>IF('Données projet'!$A$62&gt;35,AI20+AH21-AQ20,IF(A21&lt;'Données projet'!$A$62,$AF$205^A21,IF(A21='Données projet'!$A$62,'Données projet'!$B$62,AI20+AH21-AQ20)))</f>
        <v>13.373240436582819</v>
      </c>
      <c r="AJ21" s="13">
        <f>AI21*VLOOKUP('Données projet'!$B$10,Paramètres!$A$1:$I$89,3,0)*VLOOKUP('Données projet'!$B$10,Paramètres!$A$1:$I$89,5,0)</f>
        <v>12.100107947020135</v>
      </c>
      <c r="AK21" s="13">
        <f t="shared" si="35"/>
        <v>4.1716190451850093</v>
      </c>
      <c r="AL21" s="20">
        <f t="shared" si="4"/>
        <v>28.339924511423959</v>
      </c>
      <c r="AM21" s="59">
        <f t="shared" si="5"/>
        <v>321.67325784475725</v>
      </c>
      <c r="AN21" s="59">
        <f ca="1">AVERAGE(OFFSET($AM$3,0,0,'Données projet'!$E$10+1,1))-AVERAGE(OFFSET($H$3,0,0,'Données projet'!$E$10+1,1))</f>
        <v>491.82493848755047</v>
      </c>
      <c r="AO21" s="59">
        <f t="shared" si="36"/>
        <v>119.46953275458026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8</v>
      </c>
      <c r="BD21" s="12">
        <f>IF('Données projet'!$A$88&gt;35,BD20+BC21-BL20,IF(A21&lt;'Données projet'!$A$88,$BA$205^A21,IF(A21='Données projet'!$A$88,'Données projet'!$B$88,BD20+BC21-BL20)))</f>
        <v>71</v>
      </c>
      <c r="BE21" s="13">
        <f>BD21*VLOOKUP('Données projet'!$B$11,Paramètres!$A$1:$I$89,3,0)*VLOOKUP('Données projet'!$B$11,Paramètres!$A$1:$I$89,5,0)</f>
        <v>62.025600000000011</v>
      </c>
      <c r="BF21" s="13">
        <f t="shared" si="37"/>
        <v>17.679410406677221</v>
      </c>
      <c r="BG21" s="20">
        <f t="shared" si="7"/>
        <v>138.8195597916295</v>
      </c>
      <c r="BH21" s="59">
        <f t="shared" si="8"/>
        <v>432.15289312496282</v>
      </c>
      <c r="BI21" s="59">
        <f ca="1">AVERAGE(OFFSET($BH$3,0,0,'Données projet'!$E$11+1,1))-AVERAGE(OFFSET($H$3,0,0,'Données projet'!$E$11+1,1))</f>
        <v>216.10252108537389</v>
      </c>
      <c r="BJ21" s="59">
        <f t="shared" si="38"/>
        <v>196.91968622092054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>
        <f>VLOOKUP(A21,'Données projet'!$A$113:$I$133,2,0)</f>
        <v>151</v>
      </c>
      <c r="BW21" s="12">
        <f>VLOOKUP(A21,'Données projet'!$A$113:$I$133,9,0)</f>
        <v>18</v>
      </c>
      <c r="BX21" s="12">
        <f t="array" ref="BX21">INDEX(BW:BW,MIN(IF(ISNUMBER(BW21:BW217),ROW(BW21:BW217),"")))</f>
        <v>18</v>
      </c>
      <c r="BY21" s="12">
        <f>IF('Données projet'!$A$114&gt;35,BY20+BX21-CG20,IF(A21&lt;'Données projet'!$A$114,$BV$205^A21,IF(A21='Données projet'!$A$114,'Données projet'!$B$114,BY20+BX21-CG20)))</f>
        <v>151</v>
      </c>
      <c r="BZ21" s="13">
        <f>BY21*VLOOKUP('Données projet'!$B$12,Paramètres!$A$1:$I$89,3,0)*VLOOKUP('Données projet'!$B$12,Paramètres!$A$1:$I$89,5,0)</f>
        <v>90.298000000000016</v>
      </c>
      <c r="CA21" s="13">
        <f t="shared" si="39"/>
        <v>24.637081585210524</v>
      </c>
      <c r="CB21" s="20">
        <f t="shared" si="10"/>
        <v>200.17860042757502</v>
      </c>
      <c r="CC21" s="59">
        <f t="shared" si="11"/>
        <v>493.51193376090833</v>
      </c>
      <c r="CD21" s="59">
        <f ca="1">AVERAGE(OFFSET($CC$3,0,0,'Données projet'!$E$12+1,1))-AVERAGE(OFFSET($H$3,0,0,'Données projet'!$E$12+1,1))</f>
        <v>152.85416952858094</v>
      </c>
      <c r="CE21" s="59">
        <f t="shared" si="40"/>
        <v>369.87619681979322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3.7622674173862252</v>
      </c>
      <c r="CL21" s="21">
        <f>EXP(-LN(2)/25)*CL20+(1-EXP(-LN(2)/25))/(LN(2)/25)*Calculateur!CG21*Calculateur!CI21*VLOOKUP('Données projet'!$B$12,Paramètres!$A$1:$I$89,3,0)*0.475*44/12</f>
        <v>11.153655211794279</v>
      </c>
      <c r="CM21" s="21">
        <f>EXP(-LN(2)/2)*CM20+(1-EXP(-LN(2)/2))/(LN(2)/2)*CG21*CJ21*VLOOKUP('Données projet'!$B$12,Paramètres!$A$1:$I$89,3,0)*0.475*44/12</f>
        <v>2.8775683841635131</v>
      </c>
      <c r="CN21" s="22">
        <f t="shared" si="12"/>
        <v>17.793491013344017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22" s="11">
        <f t="shared" si="32"/>
        <v>3.177517729464268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93.16820703446102</v>
      </c>
      <c r="H22" s="66">
        <f t="shared" si="1"/>
        <v>314.35441004548358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2.5115384616666665</v>
      </c>
      <c r="N22" s="13">
        <f>IF('Données projet'!$A$36&gt;35,N21+M22-V21,IF(A22&lt;'Données projet'!$A$36,$K$205^A22,IF(A22='Données projet'!$A$36,'Données projet'!$B$36,N21+M22-V21)))</f>
        <v>15.445620349758135</v>
      </c>
      <c r="O22" s="13">
        <f>N22*VLOOKUP('Données projet'!$B$9,Paramètres!$A$1:$I$89,3,0)*VLOOKUP('Données projet'!$B$9,Paramètres!$A$1:$I$89,5,0)</f>
        <v>15.66185903465475</v>
      </c>
      <c r="P22" s="13">
        <f t="shared" si="33"/>
        <v>5.2398109034078857</v>
      </c>
      <c r="Q22" s="20">
        <f t="shared" si="2"/>
        <v>36.403741808792425</v>
      </c>
      <c r="R22" s="59">
        <f t="shared" si="0"/>
        <v>329.73707514212572</v>
      </c>
      <c r="S22" s="59">
        <f ca="1">AVERAGE(OFFSET($R$3,0,0,'Données projet'!$E$9+1,1))-AVERAGE(OFFSET($H$3,0,0,'Données projet'!$E$9+1,1))</f>
        <v>561.16051468364344</v>
      </c>
      <c r="T22" s="59">
        <f t="shared" si="34"/>
        <v>137.34523913145267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2.5115384616666665</v>
      </c>
      <c r="AI22" s="13">
        <f>IF('Données projet'!$A$62&gt;35,AI21+AH22-AQ21,IF(A22&lt;'Données projet'!$A$62,$AF$205^A22,IF(A22='Données projet'!$A$62,'Données projet'!$B$62,AI21+AH22-AQ21)))</f>
        <v>15.445620349758135</v>
      </c>
      <c r="AJ22" s="13">
        <f>AI22*VLOOKUP('Données projet'!$B$10,Paramètres!$A$1:$I$89,3,0)*VLOOKUP('Données projet'!$B$10,Paramètres!$A$1:$I$89,5,0)</f>
        <v>13.975197292461161</v>
      </c>
      <c r="AK22" s="13">
        <f t="shared" si="35"/>
        <v>4.7379486273211082</v>
      </c>
      <c r="AL22" s="20">
        <f t="shared" si="4"/>
        <v>32.592062476954119</v>
      </c>
      <c r="AM22" s="59">
        <f t="shared" si="5"/>
        <v>325.92539581028745</v>
      </c>
      <c r="AN22" s="59">
        <f ca="1">AVERAGE(OFFSET($AM$3,0,0,'Données projet'!$E$10+1,1))-AVERAGE(OFFSET($H$3,0,0,'Données projet'!$E$10+1,1))</f>
        <v>491.82493848755047</v>
      </c>
      <c r="AO22" s="59">
        <f t="shared" si="36"/>
        <v>119.46953275458026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8</v>
      </c>
      <c r="BD22" s="12">
        <f>IF('Données projet'!$A$88&gt;35,BD21+BC22-BL21,IF(A22&lt;'Données projet'!$A$88,$BA$205^A22,IF(A22='Données projet'!$A$88,'Données projet'!$B$88,BD21+BC22-BL21)))</f>
        <v>79</v>
      </c>
      <c r="BE22" s="13">
        <f>BD22*VLOOKUP('Données projet'!$B$11,Paramètres!$A$1:$I$89,3,0)*VLOOKUP('Données projet'!$B$11,Paramètres!$A$1:$I$89,5,0)</f>
        <v>69.014400000000009</v>
      </c>
      <c r="BF22" s="13">
        <f t="shared" si="37"/>
        <v>19.428496726251055</v>
      </c>
      <c r="BG22" s="20">
        <f t="shared" si="7"/>
        <v>154.03804513155393</v>
      </c>
      <c r="BH22" s="59">
        <f t="shared" si="8"/>
        <v>447.37137846488724</v>
      </c>
      <c r="BI22" s="59">
        <f ca="1">AVERAGE(OFFSET($BH$3,0,0,'Données projet'!$E$11+1,1))-AVERAGE(OFFSET($H$3,0,0,'Données projet'!$E$11+1,1))</f>
        <v>216.10252108537389</v>
      </c>
      <c r="BJ22" s="59">
        <f t="shared" si="38"/>
        <v>196.91968622092054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>
        <f>VLOOKUP(A22,'Données projet'!$A$113:$I$133,2,0)</f>
        <v>171</v>
      </c>
      <c r="BW22" s="12">
        <f>VLOOKUP(A22,'Données projet'!$A$113:$I$133,9,0)</f>
        <v>20</v>
      </c>
      <c r="BX22" s="12">
        <f t="array" ref="BX22">INDEX(BW:BW,MIN(IF(ISNUMBER(BW22:BW218),ROW(BW22:BW218),"")))</f>
        <v>20</v>
      </c>
      <c r="BY22" s="12">
        <f>IF('Données projet'!$A$114&gt;35,BY21+BX22-CG21,IF(A22&lt;'Données projet'!$A$114,$BV$205^A22,IF(A22='Données projet'!$A$114,'Données projet'!$B$114,BY21+BX22-CG21)))</f>
        <v>171</v>
      </c>
      <c r="BZ22" s="13">
        <f>BY22*VLOOKUP('Données projet'!$B$12,Paramètres!$A$1:$I$89,3,0)*VLOOKUP('Données projet'!$B$12,Paramètres!$A$1:$I$89,5,0)</f>
        <v>102.258</v>
      </c>
      <c r="CA22" s="13">
        <f t="shared" si="39"/>
        <v>27.499233847895859</v>
      </c>
      <c r="CB22" s="20">
        <f t="shared" si="10"/>
        <v>225.99384895175194</v>
      </c>
      <c r="CC22" s="59">
        <f t="shared" si="11"/>
        <v>519.3271822850852</v>
      </c>
      <c r="CD22" s="59">
        <f ca="1">AVERAGE(OFFSET($CC$3,0,0,'Données projet'!$E$12+1,1))-AVERAGE(OFFSET($H$3,0,0,'Données projet'!$E$12+1,1))</f>
        <v>152.85416952858094</v>
      </c>
      <c r="CE22" s="59">
        <f t="shared" si="40"/>
        <v>369.87619681979322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3.6884916480878176</v>
      </c>
      <c r="CL22" s="21">
        <f>EXP(-LN(2)/25)*CL21+(1-EXP(-LN(2)/25))/(LN(2)/25)*Calculateur!CG22*Calculateur!CI22*VLOOKUP('Données projet'!$B$12,Paramètres!$A$1:$I$89,3,0)*0.475*44/12</f>
        <v>10.848657923482529</v>
      </c>
      <c r="CM22" s="21">
        <f>EXP(-LN(2)/2)*CM21+(1-EXP(-LN(2)/2))/(LN(2)/2)*CG22*CJ22*VLOOKUP('Données projet'!$B$12,Paramètres!$A$1:$I$89,3,0)*0.475*44/12</f>
        <v>2.0347481177700364</v>
      </c>
      <c r="CN22" s="22">
        <f t="shared" si="12"/>
        <v>16.571897689340382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9.36</v>
      </c>
      <c r="D23" s="11">
        <f t="shared" si="32"/>
        <v>3.3248450073034994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97.918101810763858</v>
      </c>
      <c r="H23" s="66">
        <f t="shared" si="1"/>
        <v>315.42610505438688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2.5115384616666665</v>
      </c>
      <c r="N23" s="13">
        <f>IF('Données projet'!$A$36&gt;35,N22+M23-V22,IF(A23&lt;'Données projet'!$A$36,$K$205^A23,IF(A23='Données projet'!$A$36,'Données projet'!$B$36,N22+M23-V22)))</f>
        <v>17.839145951212871</v>
      </c>
      <c r="O23" s="13">
        <f>N23*VLOOKUP('Données projet'!$B$9,Paramètres!$A$1:$I$89,3,0)*VLOOKUP('Données projet'!$B$9,Paramètres!$A$1:$I$89,5,0)</f>
        <v>18.088893994529851</v>
      </c>
      <c r="P23" s="13">
        <f t="shared" si="33"/>
        <v>5.9511558002589737</v>
      </c>
      <c r="Q23" s="20">
        <f t="shared" si="2"/>
        <v>41.869753392590532</v>
      </c>
      <c r="R23" s="59">
        <f t="shared" si="0"/>
        <v>335.20308672592387</v>
      </c>
      <c r="S23" s="59">
        <f ca="1">AVERAGE(OFFSET($R$3,0,0,'Données projet'!$E$9+1,1))-AVERAGE(OFFSET($H$3,0,0,'Données projet'!$E$9+1,1))</f>
        <v>561.16051468364344</v>
      </c>
      <c r="T23" s="59">
        <f t="shared" si="34"/>
        <v>137.34523913145267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2.5115384616666665</v>
      </c>
      <c r="AI23" s="13">
        <f>IF('Données projet'!$A$62&gt;35,AI22+AH23-AQ22,IF(A23&lt;'Données projet'!$A$62,$AF$205^A23,IF(A23='Données projet'!$A$62,'Données projet'!$B$62,AI22+AH23-AQ22)))</f>
        <v>17.839145951212871</v>
      </c>
      <c r="AJ23" s="13">
        <f>AI23*VLOOKUP('Données projet'!$B$10,Paramètres!$A$1:$I$89,3,0)*VLOOKUP('Données projet'!$B$10,Paramètres!$A$1:$I$89,5,0)</f>
        <v>16.140859256657404</v>
      </c>
      <c r="AK23" s="13">
        <f t="shared" si="35"/>
        <v>5.381161834766341</v>
      </c>
      <c r="AL23" s="20">
        <f t="shared" si="4"/>
        <v>37.484186734229688</v>
      </c>
      <c r="AM23" s="59">
        <f t="shared" si="5"/>
        <v>330.81752006756301</v>
      </c>
      <c r="AN23" s="59">
        <f ca="1">AVERAGE(OFFSET($AM$3,0,0,'Données projet'!$E$10+1,1))-AVERAGE(OFFSET($H$3,0,0,'Données projet'!$E$10+1,1))</f>
        <v>491.82493848755047</v>
      </c>
      <c r="AO23" s="59">
        <f t="shared" si="36"/>
        <v>119.46953275458026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87</v>
      </c>
      <c r="BB23" s="12">
        <f>VLOOKUP(A23,'Données projet'!$A$87:$I$107,9,0)</f>
        <v>8</v>
      </c>
      <c r="BC23" s="12">
        <f t="array" ref="BC23">INDEX(BB:BB,MIN(IF(ISNUMBER(BB23:BB219),ROW(BB23:BB219),"")))</f>
        <v>8</v>
      </c>
      <c r="BD23" s="12">
        <f>IF('Données projet'!$A$88&gt;35,BD22+BC23-BL22,IF(A23&lt;'Données projet'!$A$88,$BA$205^A23,IF(A23='Données projet'!$A$88,'Données projet'!$B$88,BD22+BC23-BL22)))</f>
        <v>87</v>
      </c>
      <c r="BE23" s="13">
        <f>BD23*VLOOKUP('Données projet'!$B$11,Paramètres!$A$1:$I$89,3,0)*VLOOKUP('Données projet'!$B$11,Paramètres!$A$1:$I$89,5,0)</f>
        <v>76.003200000000007</v>
      </c>
      <c r="BF23" s="13">
        <f t="shared" si="37"/>
        <v>21.157049992000456</v>
      </c>
      <c r="BG23" s="20">
        <f t="shared" si="7"/>
        <v>169.22076873606747</v>
      </c>
      <c r="BH23" s="59">
        <f t="shared" si="8"/>
        <v>462.55410206940076</v>
      </c>
      <c r="BI23" s="59">
        <f ca="1">AVERAGE(OFFSET($BH$3,0,0,'Données projet'!$E$11+1,1))-AVERAGE(OFFSET($H$3,0,0,'Données projet'!$E$11+1,1))</f>
        <v>216.10252108537389</v>
      </c>
      <c r="BJ23" s="59">
        <f t="shared" si="38"/>
        <v>196.91968622092054</v>
      </c>
      <c r="BK23" s="15">
        <f>IF(ISNA(VLOOKUP(A23,'Données projet'!$A$87:$I$107,3,0)),0,VLOOKUP(A23,'Données projet'!$A$87:$I$107,3,0))</f>
        <v>1</v>
      </c>
      <c r="BL23" s="15">
        <f>IF(ISNA(VLOOKUP(A23,'Données projet'!$A$87:$I$107,4,0)),0,VLOOKUP(A23,'Données projet'!$A$87:$I$107,4,0))</f>
        <v>29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>
        <f>VLOOKUP(A23,'Données projet'!$A$113:$I$133,2,0)</f>
        <v>192</v>
      </c>
      <c r="BW23" s="12">
        <f>VLOOKUP(A23,'Données projet'!$A$113:$I$133,9,0)</f>
        <v>21</v>
      </c>
      <c r="BX23" s="12">
        <f t="array" ref="BX23">INDEX(BW:BW,MIN(IF(ISNUMBER(BW23:BW219),ROW(BW23:BW219),"")))</f>
        <v>21</v>
      </c>
      <c r="BY23" s="12">
        <f>IF('Données projet'!$A$114&gt;35,BY22+BX23-CG22,IF(A23&lt;'Données projet'!$A$114,$BV$205^A23,IF(A23='Données projet'!$A$114,'Données projet'!$B$114,BY22+BX23-CG22)))</f>
        <v>192</v>
      </c>
      <c r="BZ23" s="13">
        <f>BY23*VLOOKUP('Données projet'!$B$12,Paramètres!$A$1:$I$89,3,0)*VLOOKUP('Données projet'!$B$12,Paramètres!$A$1:$I$89,5,0)</f>
        <v>114.81600000000002</v>
      </c>
      <c r="CA23" s="13">
        <f t="shared" si="39"/>
        <v>30.462826482209831</v>
      </c>
      <c r="CB23" s="20">
        <f t="shared" si="10"/>
        <v>253.02728945651543</v>
      </c>
      <c r="CC23" s="59">
        <f t="shared" si="11"/>
        <v>546.36062278984878</v>
      </c>
      <c r="CD23" s="59">
        <f ca="1">AVERAGE(OFFSET($CC$3,0,0,'Données projet'!$E$12+1,1))-AVERAGE(OFFSET($H$3,0,0,'Données projet'!$E$12+1,1))</f>
        <v>152.85416952858094</v>
      </c>
      <c r="CE23" s="59">
        <f t="shared" si="40"/>
        <v>369.87619681979322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>
        <f>EXP(-LN(2)/35)*CK22+(1-EXP(-LN(2)/35))/(LN(2)/35)*CG23*CH23*VLOOKUP('Données projet'!$B$12,Paramètres!$A$1:$I$89,3,0)*0.475*44/12</f>
        <v>3.6161625766265759</v>
      </c>
      <c r="CL23" s="21">
        <f>EXP(-LN(2)/25)*CL22+(1-EXP(-LN(2)/25))/(LN(2)/25)*Calculateur!CG23*Calculateur!CI23*VLOOKUP('Données projet'!$B$12,Paramètres!$A$1:$I$89,3,0)*0.475*44/12</f>
        <v>10.552000802058775</v>
      </c>
      <c r="CM23" s="21">
        <f>EXP(-LN(2)/2)*CM22+(1-EXP(-LN(2)/2))/(LN(2)/2)*CG23*CJ23*VLOOKUP('Données projet'!$B$12,Paramètres!$A$1:$I$89,3,0)*0.475*44/12</f>
        <v>1.4387841920817566</v>
      </c>
      <c r="CN23" s="22">
        <f t="shared" si="12"/>
        <v>15.606947570767106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9.8279999999999994</v>
      </c>
      <c r="D24" s="11">
        <f t="shared" si="32"/>
        <v>3.4713169544550615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102.66139403438996</v>
      </c>
      <c r="H24" s="66">
        <f t="shared" si="1"/>
        <v>316.49631036234257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2.5115384616666665</v>
      </c>
      <c r="N24" s="13">
        <f>IF('Données projet'!$A$36&gt;35,N23+M24-V23,IF(A24&lt;'Données projet'!$A$36,$K$205^A24,IF(A24='Données projet'!$A$36,'Données projet'!$B$36,N23+M24-V23)))</f>
        <v>20.603583479485028</v>
      </c>
      <c r="O24" s="13">
        <f>N24*VLOOKUP('Données projet'!$B$9,Paramètres!$A$1:$I$89,3,0)*VLOOKUP('Données projet'!$B$9,Paramètres!$A$1:$I$89,5,0)</f>
        <v>20.89203364819782</v>
      </c>
      <c r="P24" s="13">
        <f t="shared" si="33"/>
        <v>6.7590712741030154</v>
      </c>
      <c r="Q24" s="20">
        <f t="shared" si="2"/>
        <v>48.159007739673946</v>
      </c>
      <c r="R24" s="59">
        <f t="shared" si="0"/>
        <v>341.49234107300725</v>
      </c>
      <c r="S24" s="59">
        <f ca="1">AVERAGE(OFFSET($R$3,0,0,'Données projet'!$E$9+1,1))-AVERAGE(OFFSET($H$3,0,0,'Données projet'!$E$9+1,1))</f>
        <v>561.16051468364344</v>
      </c>
      <c r="T24" s="59">
        <f t="shared" si="34"/>
        <v>137.34523913145267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2.5115384616666665</v>
      </c>
      <c r="AI24" s="13">
        <f>IF('Données projet'!$A$62&gt;35,AI23+AH24-AQ23,IF(A24&lt;'Données projet'!$A$62,$AF$205^A24,IF(A24='Données projet'!$A$62,'Données projet'!$B$62,AI23+AH24-AQ23)))</f>
        <v>20.603583479485028</v>
      </c>
      <c r="AJ24" s="13">
        <f>AI24*VLOOKUP('Données projet'!$B$10,Paramètres!$A$1:$I$89,3,0)*VLOOKUP('Données projet'!$B$10,Paramètres!$A$1:$I$89,5,0)</f>
        <v>18.642122332238053</v>
      </c>
      <c r="AK24" s="13">
        <f t="shared" si="35"/>
        <v>6.111696214890876</v>
      </c>
      <c r="AL24" s="20">
        <f t="shared" si="4"/>
        <v>43.112900636249549</v>
      </c>
      <c r="AM24" s="59">
        <f t="shared" si="5"/>
        <v>336.44623396958286</v>
      </c>
      <c r="AN24" s="59">
        <f ca="1">AVERAGE(OFFSET($AM$3,0,0,'Données projet'!$E$10+1,1))-AVERAGE(OFFSET($H$3,0,0,'Données projet'!$E$10+1,1))</f>
        <v>491.82493848755047</v>
      </c>
      <c r="AO24" s="59">
        <f t="shared" si="36"/>
        <v>119.46953275458026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8</v>
      </c>
      <c r="BD24" s="12">
        <f>IF('Données projet'!$A$88&gt;35,BD23+BC24-BL23,IF(A24&lt;'Données projet'!$A$88,$BA$205^A24,IF(A24='Données projet'!$A$88,'Données projet'!$B$88,BD23+BC24-BL23)))</f>
        <v>66</v>
      </c>
      <c r="BE24" s="13">
        <f>BD24*VLOOKUP('Données projet'!$B$11,Paramètres!$A$1:$I$89,3,0)*VLOOKUP('Données projet'!$B$11,Paramètres!$A$1:$I$89,5,0)</f>
        <v>57.657600000000002</v>
      </c>
      <c r="BF24" s="13">
        <f t="shared" si="37"/>
        <v>16.574671209026025</v>
      </c>
      <c r="BG24" s="20">
        <f t="shared" si="7"/>
        <v>129.28787235572034</v>
      </c>
      <c r="BH24" s="59">
        <f t="shared" si="8"/>
        <v>422.62120568905368</v>
      </c>
      <c r="BI24" s="59">
        <f ca="1">AVERAGE(OFFSET($BH$3,0,0,'Données projet'!$E$11+1,1))-AVERAGE(OFFSET($H$3,0,0,'Données projet'!$E$11+1,1))</f>
        <v>216.10252108537389</v>
      </c>
      <c r="BJ24" s="59">
        <f t="shared" si="38"/>
        <v>196.91968622092054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>
        <f>VLOOKUP(A24,'Données projet'!$A$113:$I$133,2,0)</f>
        <v>212</v>
      </c>
      <c r="BW24" s="12">
        <f>VLOOKUP(A24,'Données projet'!$A$113:$I$133,9,0)</f>
        <v>20</v>
      </c>
      <c r="BX24" s="12">
        <f t="array" ref="BX24">INDEX(BW:BW,MIN(IF(ISNUMBER(BW24:BW220),ROW(BW24:BW220),"")))</f>
        <v>20</v>
      </c>
      <c r="BY24" s="12">
        <f>IF('Données projet'!$A$114&gt;35,BY23+BX24-CG23,IF(A24&lt;'Données projet'!$A$114,$BV$205^A24,IF(A24='Données projet'!$A$114,'Données projet'!$B$114,BY23+BX24-CG23)))</f>
        <v>212</v>
      </c>
      <c r="BZ24" s="13">
        <f>BY24*VLOOKUP('Données projet'!$B$12,Paramètres!$A$1:$I$89,3,0)*VLOOKUP('Données projet'!$B$12,Paramètres!$A$1:$I$89,5,0)</f>
        <v>126.77600000000002</v>
      </c>
      <c r="CA24" s="13">
        <f t="shared" si="39"/>
        <v>33.250302273150254</v>
      </c>
      <c r="CB24" s="20">
        <f t="shared" si="10"/>
        <v>278.7124764590701</v>
      </c>
      <c r="CC24" s="59">
        <f t="shared" si="11"/>
        <v>572.04580979240336</v>
      </c>
      <c r="CD24" s="59">
        <f ca="1">AVERAGE(OFFSET($CC$3,0,0,'Données projet'!$E$12+1,1))-AVERAGE(OFFSET($H$3,0,0,'Données projet'!$E$12+1,1))</f>
        <v>152.85416952858094</v>
      </c>
      <c r="CE24" s="59">
        <f t="shared" si="40"/>
        <v>369.87619681979322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3.5452518341403114</v>
      </c>
      <c r="CL24" s="21">
        <f>EXP(-LN(2)/25)*CL23+(1-EXP(-LN(2)/25))/(LN(2)/25)*Calculateur!CG24*Calculateur!CI24*VLOOKUP('Données projet'!$B$12,Paramètres!$A$1:$I$89,3,0)*0.475*44/12</f>
        <v>10.263455785220872</v>
      </c>
      <c r="CM24" s="21">
        <f>EXP(-LN(2)/2)*CM23+(1-EXP(-LN(2)/2))/(LN(2)/2)*CG24*CJ24*VLOOKUP('Données projet'!$B$12,Paramètres!$A$1:$I$89,3,0)*0.475*44/12</f>
        <v>1.0173740588850182</v>
      </c>
      <c r="CN24" s="22">
        <f t="shared" si="12"/>
        <v>14.826081678246201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10.295999999999999</v>
      </c>
      <c r="D25" s="11">
        <f t="shared" si="32"/>
        <v>3.6169789512251227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107.39843400945709</v>
      </c>
      <c r="H25" s="66">
        <f t="shared" si="1"/>
        <v>317.56510500671709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2.5115384616666665</v>
      </c>
      <c r="N25" s="13">
        <f>IF('Données projet'!$A$36&gt;35,N24+M25-V24,IF(A25&lt;'Données projet'!$A$36,$K$205^A25,IF(A25='Données projet'!$A$36,'Données projet'!$B$36,N24+M25-V24)))</f>
        <v>23.796411182299146</v>
      </c>
      <c r="O25" s="13">
        <f>N25*VLOOKUP('Données projet'!$B$9,Paramètres!$A$1:$I$89,3,0)*VLOOKUP('Données projet'!$B$9,Paramètres!$A$1:$I$89,5,0)</f>
        <v>24.129560938851334</v>
      </c>
      <c r="P25" s="13">
        <f t="shared" si="33"/>
        <v>7.6766675284180108</v>
      </c>
      <c r="Q25" s="20">
        <f t="shared" si="2"/>
        <v>55.395847913827446</v>
      </c>
      <c r="R25" s="59">
        <f t="shared" si="0"/>
        <v>348.72918124716074</v>
      </c>
      <c r="S25" s="59">
        <f ca="1">AVERAGE(OFFSET($R$3,0,0,'Données projet'!$E$9+1,1))-AVERAGE(OFFSET($H$3,0,0,'Données projet'!$E$9+1,1))</f>
        <v>561.16051468364344</v>
      </c>
      <c r="T25" s="59">
        <f t="shared" si="34"/>
        <v>137.34523913145267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2.5115384616666665</v>
      </c>
      <c r="AI25" s="13">
        <f>IF('Données projet'!$A$62&gt;35,AI24+AH25-AQ24,IF(A25&lt;'Données projet'!$A$62,$AF$205^A25,IF(A25='Données projet'!$A$62,'Données projet'!$B$62,AI24+AH25-AQ24)))</f>
        <v>23.796411182299146</v>
      </c>
      <c r="AJ25" s="13">
        <f>AI25*VLOOKUP('Données projet'!$B$10,Paramètres!$A$1:$I$89,3,0)*VLOOKUP('Données projet'!$B$10,Paramètres!$A$1:$I$89,5,0)</f>
        <v>21.530992837744268</v>
      </c>
      <c r="AK25" s="13">
        <f t="shared" si="35"/>
        <v>6.9414062929280762</v>
      </c>
      <c r="AL25" s="20">
        <f t="shared" si="4"/>
        <v>49.589428485920998</v>
      </c>
      <c r="AM25" s="59">
        <f t="shared" si="5"/>
        <v>342.92276181925433</v>
      </c>
      <c r="AN25" s="59">
        <f ca="1">AVERAGE(OFFSET($AM$3,0,0,'Données projet'!$E$10+1,1))-AVERAGE(OFFSET($H$3,0,0,'Données projet'!$E$10+1,1))</f>
        <v>491.82493848755047</v>
      </c>
      <c r="AO25" s="59">
        <f t="shared" si="36"/>
        <v>119.46953275458026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8</v>
      </c>
      <c r="BD25" s="12">
        <f>IF('Données projet'!$A$88&gt;35,BD24+BC25-BL24,IF(A25&lt;'Données projet'!$A$88,$BA$205^A25,IF(A25='Données projet'!$A$88,'Données projet'!$B$88,BD24+BC25-BL24)))</f>
        <v>74</v>
      </c>
      <c r="BE25" s="13">
        <f>BD25*VLOOKUP('Données projet'!$B$11,Paramètres!$A$1:$I$89,3,0)*VLOOKUP('Données projet'!$B$11,Paramètres!$A$1:$I$89,5,0)</f>
        <v>64.646400000000014</v>
      </c>
      <c r="BF25" s="13">
        <f t="shared" si="37"/>
        <v>18.337876695493666</v>
      </c>
      <c r="BG25" s="20">
        <f t="shared" si="7"/>
        <v>144.53094857798482</v>
      </c>
      <c r="BH25" s="59">
        <f t="shared" si="8"/>
        <v>437.86428191131813</v>
      </c>
      <c r="BI25" s="59">
        <f ca="1">AVERAGE(OFFSET($BH$3,0,0,'Données projet'!$E$11+1,1))-AVERAGE(OFFSET($H$3,0,0,'Données projet'!$E$11+1,1))</f>
        <v>216.10252108537389</v>
      </c>
      <c r="BJ25" s="59">
        <f t="shared" si="38"/>
        <v>196.91968622092054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>
        <f>VLOOKUP(A25,'Données projet'!$A$113:$I$133,2,0)</f>
        <v>232</v>
      </c>
      <c r="BW25" s="12">
        <f>VLOOKUP(A25,'Données projet'!$A$113:$I$133,9,0)</f>
        <v>20</v>
      </c>
      <c r="BX25" s="12">
        <f t="array" ref="BX25">INDEX(BW:BW,MIN(IF(ISNUMBER(BW25:BW221),ROW(BW25:BW221),"")))</f>
        <v>20</v>
      </c>
      <c r="BY25" s="12">
        <f>IF('Données projet'!$A$114&gt;35,BY24+BX25-CG24,IF(A25&lt;'Données projet'!$A$114,$BV$205^A25,IF(A25='Données projet'!$A$114,'Données projet'!$B$114,BY24+BX25-CG24)))</f>
        <v>232</v>
      </c>
      <c r="BZ25" s="13">
        <f>BY25*VLOOKUP('Données projet'!$B$12,Paramètres!$A$1:$I$89,3,0)*VLOOKUP('Données projet'!$B$12,Paramètres!$A$1:$I$89,5,0)</f>
        <v>138.73599999999999</v>
      </c>
      <c r="CA25" s="13">
        <f t="shared" si="39"/>
        <v>36.007288175538044</v>
      </c>
      <c r="CB25" s="20">
        <f t="shared" si="10"/>
        <v>304.34456023906205</v>
      </c>
      <c r="CC25" s="59">
        <f t="shared" si="11"/>
        <v>597.67789357239531</v>
      </c>
      <c r="CD25" s="59">
        <f ca="1">AVERAGE(OFFSET($CC$3,0,0,'Données projet'!$E$12+1,1))-AVERAGE(OFFSET($H$3,0,0,'Données projet'!$E$12+1,1))</f>
        <v>152.85416952858094</v>
      </c>
      <c r="CE25" s="59">
        <f t="shared" si="40"/>
        <v>369.87619681979322</v>
      </c>
      <c r="CF25" s="15">
        <f>IF(ISNA(VLOOKUP(A25,'Données projet'!$A$113:$I$133,3,0)),0,VLOOKUP(A25,'Données projet'!$A$113:$I$133,3,0))</f>
        <v>3</v>
      </c>
      <c r="CG25" s="15">
        <f>IF(ISNA(VLOOKUP(A25,'Données projet'!$A$113:$I$133,4,0)),0,VLOOKUP(A25,'Données projet'!$A$113:$I$133,4,0))</f>
        <v>56</v>
      </c>
      <c r="CH25" s="16">
        <f>IF(ISNA(VLOOKUP(A25,'Données projet'!$A$113:$I$133,5,0)),0%,VLOOKUP(A25,'Données projet'!$A$113:$I$133,5,0)*VLOOKUP('Données projet'!$B$12,Paramètres!$A$1:$I$89,7,0))</f>
        <v>0.27</v>
      </c>
      <c r="CI25" s="16">
        <f>IF(ISNA(VLOOKUP(A25,'Données projet'!$A$113:$I$133,6,0)),0%,VLOOKUP(A25,'Données projet'!$A$113:$I$133,6,0)*VLOOKUP('Données projet'!$B$12,Paramètres!$A$1:$I$89,7,0))</f>
        <v>0.18000000000000002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15.47020903867794</v>
      </c>
      <c r="CL25" s="21">
        <f>EXP(-LN(2)/25)*CL24+(1-EXP(-LN(2)/25))/(LN(2)/25)*Calculateur!CG25*Calculateur!CI25*VLOOKUP('Données projet'!$B$12,Paramètres!$A$1:$I$89,3,0)*0.475*44/12</f>
        <v>17.947634782186647</v>
      </c>
      <c r="CM25" s="21">
        <f>EXP(-LN(2)/2)*CM24+(1-EXP(-LN(2)/2))/(LN(2)/2)*CG25*CJ25*VLOOKUP('Données projet'!$B$12,Paramètres!$A$1:$I$89,3,0)*0.475*44/12</f>
        <v>0.71939209604087828</v>
      </c>
      <c r="CN25" s="22">
        <f t="shared" si="12"/>
        <v>34.137235916905468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10.763999999999999</v>
      </c>
      <c r="D26" s="11">
        <f t="shared" si="32"/>
        <v>3.76187201923933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112.12953839412818</v>
      </c>
      <c r="H26" s="66">
        <f t="shared" si="1"/>
        <v>318.6325604335085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2.5115384616666665</v>
      </c>
      <c r="N26" s="13">
        <f>IF('Données projet'!$A$36&gt;35,N25+M26-V25,IF(A26&lt;'Données projet'!$A$36,$K$205^A26,IF(A26='Données projet'!$A$36,'Données projet'!$B$36,N25+M26-V25)))</f>
        <v>27.4840144055953</v>
      </c>
      <c r="O26" s="13">
        <f>N26*VLOOKUP('Données projet'!$B$9,Paramètres!$A$1:$I$89,3,0)*VLOOKUP('Données projet'!$B$9,Paramètres!$A$1:$I$89,5,0)</f>
        <v>27.868790607273635</v>
      </c>
      <c r="P26" s="13">
        <f t="shared" si="33"/>
        <v>8.7188345783035359</v>
      </c>
      <c r="Q26" s="20">
        <f t="shared" si="2"/>
        <v>63.723447198213563</v>
      </c>
      <c r="R26" s="59">
        <f t="shared" si="0"/>
        <v>357.05678053154691</v>
      </c>
      <c r="S26" s="59">
        <f ca="1">AVERAGE(OFFSET($R$3,0,0,'Données projet'!$E$9+1,1))-AVERAGE(OFFSET($H$3,0,0,'Données projet'!$E$9+1,1))</f>
        <v>561.16051468364344</v>
      </c>
      <c r="T26" s="59">
        <f t="shared" si="34"/>
        <v>137.34523913145267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2.5115384616666665</v>
      </c>
      <c r="AI26" s="13">
        <f>IF('Données projet'!$A$62&gt;35,AI25+AH26-AQ25,IF(A26&lt;'Données projet'!$A$62,$AF$205^A26,IF(A26='Données projet'!$A$62,'Données projet'!$B$62,AI25+AH26-AQ25)))</f>
        <v>27.4840144055953</v>
      </c>
      <c r="AJ26" s="13">
        <f>AI26*VLOOKUP('Données projet'!$B$10,Paramètres!$A$1:$I$89,3,0)*VLOOKUP('Données projet'!$B$10,Paramètres!$A$1:$I$89,5,0)</f>
        <v>24.867536234182626</v>
      </c>
      <c r="AK26" s="13">
        <f t="shared" si="35"/>
        <v>7.8837559376896813</v>
      </c>
      <c r="AL26" s="20">
        <f t="shared" si="4"/>
        <v>57.041833866010933</v>
      </c>
      <c r="AM26" s="59">
        <f t="shared" si="5"/>
        <v>350.37516719934422</v>
      </c>
      <c r="AN26" s="59">
        <f ca="1">AVERAGE(OFFSET($AM$3,0,0,'Données projet'!$E$10+1,1))-AVERAGE(OFFSET($H$3,0,0,'Données projet'!$E$10+1,1))</f>
        <v>491.82493848755047</v>
      </c>
      <c r="AO26" s="59">
        <f t="shared" si="36"/>
        <v>119.46953275458026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8</v>
      </c>
      <c r="BD26" s="12">
        <f>IF('Données projet'!$A$88&gt;35,BD25+BC26-BL25,IF(A26&lt;'Données projet'!$A$88,$BA$205^A26,IF(A26='Données projet'!$A$88,'Données projet'!$B$88,BD25+BC26-BL25)))</f>
        <v>82</v>
      </c>
      <c r="BE26" s="13">
        <f>BD26*VLOOKUP('Données projet'!$B$11,Paramètres!$A$1:$I$89,3,0)*VLOOKUP('Données projet'!$B$11,Paramètres!$A$1:$I$89,5,0)</f>
        <v>71.635200000000012</v>
      </c>
      <c r="BF26" s="13">
        <f t="shared" si="37"/>
        <v>20.078988020012648</v>
      </c>
      <c r="BG26" s="20">
        <f t="shared" si="7"/>
        <v>159.73554413485536</v>
      </c>
      <c r="BH26" s="59">
        <f t="shared" si="8"/>
        <v>453.0688774681887</v>
      </c>
      <c r="BI26" s="59">
        <f ca="1">AVERAGE(OFFSET($BH$3,0,0,'Données projet'!$E$11+1,1))-AVERAGE(OFFSET($H$3,0,0,'Données projet'!$E$11+1,1))</f>
        <v>216.10252108537389</v>
      </c>
      <c r="BJ26" s="59">
        <f t="shared" si="38"/>
        <v>196.91968622092054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>
        <f>VLOOKUP(A26,'Données projet'!$A$113:$I$133,2,0)</f>
        <v>192</v>
      </c>
      <c r="BW26" s="12">
        <f>VLOOKUP(A26,'Données projet'!$A$113:$I$133,9,0)</f>
        <v>16</v>
      </c>
      <c r="BX26" s="12">
        <f t="array" ref="BX26">INDEX(BW:BW,MIN(IF(ISNUMBER(BW26:BW222),ROW(BW26:BW222),"")))</f>
        <v>16</v>
      </c>
      <c r="BY26" s="12">
        <f>IF('Données projet'!$A$114&gt;35,BY25+BX26-CG25,IF(A26&lt;'Données projet'!$A$114,$BV$205^A26,IF(A26='Données projet'!$A$114,'Données projet'!$B$114,BY25+BX26-CG25)))</f>
        <v>192</v>
      </c>
      <c r="BZ26" s="13">
        <f>BY26*VLOOKUP('Données projet'!$B$12,Paramètres!$A$1:$I$89,3,0)*VLOOKUP('Données projet'!$B$12,Paramètres!$A$1:$I$89,5,0)</f>
        <v>114.81600000000002</v>
      </c>
      <c r="CA26" s="13">
        <f t="shared" si="39"/>
        <v>30.462826482209831</v>
      </c>
      <c r="CB26" s="20">
        <f t="shared" si="10"/>
        <v>253.02728945651543</v>
      </c>
      <c r="CC26" s="59">
        <f t="shared" si="11"/>
        <v>546.36062278984878</v>
      </c>
      <c r="CD26" s="59">
        <f ca="1">AVERAGE(OFFSET($CC$3,0,0,'Données projet'!$E$12+1,1))-AVERAGE(OFFSET($H$3,0,0,'Données projet'!$E$12+1,1))</f>
        <v>152.85416952858094</v>
      </c>
      <c r="CE26" s="59">
        <f t="shared" si="40"/>
        <v>369.87619681979322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15.166847675325261</v>
      </c>
      <c r="CL26" s="21">
        <f>EXP(-LN(2)/25)*CL25+(1-EXP(-LN(2)/25))/(LN(2)/25)*Calculateur!CG26*Calculateur!CI26*VLOOKUP('Données projet'!$B$12,Paramètres!$A$1:$I$89,3,0)*0.475*44/12</f>
        <v>17.456855765242661</v>
      </c>
      <c r="CM26" s="21">
        <f>EXP(-LN(2)/2)*CM25+(1-EXP(-LN(2)/2))/(LN(2)/2)*CG26*CJ26*VLOOKUP('Données projet'!$B$12,Paramètres!$A$1:$I$89,3,0)*0.475*44/12</f>
        <v>0.5086870294425091</v>
      </c>
      <c r="CN26" s="22">
        <f t="shared" si="12"/>
        <v>33.132390470010435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11.231999999999999</v>
      </c>
      <c r="D27" s="11">
        <f t="shared" si="32"/>
        <v>3.9060334113059061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116.85499475394033</v>
      </c>
      <c r="H27" s="66">
        <f t="shared" si="1"/>
        <v>319.69874152469112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2.5115384616666665</v>
      </c>
      <c r="N27" s="13">
        <f>IF('Données projet'!$A$36&gt;35,N26+M27-V26,IF(A27&lt;'Données projet'!$A$36,$K$205^A27,IF(A27='Données projet'!$A$36,'Données projet'!$B$36,N26+M27-V26)))</f>
        <v>31.743065879146062</v>
      </c>
      <c r="O27" s="13">
        <f>N27*VLOOKUP('Données projet'!$B$9,Paramètres!$A$1:$I$89,3,0)*VLOOKUP('Données projet'!$B$9,Paramètres!$A$1:$I$89,5,0)</f>
        <v>32.187468801454109</v>
      </c>
      <c r="P27" s="13">
        <f t="shared" si="33"/>
        <v>9.9024838736877001</v>
      </c>
      <c r="Q27" s="20">
        <f t="shared" si="2"/>
        <v>73.306667575871984</v>
      </c>
      <c r="R27" s="59">
        <f t="shared" si="0"/>
        <v>366.6400009092053</v>
      </c>
      <c r="S27" s="59">
        <f ca="1">AVERAGE(OFFSET($R$3,0,0,'Données projet'!$E$9+1,1))-AVERAGE(OFFSET($H$3,0,0,'Données projet'!$E$9+1,1))</f>
        <v>561.16051468364344</v>
      </c>
      <c r="T27" s="59">
        <f t="shared" si="34"/>
        <v>137.34523913145267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2.5115384616666665</v>
      </c>
      <c r="AI27" s="13">
        <f>IF('Données projet'!$A$62&gt;35,AI26+AH27-AQ26,IF(A27&lt;'Données projet'!$A$62,$AF$205^A27,IF(A27='Données projet'!$A$62,'Données projet'!$B$62,AI26+AH27-AQ26)))</f>
        <v>31.743065879146062</v>
      </c>
      <c r="AJ27" s="13">
        <f>AI27*VLOOKUP('Données projet'!$B$10,Paramètres!$A$1:$I$89,3,0)*VLOOKUP('Données projet'!$B$10,Paramètres!$A$1:$I$89,5,0)</f>
        <v>28.721126007451357</v>
      </c>
      <c r="AK27" s="13">
        <f t="shared" si="35"/>
        <v>8.9540368424161478</v>
      </c>
      <c r="AL27" s="20">
        <f t="shared" si="4"/>
        <v>65.617575296852564</v>
      </c>
      <c r="AM27" s="59">
        <f t="shared" si="5"/>
        <v>358.95090863018589</v>
      </c>
      <c r="AN27" s="59">
        <f ca="1">AVERAGE(OFFSET($AM$3,0,0,'Données projet'!$E$10+1,1))-AVERAGE(OFFSET($H$3,0,0,'Données projet'!$E$10+1,1))</f>
        <v>491.82493848755047</v>
      </c>
      <c r="AO27" s="59">
        <f t="shared" si="36"/>
        <v>119.46953275458026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8</v>
      </c>
      <c r="BD27" s="12">
        <f>IF('Données projet'!$A$88&gt;35,BD26+BC27-BL26,IF(A27&lt;'Données projet'!$A$88,$BA$205^A27,IF(A27='Données projet'!$A$88,'Données projet'!$B$88,BD26+BC27-BL26)))</f>
        <v>90</v>
      </c>
      <c r="BE27" s="13">
        <f>BD27*VLOOKUP('Données projet'!$B$11,Paramètres!$A$1:$I$89,3,0)*VLOOKUP('Données projet'!$B$11,Paramètres!$A$1:$I$89,5,0)</f>
        <v>78.624000000000009</v>
      </c>
      <c r="BF27" s="13">
        <f t="shared" si="37"/>
        <v>21.800406010684462</v>
      </c>
      <c r="BG27" s="20">
        <f t="shared" si="7"/>
        <v>174.90584046860877</v>
      </c>
      <c r="BH27" s="59">
        <f t="shared" si="8"/>
        <v>468.23917380194212</v>
      </c>
      <c r="BI27" s="59">
        <f ca="1">AVERAGE(OFFSET($BH$3,0,0,'Données projet'!$E$11+1,1))-AVERAGE(OFFSET($H$3,0,0,'Données projet'!$E$11+1,1))</f>
        <v>216.10252108537389</v>
      </c>
      <c r="BJ27" s="59">
        <f t="shared" si="38"/>
        <v>196.91968622092054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>
        <f>VLOOKUP(A27,'Données projet'!$A$113:$I$133,2,0)</f>
        <v>209</v>
      </c>
      <c r="BW27" s="12">
        <f>VLOOKUP(A27,'Données projet'!$A$113:$I$133,9,0)</f>
        <v>17</v>
      </c>
      <c r="BX27" s="12">
        <f t="array" ref="BX27">INDEX(BW:BW,MIN(IF(ISNUMBER(BW27:BW223),ROW(BW27:BW223),"")))</f>
        <v>17</v>
      </c>
      <c r="BY27" s="12">
        <f>IF('Données projet'!$A$114&gt;35,BY26+BX27-CG26,IF(A27&lt;'Données projet'!$A$114,$BV$205^A27,IF(A27='Données projet'!$A$114,'Données projet'!$B$114,BY26+BX27-CG26)))</f>
        <v>209</v>
      </c>
      <c r="BZ27" s="13">
        <f>BY27*VLOOKUP('Données projet'!$B$12,Paramètres!$A$1:$I$89,3,0)*VLOOKUP('Données projet'!$B$12,Paramètres!$A$1:$I$89,5,0)</f>
        <v>124.982</v>
      </c>
      <c r="CA27" s="13">
        <f t="shared" si="39"/>
        <v>32.834203796212122</v>
      </c>
      <c r="CB27" s="20">
        <f t="shared" si="10"/>
        <v>274.86322161173604</v>
      </c>
      <c r="CC27" s="59">
        <f t="shared" si="11"/>
        <v>568.19655494506935</v>
      </c>
      <c r="CD27" s="59">
        <f ca="1">AVERAGE(OFFSET($CC$3,0,0,'Données projet'!$E$12+1,1))-AVERAGE(OFFSET($H$3,0,0,'Données projet'!$E$12+1,1))</f>
        <v>152.85416952858094</v>
      </c>
      <c r="CE27" s="59">
        <f t="shared" si="40"/>
        <v>369.87619681979322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14.869435043275768</v>
      </c>
      <c r="CL27" s="21">
        <f>EXP(-LN(2)/25)*CL26+(1-EXP(-LN(2)/25))/(LN(2)/25)*Calculateur!CG27*Calculateur!CI27*VLOOKUP('Données projet'!$B$12,Paramètres!$A$1:$I$89,3,0)*0.475*44/12</f>
        <v>16.979497126325953</v>
      </c>
      <c r="CM27" s="21">
        <f>EXP(-LN(2)/2)*CM26+(1-EXP(-LN(2)/2))/(LN(2)/2)*CG27*CJ27*VLOOKUP('Données projet'!$B$12,Paramètres!$A$1:$I$89,3,0)*0.475*44/12</f>
        <v>0.35969604802043914</v>
      </c>
      <c r="CN27" s="22">
        <f t="shared" si="12"/>
        <v>32.208628217622163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11.7</v>
      </c>
      <c r="D28" s="11">
        <f t="shared" si="32"/>
        <v>4.0494971001980291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121.57506533486197</v>
      </c>
      <c r="H28" s="66">
        <f t="shared" si="1"/>
        <v>320.76370744951157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2.5115384616666665</v>
      </c>
      <c r="N28" s="13">
        <f>IF('Données projet'!$A$36&gt;35,N27+M28-V27,IF(A28&lt;'Données projet'!$A$36,$K$205^A28,IF(A28='Données projet'!$A$36,'Données projet'!$B$36,N27+M28-V27)))</f>
        <v>36.662119897691205</v>
      </c>
      <c r="O28" s="13">
        <f>N28*VLOOKUP('Données projet'!$B$9,Paramètres!$A$1:$I$89,3,0)*VLOOKUP('Données projet'!$B$9,Paramètres!$A$1:$I$89,5,0)</f>
        <v>37.175389576258887</v>
      </c>
      <c r="P28" s="13">
        <f t="shared" si="33"/>
        <v>11.246822724755127</v>
      </c>
      <c r="Q28" s="20">
        <f t="shared" si="2"/>
        <v>84.335353090932742</v>
      </c>
      <c r="R28" s="59">
        <f t="shared" si="0"/>
        <v>377.66868642426607</v>
      </c>
      <c r="S28" s="59">
        <f ca="1">AVERAGE(OFFSET($R$3,0,0,'Données projet'!$E$9+1,1))-AVERAGE(OFFSET($H$3,0,0,'Données projet'!$E$9+1,1))</f>
        <v>561.16051468364344</v>
      </c>
      <c r="T28" s="59">
        <f t="shared" si="34"/>
        <v>137.34523913145267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0</v>
      </c>
      <c r="AC28" s="22">
        <f t="shared" si="3"/>
        <v>0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2.5115384616666665</v>
      </c>
      <c r="AI28" s="13">
        <f>IF('Données projet'!$A$62&gt;35,AI27+AH28-AQ27,IF(A28&lt;'Données projet'!$A$62,$AF$205^A28,IF(A28='Données projet'!$A$62,'Données projet'!$B$62,AI27+AH28-AQ27)))</f>
        <v>36.662119897691205</v>
      </c>
      <c r="AJ28" s="13">
        <f>AI28*VLOOKUP('Données projet'!$B$10,Paramètres!$A$1:$I$89,3,0)*VLOOKUP('Données projet'!$B$10,Paramètres!$A$1:$I$89,5,0)</f>
        <v>33.171886083430998</v>
      </c>
      <c r="AK28" s="13">
        <f t="shared" si="35"/>
        <v>10.169616666093907</v>
      </c>
      <c r="AL28" s="20">
        <f t="shared" si="4"/>
        <v>75.486450622089208</v>
      </c>
      <c r="AM28" s="59">
        <f t="shared" si="5"/>
        <v>368.81978395542251</v>
      </c>
      <c r="AN28" s="59">
        <f ca="1">AVERAGE(OFFSET($AM$3,0,0,'Données projet'!$E$10+1,1))-AVERAGE(OFFSET($H$3,0,0,'Données projet'!$E$10+1,1))</f>
        <v>491.82493848755047</v>
      </c>
      <c r="AO28" s="59">
        <f t="shared" si="36"/>
        <v>119.46953275458026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>
        <f>VLOOKUP(A28,'Données projet'!$A$87:$I$107,2,0)</f>
        <v>98</v>
      </c>
      <c r="BB28" s="12">
        <f>VLOOKUP(A28,'Données projet'!$A$87:$I$107,9,0)</f>
        <v>8</v>
      </c>
      <c r="BC28" s="12">
        <f t="array" ref="BC28">INDEX(BB:BB,MIN(IF(ISNUMBER(BB28:BB224),ROW(BB28:BB224),"")))</f>
        <v>8</v>
      </c>
      <c r="BD28" s="12">
        <f>IF('Données projet'!$A$88&gt;35,BD27+BC28-BL27,IF(A28&lt;'Données projet'!$A$88,$BA$205^A28,IF(A28='Données projet'!$A$88,'Données projet'!$B$88,BD27+BC28-BL27)))</f>
        <v>98</v>
      </c>
      <c r="BE28" s="13">
        <f>BD28*VLOOKUP('Données projet'!$B$11,Paramètres!$A$1:$I$89,3,0)*VLOOKUP('Données projet'!$B$11,Paramètres!$A$1:$I$89,5,0)</f>
        <v>85.612800000000007</v>
      </c>
      <c r="BF28" s="13">
        <f t="shared" si="37"/>
        <v>23.504080242391282</v>
      </c>
      <c r="BG28" s="20">
        <f t="shared" si="7"/>
        <v>190.04523308883151</v>
      </c>
      <c r="BH28" s="59">
        <f t="shared" si="8"/>
        <v>483.37856642216479</v>
      </c>
      <c r="BI28" s="59">
        <f ca="1">AVERAGE(OFFSET($BH$3,0,0,'Données projet'!$E$11+1,1))-AVERAGE(OFFSET($H$3,0,0,'Données projet'!$E$11+1,1))</f>
        <v>216.10252108537389</v>
      </c>
      <c r="BJ28" s="59">
        <f t="shared" si="38"/>
        <v>196.91968622092054</v>
      </c>
      <c r="BK28" s="15">
        <f>IF(ISNA(VLOOKUP(A28,'Données projet'!$A$87:$I$107,3,0)),0,VLOOKUP(A28,'Données projet'!$A$87:$I$107,3,0))</f>
        <v>2</v>
      </c>
      <c r="BL28" s="15">
        <f>IF(ISNA(VLOOKUP(A28,'Données projet'!$A$87:$I$107,4,0)),0,VLOOKUP(A28,'Données projet'!$A$87:$I$107,4,0))</f>
        <v>19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>
        <f>VLOOKUP(A28,'Données projet'!$A$113:$I$133,2,0)</f>
        <v>226</v>
      </c>
      <c r="BW28" s="12">
        <f>VLOOKUP(A28,'Données projet'!$A$113:$I$133,9,0)</f>
        <v>17</v>
      </c>
      <c r="BX28" s="12">
        <f t="array" ref="BX28">INDEX(BW:BW,MIN(IF(ISNUMBER(BW28:BW224),ROW(BW28:BW224),"")))</f>
        <v>17</v>
      </c>
      <c r="BY28" s="12">
        <f>IF('Données projet'!$A$114&gt;35,BY27+BX28-CG27,IF(A28&lt;'Données projet'!$A$114,$BV$205^A28,IF(A28='Données projet'!$A$114,'Données projet'!$B$114,BY27+BX28-CG27)))</f>
        <v>226</v>
      </c>
      <c r="BZ28" s="13">
        <f>BY28*VLOOKUP('Données projet'!$B$12,Paramètres!$A$1:$I$89,3,0)*VLOOKUP('Données projet'!$B$12,Paramètres!$A$1:$I$89,5,0)</f>
        <v>135.14800000000002</v>
      </c>
      <c r="CA28" s="13">
        <f t="shared" si="39"/>
        <v>35.183208974998173</v>
      </c>
      <c r="CB28" s="20">
        <f t="shared" si="10"/>
        <v>296.66018896478852</v>
      </c>
      <c r="CC28" s="59">
        <f t="shared" si="11"/>
        <v>589.99352229812189</v>
      </c>
      <c r="CD28" s="59">
        <f ca="1">AVERAGE(OFFSET($CC$3,0,0,'Données projet'!$E$12+1,1))-AVERAGE(OFFSET($H$3,0,0,'Données projet'!$E$12+1,1))</f>
        <v>152.85416952858094</v>
      </c>
      <c r="CE28" s="59">
        <f t="shared" si="40"/>
        <v>369.87619681979322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14.577854491536971</v>
      </c>
      <c r="CL28" s="21">
        <f>EXP(-LN(2)/25)*CL27+(1-EXP(-LN(2)/25))/(LN(2)/25)*Calculateur!CG28*Calculateur!CI28*VLOOKUP('Données projet'!$B$12,Paramètres!$A$1:$I$89,3,0)*0.475*44/12</f>
        <v>16.515191884493621</v>
      </c>
      <c r="CM28" s="21">
        <f>EXP(-LN(2)/2)*CM27+(1-EXP(-LN(2)/2))/(LN(2)/2)*CG28*CJ28*VLOOKUP('Données projet'!$B$12,Paramètres!$A$1:$I$89,3,0)*0.475*44/12</f>
        <v>0.25434351472125455</v>
      </c>
      <c r="CN28" s="22">
        <f t="shared" si="12"/>
        <v>31.347389890751849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12.167999999999999</v>
      </c>
      <c r="D29" s="11">
        <f t="shared" si="32"/>
        <v>4.1922941870296242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126.28999021566726</v>
      </c>
      <c r="H29" s="66">
        <f t="shared" si="1"/>
        <v>321.82751237574325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2.5115384616666665</v>
      </c>
      <c r="N29" s="13">
        <f>IF('Données projet'!$A$36&gt;35,N28+M29-V28,IF(A29&lt;'Données projet'!$A$36,$K$205^A29,IF(A29='Données projet'!$A$36,'Données projet'!$B$36,N28+M29-V28)))</f>
        <v>42.343453543840354</v>
      </c>
      <c r="O29" s="13">
        <f>N29*VLOOKUP('Données projet'!$B$9,Paramètres!$A$1:$I$89,3,0)*VLOOKUP('Données projet'!$B$9,Paramètres!$A$1:$I$89,5,0)</f>
        <v>42.936261893454123</v>
      </c>
      <c r="P29" s="13">
        <f t="shared" si="33"/>
        <v>12.773665982751346</v>
      </c>
      <c r="Q29" s="20">
        <f t="shared" si="2"/>
        <v>97.028124384391177</v>
      </c>
      <c r="R29" s="59">
        <f t="shared" si="0"/>
        <v>390.36145771772448</v>
      </c>
      <c r="S29" s="59">
        <f ca="1">AVERAGE(OFFSET($R$3,0,0,'Données projet'!$E$9+1,1))-AVERAGE(OFFSET($H$3,0,0,'Données projet'!$E$9+1,1))</f>
        <v>561.16051468364344</v>
      </c>
      <c r="T29" s="59">
        <f t="shared" si="34"/>
        <v>137.34523913145267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0</v>
      </c>
      <c r="AC29" s="22">
        <f t="shared" si="3"/>
        <v>0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2.5115384616666665</v>
      </c>
      <c r="AI29" s="13">
        <f>IF('Données projet'!$A$62&gt;35,AI28+AH29-AQ28,IF(A29&lt;'Données projet'!$A$62,$AF$205^A29,IF(A29='Données projet'!$A$62,'Données projet'!$B$62,AI28+AH29-AQ28)))</f>
        <v>42.343453543840354</v>
      </c>
      <c r="AJ29" s="13">
        <f>AI29*VLOOKUP('Données projet'!$B$10,Paramètres!$A$1:$I$89,3,0)*VLOOKUP('Données projet'!$B$10,Paramètres!$A$1:$I$89,5,0)</f>
        <v>38.312356766466749</v>
      </c>
      <c r="AK29" s="13">
        <f t="shared" si="35"/>
        <v>11.550220861877524</v>
      </c>
      <c r="AL29" s="20">
        <f t="shared" si="4"/>
        <v>86.84398936936627</v>
      </c>
      <c r="AM29" s="59">
        <f t="shared" si="5"/>
        <v>380.1773227026996</v>
      </c>
      <c r="AN29" s="59">
        <f ca="1">AVERAGE(OFFSET($AM$3,0,0,'Données projet'!$E$10+1,1))-AVERAGE(OFFSET($H$3,0,0,'Données projet'!$E$10+1,1))</f>
        <v>491.82493848755047</v>
      </c>
      <c r="AO29" s="59">
        <f t="shared" si="36"/>
        <v>119.46953275458026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8</v>
      </c>
      <c r="BD29" s="12">
        <f>IF('Données projet'!$A$88&gt;35,BD28+BC29-BL28,IF(A29&lt;'Données projet'!$A$88,$BA$205^A29,IF(A29='Données projet'!$A$88,'Données projet'!$B$88,BD28+BC29-BL28)))</f>
        <v>87</v>
      </c>
      <c r="BE29" s="13">
        <f>BD29*VLOOKUP('Données projet'!$B$11,Paramètres!$A$1:$I$89,3,0)*VLOOKUP('Données projet'!$B$11,Paramètres!$A$1:$I$89,5,0)</f>
        <v>76.003200000000007</v>
      </c>
      <c r="BF29" s="13">
        <f t="shared" si="37"/>
        <v>21.157049992000456</v>
      </c>
      <c r="BG29" s="20">
        <f t="shared" si="7"/>
        <v>169.22076873606747</v>
      </c>
      <c r="BH29" s="59">
        <f t="shared" si="8"/>
        <v>462.55410206940076</v>
      </c>
      <c r="BI29" s="59">
        <f ca="1">AVERAGE(OFFSET($BH$3,0,0,'Données projet'!$E$11+1,1))-AVERAGE(OFFSET($H$3,0,0,'Données projet'!$E$11+1,1))</f>
        <v>216.10252108537389</v>
      </c>
      <c r="BJ29" s="59">
        <f t="shared" si="38"/>
        <v>196.91968622092054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>
        <f>VLOOKUP(A29,'Données projet'!$A$113:$I$133,2,0)</f>
        <v>244</v>
      </c>
      <c r="BW29" s="12">
        <f>VLOOKUP(A29,'Données projet'!$A$113:$I$133,9,0)</f>
        <v>18</v>
      </c>
      <c r="BX29" s="12">
        <f t="array" ref="BX29">INDEX(BW:BW,MIN(IF(ISNUMBER(BW29:BW225),ROW(BW29:BW225),"")))</f>
        <v>18</v>
      </c>
      <c r="BY29" s="12">
        <f>IF('Données projet'!$A$114&gt;35,BY28+BX29-CG28,IF(A29&lt;'Données projet'!$A$114,$BV$205^A29,IF(A29='Données projet'!$A$114,'Données projet'!$B$114,BY28+BX29-CG28)))</f>
        <v>244</v>
      </c>
      <c r="BZ29" s="13">
        <f>BY29*VLOOKUP('Données projet'!$B$12,Paramètres!$A$1:$I$89,3,0)*VLOOKUP('Données projet'!$B$12,Paramètres!$A$1:$I$89,5,0)</f>
        <v>145.91200000000001</v>
      </c>
      <c r="CA29" s="13">
        <f t="shared" si="39"/>
        <v>37.648084239987625</v>
      </c>
      <c r="CB29" s="20">
        <f t="shared" si="10"/>
        <v>319.70048005131179</v>
      </c>
      <c r="CC29" s="59">
        <f t="shared" si="11"/>
        <v>613.0338133846451</v>
      </c>
      <c r="CD29" s="59">
        <f ca="1">AVERAGE(OFFSET($CC$3,0,0,'Données projet'!$E$12+1,1))-AVERAGE(OFFSET($H$3,0,0,'Données projet'!$E$12+1,1))</f>
        <v>152.85416952858094</v>
      </c>
      <c r="CE29" s="59">
        <f t="shared" si="40"/>
        <v>369.87619681979322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14.291991656571197</v>
      </c>
      <c r="CL29" s="21">
        <f>EXP(-LN(2)/25)*CL28+(1-EXP(-LN(2)/25))/(LN(2)/25)*Calculateur!CG29*Calculateur!CI29*VLOOKUP('Données projet'!$B$12,Paramètres!$A$1:$I$89,3,0)*0.475*44/12</f>
        <v>16.063583093915948</v>
      </c>
      <c r="CM29" s="21">
        <f>EXP(-LN(2)/2)*CM28+(1-EXP(-LN(2)/2))/(LN(2)/2)*CG29*CJ29*VLOOKUP('Données projet'!$B$12,Paramètres!$A$1:$I$89,3,0)*0.475*44/12</f>
        <v>0.17984802401021957</v>
      </c>
      <c r="CN29" s="22">
        <f t="shared" si="12"/>
        <v>30.535422774497363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12.635999999999999</v>
      </c>
      <c r="D30" s="11">
        <f t="shared" si="32"/>
        <v>4.3344532450369764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130.99998996168895</v>
      </c>
      <c r="H30" s="66">
        <f t="shared" si="1"/>
        <v>322.8902060684394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2.5115384616666665</v>
      </c>
      <c r="N30" s="13">
        <f>IF('Données projet'!$A$36&gt;35,N29+M30-V29,IF(A30&lt;'Données projet'!$A$36,$K$205^A30,IF(A30='Données projet'!$A$36,'Données projet'!$B$36,N29+M30-V29)))</f>
        <v>48.90519323549205</v>
      </c>
      <c r="O30" s="13">
        <f>N30*VLOOKUP('Données projet'!$B$9,Paramètres!$A$1:$I$89,3,0)*VLOOKUP('Données projet'!$B$9,Paramètres!$A$1:$I$89,5,0)</f>
        <v>49.58986594078894</v>
      </c>
      <c r="P30" s="13">
        <f t="shared" si="33"/>
        <v>14.507790033869444</v>
      </c>
      <c r="Q30" s="20">
        <f t="shared" si="2"/>
        <v>111.63675082253</v>
      </c>
      <c r="R30" s="59">
        <f t="shared" si="0"/>
        <v>404.97008415586333</v>
      </c>
      <c r="S30" s="59">
        <f ca="1">AVERAGE(OFFSET($R$3,0,0,'Données projet'!$E$9+1,1))-AVERAGE(OFFSET($H$3,0,0,'Données projet'!$E$9+1,1))</f>
        <v>561.16051468364344</v>
      </c>
      <c r="T30" s="59">
        <f t="shared" si="34"/>
        <v>137.34523913145267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0</v>
      </c>
      <c r="AC30" s="22">
        <f t="shared" si="3"/>
        <v>0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2.5115384616666665</v>
      </c>
      <c r="AI30" s="13">
        <f>IF('Données projet'!$A$62&gt;35,AI29+AH30-AQ29,IF(A30&lt;'Données projet'!$A$62,$AF$205^A30,IF(A30='Données projet'!$A$62,'Données projet'!$B$62,AI29+AH30-AQ29)))</f>
        <v>48.90519323549205</v>
      </c>
      <c r="AJ30" s="13">
        <f>AI30*VLOOKUP('Données projet'!$B$10,Paramètres!$A$1:$I$89,3,0)*VLOOKUP('Données projet'!$B$10,Paramètres!$A$1:$I$89,5,0)</f>
        <v>44.249418839473208</v>
      </c>
      <c r="AK30" s="13">
        <f t="shared" si="35"/>
        <v>13.118252765902122</v>
      </c>
      <c r="AL30" s="20">
        <f t="shared" si="4"/>
        <v>99.915361379362025</v>
      </c>
      <c r="AM30" s="59">
        <f t="shared" si="5"/>
        <v>393.24869471269534</v>
      </c>
      <c r="AN30" s="59">
        <f ca="1">AVERAGE(OFFSET($AM$3,0,0,'Données projet'!$E$10+1,1))-AVERAGE(OFFSET($H$3,0,0,'Données projet'!$E$10+1,1))</f>
        <v>491.82493848755047</v>
      </c>
      <c r="AO30" s="59">
        <f t="shared" si="36"/>
        <v>119.46953275458026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8</v>
      </c>
      <c r="BD30" s="12">
        <f>IF('Données projet'!$A$88&gt;35,BD29+BC30-BL29,IF(A30&lt;'Données projet'!$A$88,$BA$205^A30,IF(A30='Données projet'!$A$88,'Données projet'!$B$88,BD29+BC30-BL29)))</f>
        <v>95</v>
      </c>
      <c r="BE30" s="13">
        <f>BD30*VLOOKUP('Données projet'!$B$11,Paramètres!$A$1:$I$89,3,0)*VLOOKUP('Données projet'!$B$11,Paramètres!$A$1:$I$89,5,0)</f>
        <v>82.992000000000004</v>
      </c>
      <c r="BF30" s="13">
        <f t="shared" si="37"/>
        <v>22.867173045817324</v>
      </c>
      <c r="BG30" s="20">
        <f t="shared" si="7"/>
        <v>184.37139305479852</v>
      </c>
      <c r="BH30" s="59">
        <f t="shared" si="8"/>
        <v>477.7047263881318</v>
      </c>
      <c r="BI30" s="59">
        <f ca="1">AVERAGE(OFFSET($BH$3,0,0,'Données projet'!$E$11+1,1))-AVERAGE(OFFSET($H$3,0,0,'Données projet'!$E$11+1,1))</f>
        <v>216.10252108537389</v>
      </c>
      <c r="BJ30" s="59">
        <f t="shared" si="38"/>
        <v>196.91968622092054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>
        <f>VLOOKUP(A30,'Données projet'!$A$113:$I$133,2,0)</f>
        <v>261</v>
      </c>
      <c r="BW30" s="12">
        <f>VLOOKUP(A30,'Données projet'!$A$113:$I$133,9,0)</f>
        <v>17</v>
      </c>
      <c r="BX30" s="12">
        <f t="array" ref="BX30">INDEX(BW:BW,MIN(IF(ISNUMBER(BW30:BW226),ROW(BW30:BW226),"")))</f>
        <v>17</v>
      </c>
      <c r="BY30" s="12">
        <f>IF('Données projet'!$A$114&gt;35,BY29+BX30-CG29,IF(A30&lt;'Données projet'!$A$114,$BV$205^A30,IF(A30='Données projet'!$A$114,'Données projet'!$B$114,BY29+BX30-CG29)))</f>
        <v>261</v>
      </c>
      <c r="BZ30" s="13">
        <f>BY30*VLOOKUP('Données projet'!$B$12,Paramètres!$A$1:$I$89,3,0)*VLOOKUP('Données projet'!$B$12,Paramètres!$A$1:$I$89,5,0)</f>
        <v>156.078</v>
      </c>
      <c r="CA30" s="13">
        <f t="shared" si="39"/>
        <v>39.956623674978466</v>
      </c>
      <c r="CB30" s="20">
        <f t="shared" si="10"/>
        <v>341.42696956725416</v>
      </c>
      <c r="CC30" s="59">
        <f t="shared" si="11"/>
        <v>634.76030290058748</v>
      </c>
      <c r="CD30" s="59">
        <f ca="1">AVERAGE(OFFSET($CC$3,0,0,'Données projet'!$E$12+1,1))-AVERAGE(OFFSET($H$3,0,0,'Données projet'!$E$12+1,1))</f>
        <v>152.85416952858094</v>
      </c>
      <c r="CE30" s="59">
        <f t="shared" si="40"/>
        <v>369.87619681979322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14.011734417439989</v>
      </c>
      <c r="CL30" s="21">
        <f>EXP(-LN(2)/25)*CL29+(1-EXP(-LN(2)/25))/(LN(2)/25)*Calculateur!CG30*Calculateur!CI30*VLOOKUP('Données projet'!$B$12,Paramètres!$A$1:$I$89,3,0)*0.475*44/12</f>
        <v>15.624323569465696</v>
      </c>
      <c r="CM30" s="21">
        <f>EXP(-LN(2)/2)*CM29+(1-EXP(-LN(2)/2))/(LN(2)/2)*CG30*CJ30*VLOOKUP('Données projet'!$B$12,Paramètres!$A$1:$I$89,3,0)*0.475*44/12</f>
        <v>0.12717175736062727</v>
      </c>
      <c r="CN30" s="22">
        <f t="shared" si="12"/>
        <v>29.763229744266312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13.103999999999999</v>
      </c>
      <c r="D31" s="11">
        <f t="shared" si="32"/>
        <v>4.4760006109979793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135.70526787437038</v>
      </c>
      <c r="H31" s="66">
        <f t="shared" si="1"/>
        <v>323.95183439748814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2.5115384616666665</v>
      </c>
      <c r="N31" s="13">
        <f>IF('Données projet'!$A$36&gt;35,N30+M31-V30,IF(A31&lt;'Données projet'!$A$36,$K$205^A31,IF(A31='Données projet'!$A$36,'Données projet'!$B$36,N30+M31-V30)))</f>
        <v>56.483770812991168</v>
      </c>
      <c r="O31" s="13">
        <f>N31*VLOOKUP('Données projet'!$B$9,Paramètres!$A$1:$I$89,3,0)*VLOOKUP('Données projet'!$B$9,Paramètres!$A$1:$I$89,5,0)</f>
        <v>57.274543604373044</v>
      </c>
      <c r="P31" s="13">
        <f t="shared" si="33"/>
        <v>16.477334850547482</v>
      </c>
      <c r="Q31" s="20">
        <f t="shared" si="2"/>
        <v>128.45118830898659</v>
      </c>
      <c r="R31" s="59">
        <f t="shared" si="0"/>
        <v>421.78452164231987</v>
      </c>
      <c r="S31" s="59">
        <f ca="1">AVERAGE(OFFSET($R$3,0,0,'Données projet'!$E$9+1,1))-AVERAGE(OFFSET($H$3,0,0,'Données projet'!$E$9+1,1))</f>
        <v>561.16051468364344</v>
      </c>
      <c r="T31" s="59">
        <f t="shared" si="34"/>
        <v>137.34523913145267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0</v>
      </c>
      <c r="AC31" s="22">
        <f t="shared" si="3"/>
        <v>0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2.5115384616666665</v>
      </c>
      <c r="AI31" s="13">
        <f>IF('Données projet'!$A$62&gt;35,AI30+AH31-AQ30,IF(A31&lt;'Données projet'!$A$62,$AF$205^A31,IF(A31='Données projet'!$A$62,'Données projet'!$B$62,AI30+AH31-AQ30)))</f>
        <v>56.483770812991168</v>
      </c>
      <c r="AJ31" s="13">
        <f>AI31*VLOOKUP('Données projet'!$B$10,Paramètres!$A$1:$I$89,3,0)*VLOOKUP('Données projet'!$B$10,Paramètres!$A$1:$I$89,5,0)</f>
        <v>51.1065158315944</v>
      </c>
      <c r="AK31" s="13">
        <f t="shared" si="35"/>
        <v>14.899157140630228</v>
      </c>
      <c r="AL31" s="20">
        <f t="shared" si="4"/>
        <v>114.95988042662457</v>
      </c>
      <c r="AM31" s="59">
        <f t="shared" si="5"/>
        <v>408.29321375995789</v>
      </c>
      <c r="AN31" s="59">
        <f ca="1">AVERAGE(OFFSET($AM$3,0,0,'Données projet'!$E$10+1,1))-AVERAGE(OFFSET($H$3,0,0,'Données projet'!$E$10+1,1))</f>
        <v>491.82493848755047</v>
      </c>
      <c r="AO31" s="59">
        <f t="shared" si="36"/>
        <v>119.46953275458026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8</v>
      </c>
      <c r="BD31" s="12">
        <f>IF('Données projet'!$A$88&gt;35,BD30+BC31-BL30,IF(A31&lt;'Données projet'!$A$88,$BA$205^A31,IF(A31='Données projet'!$A$88,'Données projet'!$B$88,BD30+BC31-BL30)))</f>
        <v>103</v>
      </c>
      <c r="BE31" s="13">
        <f>BD31*VLOOKUP('Données projet'!$B$11,Paramètres!$A$1:$I$89,3,0)*VLOOKUP('Données projet'!$B$11,Paramètres!$A$1:$I$89,5,0)</f>
        <v>89.980800000000016</v>
      </c>
      <c r="BF31" s="13">
        <f t="shared" si="37"/>
        <v>24.560594358746648</v>
      </c>
      <c r="BG31" s="20">
        <f t="shared" si="7"/>
        <v>199.49292850815041</v>
      </c>
      <c r="BH31" s="59">
        <f t="shared" si="8"/>
        <v>492.82626184148376</v>
      </c>
      <c r="BI31" s="59">
        <f ca="1">AVERAGE(OFFSET($BH$3,0,0,'Données projet'!$E$11+1,1))-AVERAGE(OFFSET($H$3,0,0,'Données projet'!$E$11+1,1))</f>
        <v>216.10252108537389</v>
      </c>
      <c r="BJ31" s="59">
        <f t="shared" si="38"/>
        <v>196.91968622092054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>
        <f>VLOOKUP(A31,'Données projet'!$A$113:$I$133,2,0)</f>
        <v>277</v>
      </c>
      <c r="BW31" s="12">
        <f>VLOOKUP(A31,'Données projet'!$A$113:$I$133,9,0)</f>
        <v>16</v>
      </c>
      <c r="BX31" s="12">
        <f t="array" ref="BX31">INDEX(BW:BW,MIN(IF(ISNUMBER(BW31:BW227),ROW(BW31:BW227),"")))</f>
        <v>16</v>
      </c>
      <c r="BY31" s="12">
        <f>IF('Données projet'!$A$114&gt;35,BY30+BX31-CG30,IF(A31&lt;'Données projet'!$A$114,$BV$205^A31,IF(A31='Données projet'!$A$114,'Données projet'!$B$114,BY30+BX31-CG30)))</f>
        <v>277</v>
      </c>
      <c r="BZ31" s="13">
        <f>BY31*VLOOKUP('Données projet'!$B$12,Paramètres!$A$1:$I$89,3,0)*VLOOKUP('Données projet'!$B$12,Paramètres!$A$1:$I$89,5,0)</f>
        <v>165.64600000000002</v>
      </c>
      <c r="CA31" s="13">
        <f t="shared" si="39"/>
        <v>42.113404814327666</v>
      </c>
      <c r="CB31" s="20">
        <f t="shared" si="10"/>
        <v>361.84763005162068</v>
      </c>
      <c r="CC31" s="59">
        <f t="shared" si="11"/>
        <v>655.180963384954</v>
      </c>
      <c r="CD31" s="59">
        <f ca="1">AVERAGE(OFFSET($CC$3,0,0,'Données projet'!$E$12+1,1))-AVERAGE(OFFSET($H$3,0,0,'Données projet'!$E$12+1,1))</f>
        <v>152.85416952858094</v>
      </c>
      <c r="CE31" s="59">
        <f t="shared" si="40"/>
        <v>369.87619681979322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13.736972851828106</v>
      </c>
      <c r="CL31" s="21">
        <f>EXP(-LN(2)/25)*CL30+(1-EXP(-LN(2)/25))/(LN(2)/25)*Calculateur!CG31*Calculateur!CI31*VLOOKUP('Données projet'!$B$12,Paramètres!$A$1:$I$89,3,0)*0.475*44/12</f>
        <v>15.197075619811191</v>
      </c>
      <c r="CM31" s="21">
        <f>EXP(-LN(2)/2)*CM30+(1-EXP(-LN(2)/2))/(LN(2)/2)*CG31*CJ31*VLOOKUP('Données projet'!$B$12,Paramètres!$A$1:$I$89,3,0)*0.475*44/12</f>
        <v>8.9924012005109785E-2</v>
      </c>
      <c r="CN31" s="22">
        <f t="shared" si="12"/>
        <v>29.023972483644407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13.571999999999999</v>
      </c>
      <c r="D32" s="11">
        <f t="shared" si="32"/>
        <v>4.6169606338501863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140.40601191042251</v>
      </c>
      <c r="H32" s="66">
        <f t="shared" si="1"/>
        <v>325.01243977062239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2.5115384616666665</v>
      </c>
      <c r="N32" s="13">
        <f>IF('Données projet'!$A$36&gt;35,N31+M32-V31,IF(A32&lt;'Données projet'!$A$36,$K$205^A32,IF(A32='Données projet'!$A$36,'Données projet'!$B$36,N31+M32-V31)))</f>
        <v>65.236760233044663</v>
      </c>
      <c r="O32" s="13">
        <f>N32*VLOOKUP('Données projet'!$B$9,Paramètres!$A$1:$I$89,3,0)*VLOOKUP('Données projet'!$B$9,Paramètres!$A$1:$I$89,5,0)</f>
        <v>66.150074876307286</v>
      </c>
      <c r="P32" s="13">
        <f t="shared" si="33"/>
        <v>18.71426062434217</v>
      </c>
      <c r="Q32" s="20">
        <f t="shared" si="2"/>
        <v>147.80538433029781</v>
      </c>
      <c r="R32" s="59">
        <f t="shared" si="0"/>
        <v>441.13871766363116</v>
      </c>
      <c r="S32" s="59">
        <f ca="1">AVERAGE(OFFSET($R$3,0,0,'Données projet'!$E$9+1,1))-AVERAGE(OFFSET($H$3,0,0,'Données projet'!$E$9+1,1))</f>
        <v>561.16051468364344</v>
      </c>
      <c r="T32" s="59">
        <f t="shared" si="34"/>
        <v>137.34523913145267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0</v>
      </c>
      <c r="AC32" s="22">
        <f t="shared" si="3"/>
        <v>0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2.5115384616666665</v>
      </c>
      <c r="AI32" s="13">
        <f>IF('Données projet'!$A$62&gt;35,AI31+AH32-AQ31,IF(A32&lt;'Données projet'!$A$62,$AF$205^A32,IF(A32='Données projet'!$A$62,'Données projet'!$B$62,AI31+AH32-AQ31)))</f>
        <v>65.236760233044663</v>
      </c>
      <c r="AJ32" s="13">
        <f>AI32*VLOOKUP('Données projet'!$B$10,Paramètres!$A$1:$I$89,3,0)*VLOOKUP('Données projet'!$B$10,Paramètres!$A$1:$I$89,5,0)</f>
        <v>59.026220658858804</v>
      </c>
      <c r="AK32" s="13">
        <f t="shared" si="35"/>
        <v>16.921833072022469</v>
      </c>
      <c r="AL32" s="20">
        <f t="shared" si="4"/>
        <v>132.2761935812849</v>
      </c>
      <c r="AM32" s="59">
        <f t="shared" si="5"/>
        <v>425.60952691461819</v>
      </c>
      <c r="AN32" s="59">
        <f ca="1">AVERAGE(OFFSET($AM$3,0,0,'Données projet'!$E$10+1,1))-AVERAGE(OFFSET($H$3,0,0,'Données projet'!$E$10+1,1))</f>
        <v>491.82493848755047</v>
      </c>
      <c r="AO32" s="59">
        <f t="shared" si="36"/>
        <v>119.46953275458026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8</v>
      </c>
      <c r="BD32" s="12">
        <f>IF('Données projet'!$A$88&gt;35,BD31+BC32-BL31,IF(A32&lt;'Données projet'!$A$88,$BA$205^A32,IF(A32='Données projet'!$A$88,'Données projet'!$B$88,BD31+BC32-BL31)))</f>
        <v>111</v>
      </c>
      <c r="BE32" s="13">
        <f>BD32*VLOOKUP('Données projet'!$B$11,Paramètres!$A$1:$I$89,3,0)*VLOOKUP('Données projet'!$B$11,Paramètres!$A$1:$I$89,5,0)</f>
        <v>96.969600000000014</v>
      </c>
      <c r="BF32" s="13">
        <f t="shared" si="37"/>
        <v>26.238758642904337</v>
      </c>
      <c r="BG32" s="20">
        <f t="shared" si="7"/>
        <v>214.58789130305843</v>
      </c>
      <c r="BH32" s="59">
        <f t="shared" si="8"/>
        <v>507.92122463639174</v>
      </c>
      <c r="BI32" s="59">
        <f ca="1">AVERAGE(OFFSET($BH$3,0,0,'Données projet'!$E$11+1,1))-AVERAGE(OFFSET($H$3,0,0,'Données projet'!$E$11+1,1))</f>
        <v>216.10252108537389</v>
      </c>
      <c r="BJ32" s="59">
        <f t="shared" si="38"/>
        <v>196.91968622092054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>
        <f>VLOOKUP(A32,'Données projet'!$A$113:$I$133,2,0)</f>
        <v>293</v>
      </c>
      <c r="BW32" s="12">
        <f>VLOOKUP(A32,'Données projet'!$A$113:$I$133,9,0)</f>
        <v>16</v>
      </c>
      <c r="BX32" s="12">
        <f t="array" ref="BX32">INDEX(BW:BW,MIN(IF(ISNUMBER(BW32:BW228),ROW(BW32:BW228),"")))</f>
        <v>16</v>
      </c>
      <c r="BY32" s="12">
        <f>IF('Données projet'!$A$114&gt;35,BY31+BX32-CG31,IF(A32&lt;'Données projet'!$A$114,$BV$205^A32,IF(A32='Données projet'!$A$114,'Données projet'!$B$114,BY31+BX32-CG31)))</f>
        <v>293</v>
      </c>
      <c r="BZ32" s="13">
        <f>BY32*VLOOKUP('Données projet'!$B$12,Paramètres!$A$1:$I$89,3,0)*VLOOKUP('Données projet'!$B$12,Paramètres!$A$1:$I$89,5,0)</f>
        <v>175.214</v>
      </c>
      <c r="CA32" s="13">
        <f t="shared" si="39"/>
        <v>44.255725061661991</v>
      </c>
      <c r="CB32" s="20">
        <f t="shared" si="10"/>
        <v>382.24310448239459</v>
      </c>
      <c r="CC32" s="59">
        <f t="shared" si="11"/>
        <v>675.5764378157279</v>
      </c>
      <c r="CD32" s="59">
        <f ca="1">AVERAGE(OFFSET($CC$3,0,0,'Données projet'!$E$12+1,1))-AVERAGE(OFFSET($H$3,0,0,'Données projet'!$E$12+1,1))</f>
        <v>152.85416952858094</v>
      </c>
      <c r="CE32" s="59">
        <f t="shared" si="40"/>
        <v>369.87619681979322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13.467599192929866</v>
      </c>
      <c r="CL32" s="21">
        <f>EXP(-LN(2)/25)*CL31+(1-EXP(-LN(2)/25))/(LN(2)/25)*Calculateur!CG32*Calculateur!CI32*VLOOKUP('Données projet'!$B$12,Paramètres!$A$1:$I$89,3,0)*0.475*44/12</f>
        <v>14.78151078780798</v>
      </c>
      <c r="CM32" s="21">
        <f>EXP(-LN(2)/2)*CM31+(1-EXP(-LN(2)/2))/(LN(2)/2)*CG32*CJ32*VLOOKUP('Données projet'!$B$12,Paramètres!$A$1:$I$89,3,0)*0.475*44/12</f>
        <v>6.3585878680313637E-2</v>
      </c>
      <c r="CN32" s="22">
        <f t="shared" si="12"/>
        <v>28.312695859418159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14.04</v>
      </c>
      <c r="D33" s="11">
        <f t="shared" si="32"/>
        <v>4.75735588805329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145.10239632883244</v>
      </c>
      <c r="H33" s="66">
        <f t="shared" si="1"/>
        <v>326.07206150502611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75.346153849999993</v>
      </c>
      <c r="L33" s="12">
        <f>VLOOKUP(A33,'Données projet'!$A$35:$I$55,9,0)</f>
        <v>2.5115384616666665</v>
      </c>
      <c r="M33" s="12">
        <f t="array" ref="M33">INDEX(L:L,MIN(IF(ISNUMBER(L33:L229),ROW(L33:L229),"")))</f>
        <v>2.5115384616666665</v>
      </c>
      <c r="N33" s="13">
        <f>IF('Données projet'!$A$36&gt;35,N32+M33-V32,IF(A33&lt;'Données projet'!$A$36,$K$205^A33,IF(A33='Données projet'!$A$36,'Données projet'!$B$36,N32+M33-V32)))</f>
        <v>75.346153849999993</v>
      </c>
      <c r="O33" s="13">
        <f>N33*VLOOKUP('Données projet'!$B$9,Paramètres!$A$1:$I$89,3,0)*VLOOKUP('Données projet'!$B$9,Paramètres!$A$1:$I$89,5,0)</f>
        <v>76.401000003899995</v>
      </c>
      <c r="P33" s="13">
        <f t="shared" si="33"/>
        <v>21.254866390250498</v>
      </c>
      <c r="Q33" s="20">
        <f t="shared" si="2"/>
        <v>170.08396730314544</v>
      </c>
      <c r="R33" s="59">
        <f t="shared" si="0"/>
        <v>463.41730063647879</v>
      </c>
      <c r="S33" s="59">
        <f ca="1">AVERAGE(OFFSET($R$3,0,0,'Données projet'!$E$9+1,1))-AVERAGE(OFFSET($H$3,0,0,'Données projet'!$E$9+1,1))</f>
        <v>561.16051468364344</v>
      </c>
      <c r="T33" s="59">
        <f t="shared" si="34"/>
        <v>137.34523913145267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0</v>
      </c>
      <c r="AC33" s="22">
        <f t="shared" si="3"/>
        <v>0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75.346153849999993</v>
      </c>
      <c r="AG33" s="12">
        <f>VLOOKUP(A33,'Données projet'!$A$61:$I$81,9,0)</f>
        <v>2.5115384616666665</v>
      </c>
      <c r="AH33" s="12">
        <f t="array" ref="AH33">INDEX(AG:AG,MIN(IF(ISNUMBER(AG33:AG229),ROW(AG33:AG229),"")))</f>
        <v>2.5115384616666665</v>
      </c>
      <c r="AI33" s="13">
        <f>IF('Données projet'!$A$62&gt;35,AI32+AH33-AQ32,IF(A33&lt;'Données projet'!$A$62,$AF$205^A33,IF(A33='Données projet'!$A$62,'Données projet'!$B$62,AI32+AH33-AQ32)))</f>
        <v>75.346153849999993</v>
      </c>
      <c r="AJ33" s="13">
        <f>AI33*VLOOKUP('Données projet'!$B$10,Paramètres!$A$1:$I$89,3,0)*VLOOKUP('Données projet'!$B$10,Paramètres!$A$1:$I$89,5,0)</f>
        <v>68.173200003479991</v>
      </c>
      <c r="AK33" s="13">
        <f t="shared" si="35"/>
        <v>19.219102920695935</v>
      </c>
      <c r="AL33" s="20">
        <f t="shared" si="4"/>
        <v>152.20826092627306</v>
      </c>
      <c r="AM33" s="59">
        <f t="shared" si="5"/>
        <v>445.54159425960637</v>
      </c>
      <c r="AN33" s="59">
        <f ca="1">AVERAGE(OFFSET($AM$3,0,0,'Données projet'!$E$10+1,1))-AVERAGE(OFFSET($H$3,0,0,'Données projet'!$E$10+1,1))</f>
        <v>491.82493848755047</v>
      </c>
      <c r="AO33" s="59">
        <f t="shared" si="36"/>
        <v>119.46953275458026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119</v>
      </c>
      <c r="BB33" s="12">
        <f>VLOOKUP(A33,'Données projet'!$A$87:$I$107,9,0)</f>
        <v>8</v>
      </c>
      <c r="BC33" s="12">
        <f t="array" ref="BC33">INDEX(BB:BB,MIN(IF(ISNUMBER(BB33:BB229),ROW(BB33:BB229),"")))</f>
        <v>8</v>
      </c>
      <c r="BD33" s="12">
        <f>IF('Données projet'!$A$88&gt;35,BD32+BC33-BL32,IF(A33&lt;'Données projet'!$A$88,$BA$205^A33,IF(A33='Données projet'!$A$88,'Données projet'!$B$88,BD32+BC33-BL32)))</f>
        <v>119</v>
      </c>
      <c r="BE33" s="13">
        <f>BD33*VLOOKUP('Données projet'!$B$11,Paramètres!$A$1:$I$89,3,0)*VLOOKUP('Données projet'!$B$11,Paramètres!$A$1:$I$89,5,0)</f>
        <v>103.9584</v>
      </c>
      <c r="BF33" s="13">
        <f t="shared" si="37"/>
        <v>27.902890560352166</v>
      </c>
      <c r="BG33" s="20">
        <f t="shared" si="7"/>
        <v>229.65841439261331</v>
      </c>
      <c r="BH33" s="59">
        <f t="shared" si="8"/>
        <v>522.99174772594665</v>
      </c>
      <c r="BI33" s="59">
        <f ca="1">AVERAGE(OFFSET($BH$3,0,0,'Données projet'!$E$11+1,1))-AVERAGE(OFFSET($H$3,0,0,'Données projet'!$E$11+1,1))</f>
        <v>216.10252108537389</v>
      </c>
      <c r="BJ33" s="59">
        <f t="shared" si="38"/>
        <v>196.91968622092054</v>
      </c>
      <c r="BK33" s="15">
        <f>IF(ISNA(VLOOKUP(A33,'Données projet'!$A$87:$I$107,3,0)),0,VLOOKUP(A33,'Données projet'!$A$87:$I$107,3,0))</f>
        <v>3</v>
      </c>
      <c r="BL33" s="15">
        <f>IF(ISNA(VLOOKUP(A33,'Données projet'!$A$87:$I$107,4,0)),0,VLOOKUP(A33,'Données projet'!$A$87:$I$107,4,0))</f>
        <v>20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0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309</v>
      </c>
      <c r="BW33" s="12">
        <f>VLOOKUP(A33,'Données projet'!$A$113:$I$133,9,0)</f>
        <v>16</v>
      </c>
      <c r="BX33" s="12">
        <f t="array" ref="BX33">INDEX(BW:BW,MIN(IF(ISNUMBER(BW33:BW229),ROW(BW33:BW229),"")))</f>
        <v>16</v>
      </c>
      <c r="BY33" s="12">
        <f>IF('Données projet'!$A$114&gt;35,BY32+BX33-CG32,IF(A33&lt;'Données projet'!$A$114,$BV$205^A33,IF(A33='Données projet'!$A$114,'Données projet'!$B$114,BY32+BX33-CG32)))</f>
        <v>309</v>
      </c>
      <c r="BZ33" s="13">
        <f>BY33*VLOOKUP('Données projet'!$B$12,Paramètres!$A$1:$I$89,3,0)*VLOOKUP('Données projet'!$B$12,Paramètres!$A$1:$I$89,5,0)</f>
        <v>184.78200000000004</v>
      </c>
      <c r="CA33" s="13">
        <f t="shared" si="39"/>
        <v>46.384464109944147</v>
      </c>
      <c r="CB33" s="20">
        <f t="shared" si="10"/>
        <v>402.61492499148608</v>
      </c>
      <c r="CC33" s="59">
        <f t="shared" si="11"/>
        <v>695.94825832481934</v>
      </c>
      <c r="CD33" s="59">
        <f ca="1">AVERAGE(OFFSET($CC$3,0,0,'Données projet'!$E$12+1,1))-AVERAGE(OFFSET($H$3,0,0,'Données projet'!$E$12+1,1))</f>
        <v>152.85416952858094</v>
      </c>
      <c r="CE33" s="59">
        <f t="shared" si="40"/>
        <v>369.87619681979322</v>
      </c>
      <c r="CF33" s="15">
        <f>IF(ISNA(VLOOKUP(A33,'Données projet'!$A$113:$I$133,3,0)),0,VLOOKUP(A33,'Données projet'!$A$113:$I$133,3,0))</f>
        <v>4</v>
      </c>
      <c r="CG33" s="15">
        <f>IF(ISNA(VLOOKUP(A33,'Données projet'!$A$113:$I$133,4,0)),0,VLOOKUP(A33,'Données projet'!$A$113:$I$133,4,0))</f>
        <v>309</v>
      </c>
      <c r="CH33" s="16">
        <f>IF(ISNA(VLOOKUP(A33,'Données projet'!$A$113:$I$133,5,0)),0%,VLOOKUP(A33,'Données projet'!$A$113:$I$133,5,0)*VLOOKUP('Données projet'!$B$12,Paramètres!$A$1:$I$89,7,0))</f>
        <v>0.45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>
        <f>EXP(-LN(2)/35)*CK32+(1-EXP(-LN(2)/35))/(LN(2)/35)*CG33*CH33*VLOOKUP('Données projet'!$B$12,Paramètres!$A$1:$I$89,3,0)*0.475*44/12</f>
        <v>123.50986272944402</v>
      </c>
      <c r="CL33" s="21">
        <f>EXP(-LN(2)/25)*CL32+(1-EXP(-LN(2)/25))/(LN(2)/25)*Calculateur!CG33*Calculateur!CI33*VLOOKUP('Données projet'!$B$12,Paramètres!$A$1:$I$89,3,0)*0.475*44/12</f>
        <v>14.377309597989502</v>
      </c>
      <c r="CM33" s="21">
        <f>EXP(-LN(2)/2)*CM32+(1-EXP(-LN(2)/2))/(LN(2)/2)*CG33*CJ33*VLOOKUP('Données projet'!$B$12,Paramètres!$A$1:$I$89,3,0)*0.475*44/12</f>
        <v>4.4962006002554893E-2</v>
      </c>
      <c r="CN33" s="22">
        <f t="shared" si="12"/>
        <v>137.93213433343607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14.507999999999999</v>
      </c>
      <c r="D34" s="11">
        <f t="shared" si="32"/>
        <v>4.8972073577041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149.79458311210183</v>
      </c>
      <c r="H34" s="66">
        <f t="shared" si="1"/>
        <v>327.13073614800129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8.0511538458333352</v>
      </c>
      <c r="N34" s="13">
        <f>IF('Données projet'!$A$36&gt;35,N33+M34-V33,IF(A34&lt;'Données projet'!$A$36,$K$205^A34,IF(A34='Données projet'!$A$36,'Données projet'!$B$36,N33+M34-V33)))</f>
        <v>83.397307695833334</v>
      </c>
      <c r="O34" s="13">
        <f>N34*VLOOKUP('Données projet'!$B$9,Paramètres!$A$1:$I$89,3,0)*VLOOKUP('Données projet'!$B$9,Paramètres!$A$1:$I$89,5,0)</f>
        <v>84.56487000357501</v>
      </c>
      <c r="P34" s="13">
        <f t="shared" si="33"/>
        <v>23.249688369505058</v>
      </c>
      <c r="Q34" s="20">
        <f t="shared" si="2"/>
        <v>187.77702249978111</v>
      </c>
      <c r="R34" s="59">
        <f t="shared" si="0"/>
        <v>481.11035583311445</v>
      </c>
      <c r="S34" s="59">
        <f ca="1">AVERAGE(OFFSET($R$3,0,0,'Données projet'!$E$9+1,1))-AVERAGE(OFFSET($H$3,0,0,'Données projet'!$E$9+1,1))</f>
        <v>561.16051468364344</v>
      </c>
      <c r="T34" s="59">
        <f t="shared" si="34"/>
        <v>137.34523913145267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0</v>
      </c>
      <c r="AC34" s="22">
        <f t="shared" si="3"/>
        <v>0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8.0511538458333352</v>
      </c>
      <c r="AI34" s="13">
        <f>IF('Données projet'!$A$62&gt;35,AI33+AH34-AQ33,IF(A34&lt;'Données projet'!$A$62,$AF$205^A34,IF(A34='Données projet'!$A$62,'Données projet'!$B$62,AI33+AH34-AQ33)))</f>
        <v>83.397307695833334</v>
      </c>
      <c r="AJ34" s="13">
        <f>AI34*VLOOKUP('Données projet'!$B$10,Paramètres!$A$1:$I$89,3,0)*VLOOKUP('Données projet'!$B$10,Paramètres!$A$1:$I$89,5,0)</f>
        <v>75.457884003190003</v>
      </c>
      <c r="AK34" s="13">
        <f t="shared" si="35"/>
        <v>21.022863444231653</v>
      </c>
      <c r="AL34" s="20">
        <f t="shared" si="4"/>
        <v>168.03730180425939</v>
      </c>
      <c r="AM34" s="59">
        <f t="shared" si="5"/>
        <v>461.37063513759267</v>
      </c>
      <c r="AN34" s="59">
        <f ca="1">AVERAGE(OFFSET($AM$3,0,0,'Données projet'!$E$10+1,1))-AVERAGE(OFFSET($H$3,0,0,'Données projet'!$E$10+1,1))</f>
        <v>491.82493848755047</v>
      </c>
      <c r="AO34" s="59">
        <f t="shared" si="36"/>
        <v>119.46953275458026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7.2</v>
      </c>
      <c r="BD34" s="12">
        <f>IF('Données projet'!$A$88&gt;35,BD33+BC34-BL33,IF(A34&lt;'Données projet'!$A$88,$BA$205^A34,IF(A34='Données projet'!$A$88,'Données projet'!$B$88,BD33+BC34-BL33)))</f>
        <v>106.2</v>
      </c>
      <c r="BE34" s="13">
        <f>BD34*VLOOKUP('Données projet'!$B$11,Paramètres!$A$1:$I$89,3,0)*VLOOKUP('Données projet'!$B$11,Paramètres!$A$1:$I$89,5,0)</f>
        <v>92.776320000000013</v>
      </c>
      <c r="BF34" s="13">
        <f t="shared" si="37"/>
        <v>25.233617967655977</v>
      </c>
      <c r="BG34" s="20">
        <f t="shared" si="7"/>
        <v>205.53397529366751</v>
      </c>
      <c r="BH34" s="59">
        <f t="shared" si="8"/>
        <v>498.86730862700085</v>
      </c>
      <c r="BI34" s="59">
        <f ca="1">AVERAGE(OFFSET($BH$3,0,0,'Données projet'!$E$11+1,1))-AVERAGE(OFFSET($H$3,0,0,'Données projet'!$E$11+1,1))</f>
        <v>216.10252108537389</v>
      </c>
      <c r="BJ34" s="59">
        <f t="shared" si="38"/>
        <v>196.91968622092054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0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>
        <f>BY34*VLOOKUP('Données projet'!$B$12,Paramètres!$A$1:$I$89,3,0)*VLOOKUP('Données projet'!$B$12,Paramètres!$A$1:$I$89,5,0)</f>
        <v>0</v>
      </c>
      <c r="CA34" s="13" t="e">
        <f t="shared" si="39"/>
        <v>#NUM!</v>
      </c>
      <c r="CB34" s="20" t="e">
        <f t="shared" si="10"/>
        <v>#NUM!</v>
      </c>
      <c r="CC34" s="59" t="e">
        <f t="shared" si="11"/>
        <v>#NUM!</v>
      </c>
      <c r="CD34" s="59">
        <f ca="1">AVERAGE(OFFSET($CC$3,0,0,'Données projet'!$E$12+1,1))-AVERAGE(OFFSET($H$3,0,0,'Données projet'!$E$12+1,1))</f>
        <v>152.85416952858094</v>
      </c>
      <c r="CE34" s="59">
        <f t="shared" si="40"/>
        <v>369.87619681979322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121.08790965489732</v>
      </c>
      <c r="CL34" s="21">
        <f>EXP(-LN(2)/25)*CL33+(1-EXP(-LN(2)/25))/(LN(2)/25)*Calculateur!CG34*Calculateur!CI34*VLOOKUP('Données projet'!$B$12,Paramètres!$A$1:$I$89,3,0)*0.475*44/12</f>
        <v>13.984161310962627</v>
      </c>
      <c r="CM34" s="21">
        <f>EXP(-LN(2)/2)*CM33+(1-EXP(-LN(2)/2))/(LN(2)/2)*CG34*CJ34*VLOOKUP('Données projet'!$B$12,Paramètres!$A$1:$I$89,3,0)*0.475*44/12</f>
        <v>3.1792939340156819E-2</v>
      </c>
      <c r="CN34" s="22">
        <f t="shared" si="12"/>
        <v>135.10386390520011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14.975999999999999</v>
      </c>
      <c r="D35" s="11">
        <f t="shared" si="32"/>
        <v>5.0365345962274297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154.48272319894858</v>
      </c>
      <c r="H35" s="66">
        <f t="shared" si="1"/>
        <v>328.18849775509608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8.0511538458333352</v>
      </c>
      <c r="N35" s="13">
        <f>IF('Données projet'!$A$36&gt;35,N34+M35-V34,IF(A35&lt;'Données projet'!$A$36,$K$205^A35,IF(A35='Données projet'!$A$36,'Données projet'!$B$36,N34+M35-V34)))</f>
        <v>91.448461541666674</v>
      </c>
      <c r="O35" s="13">
        <f>N35*VLOOKUP('Données projet'!$B$9,Paramètres!$A$1:$I$89,3,0)*VLOOKUP('Données projet'!$B$9,Paramètres!$A$1:$I$89,5,0)</f>
        <v>92.72874000325001</v>
      </c>
      <c r="P35" s="13">
        <f t="shared" si="33"/>
        <v>25.222182986277236</v>
      </c>
      <c r="Q35" s="20">
        <f t="shared" ref="Q35:Q66" si="53">(O35+P35)*0.475*44/12</f>
        <v>205.43119087342657</v>
      </c>
      <c r="R35" s="59">
        <f t="shared" si="0"/>
        <v>498.76452420675992</v>
      </c>
      <c r="S35" s="59">
        <f ca="1">AVERAGE(OFFSET($R$3,0,0,'Données projet'!$E$9+1,1))-AVERAGE(OFFSET($H$3,0,0,'Données projet'!$E$9+1,1))</f>
        <v>561.16051468364344</v>
      </c>
      <c r="T35" s="59">
        <f t="shared" si="34"/>
        <v>137.34523913145267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0</v>
      </c>
      <c r="AC35" s="22">
        <f t="shared" si="3"/>
        <v>0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8.0511538458333352</v>
      </c>
      <c r="AI35" s="13">
        <f>IF('Données projet'!$A$62&gt;35,AI34+AH35-AQ34,IF(A35&lt;'Données projet'!$A$62,$AF$205^A35,IF(A35='Données projet'!$A$62,'Données projet'!$B$62,AI34+AH35-AQ34)))</f>
        <v>91.448461541666674</v>
      </c>
      <c r="AJ35" s="13">
        <f>AI35*VLOOKUP('Données projet'!$B$10,Paramètres!$A$1:$I$89,3,0)*VLOOKUP('Données projet'!$B$10,Paramètres!$A$1:$I$89,5,0)</f>
        <v>82.742568002900001</v>
      </c>
      <c r="AK35" s="13">
        <f t="shared" si="35"/>
        <v>22.806435091035883</v>
      </c>
      <c r="AL35" s="20">
        <f t="shared" si="4"/>
        <v>183.83118038860502</v>
      </c>
      <c r="AM35" s="59">
        <f t="shared" si="5"/>
        <v>477.16451372193831</v>
      </c>
      <c r="AN35" s="59">
        <f ca="1">AVERAGE(OFFSET($AM$3,0,0,'Données projet'!$E$10+1,1))-AVERAGE(OFFSET($H$3,0,0,'Données projet'!$E$10+1,1))</f>
        <v>491.82493848755047</v>
      </c>
      <c r="AO35" s="59">
        <f t="shared" si="36"/>
        <v>119.46953275458026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7.2</v>
      </c>
      <c r="BD35" s="12">
        <f>IF('Données projet'!$A$88&gt;35,BD34+BC35-BL34,IF(A35&lt;'Données projet'!$A$88,$BA$205^A35,IF(A35='Données projet'!$A$88,'Données projet'!$B$88,BD34+BC35-BL34)))</f>
        <v>113.4</v>
      </c>
      <c r="BE35" s="13">
        <f>BD35*VLOOKUP('Données projet'!$B$11,Paramètres!$A$1:$I$89,3,0)*VLOOKUP('Données projet'!$B$11,Paramètres!$A$1:$I$89,5,0)</f>
        <v>99.066240000000022</v>
      </c>
      <c r="BF35" s="13">
        <f t="shared" si="37"/>
        <v>26.739420789378705</v>
      </c>
      <c r="BG35" s="20">
        <f t="shared" si="7"/>
        <v>219.11152587483457</v>
      </c>
      <c r="BH35" s="59">
        <f t="shared" si="8"/>
        <v>512.44485920816783</v>
      </c>
      <c r="BI35" s="59">
        <f ca="1">AVERAGE(OFFSET($BH$3,0,0,'Données projet'!$E$11+1,1))-AVERAGE(OFFSET($H$3,0,0,'Données projet'!$E$11+1,1))</f>
        <v>216.10252108537389</v>
      </c>
      <c r="BJ35" s="59">
        <f t="shared" si="38"/>
        <v>196.91968622092054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0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>
        <f>BY35*VLOOKUP('Données projet'!$B$12,Paramètres!$A$1:$I$89,3,0)*VLOOKUP('Données projet'!$B$12,Paramètres!$A$1:$I$89,5,0)</f>
        <v>0</v>
      </c>
      <c r="CA35" s="13" t="e">
        <f t="shared" si="39"/>
        <v>#NUM!</v>
      </c>
      <c r="CB35" s="20" t="e">
        <f t="shared" si="10"/>
        <v>#NUM!</v>
      </c>
      <c r="CC35" s="59" t="e">
        <f t="shared" si="11"/>
        <v>#NUM!</v>
      </c>
      <c r="CD35" s="59">
        <f ca="1">AVERAGE(OFFSET($CC$3,0,0,'Données projet'!$E$12+1,1))-AVERAGE(OFFSET($H$3,0,0,'Données projet'!$E$12+1,1))</f>
        <v>152.85416952858094</v>
      </c>
      <c r="CE35" s="59">
        <f t="shared" si="40"/>
        <v>369.87619681979322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118.71344960289696</v>
      </c>
      <c r="CL35" s="21">
        <f>EXP(-LN(2)/25)*CL34+(1-EXP(-LN(2)/25))/(LN(2)/25)*Calculateur!CG35*Calculateur!CI35*VLOOKUP('Données projet'!$B$12,Paramètres!$A$1:$I$89,3,0)*0.475*44/12</f>
        <v>13.601763684519272</v>
      </c>
      <c r="CM35" s="21">
        <f>EXP(-LN(2)/2)*CM34+(1-EXP(-LN(2)/2))/(LN(2)/2)*CG35*CJ35*VLOOKUP('Données projet'!$B$12,Paramètres!$A$1:$I$89,3,0)*0.475*44/12</f>
        <v>2.2481003001277446E-2</v>
      </c>
      <c r="CN35" s="22">
        <f t="shared" si="12"/>
        <v>132.33769429041752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15.443999999999999</v>
      </c>
      <c r="D36" s="11">
        <f t="shared" si="32"/>
        <v>5.1753558655448444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159.16695755859178</v>
      </c>
      <c r="H36" s="66">
        <f t="shared" si="1"/>
        <v>329.2453781324906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8.0511538458333352</v>
      </c>
      <c r="N36" s="13">
        <f>IF('Données projet'!$A$36&gt;35,N35+M36-V35,IF(A36&lt;'Données projet'!$A$36,$K$205^A36,IF(A36='Données projet'!$A$36,'Données projet'!$B$36,N35+M36-V35)))</f>
        <v>99.499615387500015</v>
      </c>
      <c r="O36" s="13">
        <f>N36*VLOOKUP('Données projet'!$B$9,Paramètres!$A$1:$I$89,3,0)*VLOOKUP('Données projet'!$B$9,Paramètres!$A$1:$I$89,5,0)</f>
        <v>100.89261000292503</v>
      </c>
      <c r="P36" s="13">
        <f t="shared" si="33"/>
        <v>27.174539465471309</v>
      </c>
      <c r="Q36" s="20">
        <f t="shared" si="53"/>
        <v>223.05028532412362</v>
      </c>
      <c r="R36" s="59">
        <f t="shared" si="0"/>
        <v>516.38361865745696</v>
      </c>
      <c r="S36" s="59">
        <f ca="1">AVERAGE(OFFSET($R$3,0,0,'Données projet'!$E$9+1,1))-AVERAGE(OFFSET($H$3,0,0,'Données projet'!$E$9+1,1))</f>
        <v>561.16051468364344</v>
      </c>
      <c r="T36" s="59">
        <f t="shared" si="34"/>
        <v>137.34523913145267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0</v>
      </c>
      <c r="AC36" s="22">
        <f t="shared" si="3"/>
        <v>0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8.0511538458333352</v>
      </c>
      <c r="AI36" s="13">
        <f>IF('Données projet'!$A$62&gt;35,AI35+AH36-AQ35,IF(A36&lt;'Données projet'!$A$62,$AF$205^A36,IF(A36='Données projet'!$A$62,'Données projet'!$B$62,AI35+AH36-AQ35)))</f>
        <v>99.499615387500015</v>
      </c>
      <c r="AJ36" s="13">
        <f>AI36*VLOOKUP('Données projet'!$B$10,Paramètres!$A$1:$I$89,3,0)*VLOOKUP('Données projet'!$B$10,Paramètres!$A$1:$I$89,5,0)</f>
        <v>90.027252002610012</v>
      </c>
      <c r="AK36" s="13">
        <f t="shared" si="35"/>
        <v>24.571797404897811</v>
      </c>
      <c r="AL36" s="20">
        <f t="shared" si="4"/>
        <v>199.59334438474278</v>
      </c>
      <c r="AM36" s="59">
        <f t="shared" si="5"/>
        <v>492.92667771807612</v>
      </c>
      <c r="AN36" s="59">
        <f ca="1">AVERAGE(OFFSET($AM$3,0,0,'Données projet'!$E$10+1,1))-AVERAGE(OFFSET($H$3,0,0,'Données projet'!$E$10+1,1))</f>
        <v>491.82493848755047</v>
      </c>
      <c r="AO36" s="59">
        <f t="shared" si="36"/>
        <v>119.46953275458026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7.2</v>
      </c>
      <c r="BD36" s="12">
        <f>IF('Données projet'!$A$88&gt;35,BD35+BC36-BL35,IF(A36&lt;'Données projet'!$A$88,$BA$205^A36,IF(A36='Données projet'!$A$88,'Données projet'!$B$88,BD35+BC36-BL35)))</f>
        <v>120.60000000000001</v>
      </c>
      <c r="BE36" s="13">
        <f>BD36*VLOOKUP('Données projet'!$B$11,Paramètres!$A$1:$I$89,3,0)*VLOOKUP('Données projet'!$B$11,Paramètres!$A$1:$I$89,5,0)</f>
        <v>105.35616000000003</v>
      </c>
      <c r="BF36" s="13">
        <f t="shared" si="37"/>
        <v>28.234128165723941</v>
      </c>
      <c r="BG36" s="20">
        <f t="shared" si="7"/>
        <v>232.66975188863589</v>
      </c>
      <c r="BH36" s="59">
        <f t="shared" si="8"/>
        <v>526.00308522196917</v>
      </c>
      <c r="BI36" s="59">
        <f ca="1">AVERAGE(OFFSET($BH$3,0,0,'Données projet'!$E$11+1,1))-AVERAGE(OFFSET($H$3,0,0,'Données projet'!$E$11+1,1))</f>
        <v>216.10252108537389</v>
      </c>
      <c r="BJ36" s="59">
        <f t="shared" si="38"/>
        <v>196.91968622092054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0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>
        <f>BY36*VLOOKUP('Données projet'!$B$12,Paramètres!$A$1:$I$89,3,0)*VLOOKUP('Données projet'!$B$12,Paramètres!$A$1:$I$89,5,0)</f>
        <v>0</v>
      </c>
      <c r="CA36" s="13" t="e">
        <f t="shared" si="39"/>
        <v>#NUM!</v>
      </c>
      <c r="CB36" s="20" t="e">
        <f t="shared" si="10"/>
        <v>#NUM!</v>
      </c>
      <c r="CC36" s="59" t="e">
        <f t="shared" si="11"/>
        <v>#NUM!</v>
      </c>
      <c r="CD36" s="59">
        <f ca="1">AVERAGE(OFFSET($CC$3,0,0,'Données projet'!$E$12+1,1))-AVERAGE(OFFSET($H$3,0,0,'Données projet'!$E$12+1,1))</f>
        <v>152.85416952858094</v>
      </c>
      <c r="CE36" s="59">
        <f t="shared" si="40"/>
        <v>369.87619681979322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116.3855512642387</v>
      </c>
      <c r="CL36" s="21">
        <f>EXP(-LN(2)/25)*CL35+(1-EXP(-LN(2)/25))/(LN(2)/25)*Calculateur!CG36*Calculateur!CI36*VLOOKUP('Données projet'!$B$12,Paramètres!$A$1:$I$89,3,0)*0.475*44/12</f>
        <v>13.229822741280428</v>
      </c>
      <c r="CM36" s="21">
        <f>EXP(-LN(2)/2)*CM35+(1-EXP(-LN(2)/2))/(LN(2)/2)*CG36*CJ36*VLOOKUP('Données projet'!$B$12,Paramètres!$A$1:$I$89,3,0)*0.475*44/12</f>
        <v>1.5896469670078409E-2</v>
      </c>
      <c r="CN36" s="22">
        <f t="shared" si="12"/>
        <v>129.63127047518921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15.911999999999999</v>
      </c>
      <c r="D37" s="11">
        <f t="shared" si="32"/>
        <v>5.3136882579005116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163.84741813116185</v>
      </c>
      <c r="H37" s="66">
        <f t="shared" si="1"/>
        <v>330.3014070491767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8.0511538458333352</v>
      </c>
      <c r="N37" s="13">
        <f>IF('Données projet'!$A$36&gt;35,N36+M37-V36,IF(A37&lt;'Données projet'!$A$36,$K$205^A37,IF(A37='Données projet'!$A$36,'Données projet'!$B$36,N36+M37-V36)))</f>
        <v>107.55076923333336</v>
      </c>
      <c r="O37" s="13">
        <f>N37*VLOOKUP('Données projet'!$B$9,Paramètres!$A$1:$I$89,3,0)*VLOOKUP('Données projet'!$B$9,Paramètres!$A$1:$I$89,5,0)</f>
        <v>109.05648000260003</v>
      </c>
      <c r="P37" s="13">
        <f t="shared" si="33"/>
        <v>29.1085725719057</v>
      </c>
      <c r="Q37" s="20">
        <f t="shared" si="53"/>
        <v>240.63746656726414</v>
      </c>
      <c r="R37" s="59">
        <f t="shared" si="0"/>
        <v>533.97079990059751</v>
      </c>
      <c r="S37" s="59">
        <f ca="1">AVERAGE(OFFSET($R$3,0,0,'Données projet'!$E$9+1,1))-AVERAGE(OFFSET($H$3,0,0,'Données projet'!$E$9+1,1))</f>
        <v>561.16051468364344</v>
      </c>
      <c r="T37" s="59">
        <f t="shared" si="34"/>
        <v>137.34523913145267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0</v>
      </c>
      <c r="AC37" s="22">
        <f t="shared" si="3"/>
        <v>0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8.0511538458333352</v>
      </c>
      <c r="AI37" s="13">
        <f>IF('Données projet'!$A$62&gt;35,AI36+AH37-AQ36,IF(A37&lt;'Données projet'!$A$62,$AF$205^A37,IF(A37='Données projet'!$A$62,'Données projet'!$B$62,AI36+AH37-AQ36)))</f>
        <v>107.55076923333336</v>
      </c>
      <c r="AJ37" s="13">
        <f>AI37*VLOOKUP('Données projet'!$B$10,Paramètres!$A$1:$I$89,3,0)*VLOOKUP('Données projet'!$B$10,Paramètres!$A$1:$I$89,5,0)</f>
        <v>97.31193600232001</v>
      </c>
      <c r="AK37" s="13">
        <f t="shared" si="35"/>
        <v>26.32059133482085</v>
      </c>
      <c r="AL37" s="20">
        <f t="shared" si="4"/>
        <v>215.32665177885363</v>
      </c>
      <c r="AM37" s="59">
        <f t="shared" si="5"/>
        <v>508.65998511218697</v>
      </c>
      <c r="AN37" s="59">
        <f ca="1">AVERAGE(OFFSET($AM$3,0,0,'Données projet'!$E$10+1,1))-AVERAGE(OFFSET($H$3,0,0,'Données projet'!$E$10+1,1))</f>
        <v>491.82493848755047</v>
      </c>
      <c r="AO37" s="59">
        <f t="shared" si="36"/>
        <v>119.46953275458026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7.2</v>
      </c>
      <c r="BD37" s="12">
        <f>IF('Données projet'!$A$88&gt;35,BD36+BC37-BL36,IF(A37&lt;'Données projet'!$A$88,$BA$205^A37,IF(A37='Données projet'!$A$88,'Données projet'!$B$88,BD36+BC37-BL36)))</f>
        <v>127.80000000000001</v>
      </c>
      <c r="BE37" s="13">
        <f>BD37*VLOOKUP('Données projet'!$B$11,Paramètres!$A$1:$I$89,3,0)*VLOOKUP('Données projet'!$B$11,Paramètres!$A$1:$I$89,5,0)</f>
        <v>111.64608000000003</v>
      </c>
      <c r="BF37" s="13">
        <f t="shared" si="37"/>
        <v>29.718477955114288</v>
      </c>
      <c r="BG37" s="20">
        <f t="shared" si="7"/>
        <v>246.20993843849078</v>
      </c>
      <c r="BH37" s="59">
        <f t="shared" si="8"/>
        <v>539.54327177182404</v>
      </c>
      <c r="BI37" s="59">
        <f ca="1">AVERAGE(OFFSET($BH$3,0,0,'Données projet'!$E$11+1,1))-AVERAGE(OFFSET($H$3,0,0,'Données projet'!$E$11+1,1))</f>
        <v>216.10252108537389</v>
      </c>
      <c r="BJ37" s="59">
        <f t="shared" si="38"/>
        <v>196.91968622092054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0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>
        <f>BY37*VLOOKUP('Données projet'!$B$12,Paramètres!$A$1:$I$89,3,0)*VLOOKUP('Données projet'!$B$12,Paramètres!$A$1:$I$89,5,0)</f>
        <v>0</v>
      </c>
      <c r="CA37" s="13" t="e">
        <f t="shared" si="39"/>
        <v>#NUM!</v>
      </c>
      <c r="CB37" s="20" t="e">
        <f t="shared" si="10"/>
        <v>#NUM!</v>
      </c>
      <c r="CC37" s="59" t="e">
        <f t="shared" si="11"/>
        <v>#NUM!</v>
      </c>
      <c r="CD37" s="59">
        <f ca="1">AVERAGE(OFFSET($CC$3,0,0,'Données projet'!$E$12+1,1))-AVERAGE(OFFSET($H$3,0,0,'Données projet'!$E$12+1,1))</f>
        <v>152.85416952858094</v>
      </c>
      <c r="CE37" s="59">
        <f t="shared" si="40"/>
        <v>369.87619681979322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114.10330159212376</v>
      </c>
      <c r="CL37" s="21">
        <f>EXP(-LN(2)/25)*CL36+(1-EXP(-LN(2)/25))/(LN(2)/25)*Calculateur!CG37*Calculateur!CI37*VLOOKUP('Données projet'!$B$12,Paramètres!$A$1:$I$89,3,0)*0.475*44/12</f>
        <v>12.868052542693974</v>
      </c>
      <c r="CM37" s="21">
        <f>EXP(-LN(2)/2)*CM36+(1-EXP(-LN(2)/2))/(LN(2)/2)*CG37*CJ37*VLOOKUP('Données projet'!$B$12,Paramètres!$A$1:$I$89,3,0)*0.475*44/12</f>
        <v>1.1240501500638723E-2</v>
      </c>
      <c r="CN37" s="22">
        <f t="shared" si="12"/>
        <v>126.98259463631837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16.38</v>
      </c>
      <c r="D38" s="11">
        <f t="shared" si="32"/>
        <v>5.4515478029518825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168.5242286543654</v>
      </c>
      <c r="H38" s="66">
        <f t="shared" si="1"/>
        <v>331.35661242347453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8.0511538458333352</v>
      </c>
      <c r="N38" s="13">
        <f>IF('Données projet'!$A$36&gt;35,N37+M38-V37,IF(A38&lt;'Données projet'!$A$36,$K$205^A38,IF(A38='Données projet'!$A$36,'Données projet'!$B$36,N37+M38-V37)))</f>
        <v>115.6019230791667</v>
      </c>
      <c r="O38" s="13">
        <f>N38*VLOOKUP('Données projet'!$B$9,Paramètres!$A$1:$I$89,3,0)*VLOOKUP('Données projet'!$B$9,Paramètres!$A$1:$I$89,5,0)</f>
        <v>117.22035000227504</v>
      </c>
      <c r="P38" s="13">
        <f t="shared" si="33"/>
        <v>31.025809948346819</v>
      </c>
      <c r="Q38" s="20">
        <f t="shared" si="53"/>
        <v>258.19539524733307</v>
      </c>
      <c r="R38" s="59">
        <f t="shared" si="0"/>
        <v>551.52872858066644</v>
      </c>
      <c r="S38" s="59">
        <f ca="1">AVERAGE(OFFSET($R$3,0,0,'Données projet'!$E$9+1,1))-AVERAGE(OFFSET($H$3,0,0,'Données projet'!$E$9+1,1))</f>
        <v>561.16051468364344</v>
      </c>
      <c r="T38" s="59">
        <f t="shared" si="34"/>
        <v>137.34523913145267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0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0</v>
      </c>
      <c r="AC38" s="22">
        <f t="shared" si="3"/>
        <v>0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8.0511538458333352</v>
      </c>
      <c r="AI38" s="13">
        <f>IF('Données projet'!$A$62&gt;35,AI37+AH38-AQ37,IF(A38&lt;'Données projet'!$A$62,$AF$205^A38,IF(A38='Données projet'!$A$62,'Données projet'!$B$62,AI37+AH38-AQ37)))</f>
        <v>115.6019230791667</v>
      </c>
      <c r="AJ38" s="13">
        <f>AI38*VLOOKUP('Données projet'!$B$10,Paramètres!$A$1:$I$89,3,0)*VLOOKUP('Données projet'!$B$10,Paramètres!$A$1:$I$89,5,0)</f>
        <v>104.59662000203002</v>
      </c>
      <c r="AK38" s="13">
        <f t="shared" si="35"/>
        <v>28.054198207933389</v>
      </c>
      <c r="AL38" s="20">
        <f t="shared" si="4"/>
        <v>231.03350838235292</v>
      </c>
      <c r="AM38" s="59">
        <f t="shared" si="5"/>
        <v>524.36684171568618</v>
      </c>
      <c r="AN38" s="59">
        <f ca="1">AVERAGE(OFFSET($AM$3,0,0,'Données projet'!$E$10+1,1))-AVERAGE(OFFSET($H$3,0,0,'Données projet'!$E$10+1,1))</f>
        <v>491.82493848755047</v>
      </c>
      <c r="AO38" s="59">
        <f t="shared" si="36"/>
        <v>119.46953275458026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135</v>
      </c>
      <c r="BB38" s="12">
        <f>VLOOKUP(A38,'Données projet'!$A$87:$I$107,9,0)</f>
        <v>7.2</v>
      </c>
      <c r="BC38" s="12">
        <f t="array" ref="BC38">INDEX(BB:BB,MIN(IF(ISNUMBER(BB38:BB234),ROW(BB38:BB234),"")))</f>
        <v>7.2</v>
      </c>
      <c r="BD38" s="12">
        <f>IF('Données projet'!$A$88&gt;35,BD37+BC38-BL37,IF(A38&lt;'Données projet'!$A$88,$BA$205^A38,IF(A38='Données projet'!$A$88,'Données projet'!$B$88,BD37+BC38-BL37)))</f>
        <v>135</v>
      </c>
      <c r="BE38" s="13">
        <f>BD38*VLOOKUP('Données projet'!$B$11,Paramètres!$A$1:$I$89,3,0)*VLOOKUP('Données projet'!$B$11,Paramètres!$A$1:$I$89,5,0)</f>
        <v>117.93600000000002</v>
      </c>
      <c r="BF38" s="13">
        <f t="shared" si="37"/>
        <v>31.1931201812605</v>
      </c>
      <c r="BG38" s="20">
        <f t="shared" si="7"/>
        <v>259.73321764902875</v>
      </c>
      <c r="BH38" s="59">
        <f t="shared" si="8"/>
        <v>553.06655098236206</v>
      </c>
      <c r="BI38" s="59">
        <f ca="1">AVERAGE(OFFSET($BH$3,0,0,'Données projet'!$E$11+1,1))-AVERAGE(OFFSET($H$3,0,0,'Données projet'!$E$11+1,1))</f>
        <v>216.10252108537389</v>
      </c>
      <c r="BJ38" s="59">
        <f t="shared" si="38"/>
        <v>196.91968622092054</v>
      </c>
      <c r="BK38" s="15">
        <f>IF(ISNA(VLOOKUP(A38,'Données projet'!$A$87:$I$107,3,0)),0,VLOOKUP(A38,'Données projet'!$A$87:$I$107,3,0))</f>
        <v>4</v>
      </c>
      <c r="BL38" s="15">
        <f>IF(ISNA(VLOOKUP(A38,'Données projet'!$A$87:$I$107,4,0)),0,VLOOKUP(A38,'Données projet'!$A$87:$I$107,4,0))</f>
        <v>20</v>
      </c>
      <c r="BM38" s="16">
        <f>IF(ISNA(VLOOKUP(A38,'Données projet'!$A$87:$I$107,5,0)),0%,VLOOKUP(A38,'Données projet'!$A$87:$I$107,5,0)*VLOOKUP('Données projet'!$B$11,Paramètres!$A$1:$I$89,7,0))</f>
        <v>0.43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8.3053547426158723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8.3053547426158723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>
        <f>BY38*VLOOKUP('Données projet'!$B$12,Paramètres!$A$1:$I$89,3,0)*VLOOKUP('Données projet'!$B$12,Paramètres!$A$1:$I$89,5,0)</f>
        <v>0</v>
      </c>
      <c r="CA38" s="13" t="e">
        <f t="shared" si="39"/>
        <v>#NUM!</v>
      </c>
      <c r="CB38" s="20" t="e">
        <f t="shared" si="10"/>
        <v>#NUM!</v>
      </c>
      <c r="CC38" s="59" t="e">
        <f t="shared" si="11"/>
        <v>#NUM!</v>
      </c>
      <c r="CD38" s="59">
        <f ca="1">AVERAGE(OFFSET($CC$3,0,0,'Données projet'!$E$12+1,1))-AVERAGE(OFFSET($H$3,0,0,'Données projet'!$E$12+1,1))</f>
        <v>152.85416952858094</v>
      </c>
      <c r="CE38" s="59">
        <f t="shared" si="40"/>
        <v>369.87619681979322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111.86580544404413</v>
      </c>
      <c r="CL38" s="21">
        <f>EXP(-LN(2)/25)*CL37+(1-EXP(-LN(2)/25))/(LN(2)/25)*Calculateur!CG38*Calculateur!CI38*VLOOKUP('Données projet'!$B$12,Paramètres!$A$1:$I$89,3,0)*0.475*44/12</f>
        <v>12.516174969212534</v>
      </c>
      <c r="CM38" s="21">
        <f>EXP(-LN(2)/2)*CM37+(1-EXP(-LN(2)/2))/(LN(2)/2)*CG38*CJ38*VLOOKUP('Données projet'!$B$12,Paramètres!$A$1:$I$89,3,0)*0.475*44/12</f>
        <v>7.9482348350392047E-3</v>
      </c>
      <c r="CN38" s="22">
        <f t="shared" si="12"/>
        <v>124.3899286480917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16.847999999999999</v>
      </c>
      <c r="D39" s="11">
        <f t="shared" si="32"/>
        <v>5.5889495622773833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173.19750539301842</v>
      </c>
      <c r="H39" s="66">
        <f t="shared" si="1"/>
        <v>332.4110204876331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8.0511538458333352</v>
      </c>
      <c r="N39" s="13">
        <f>IF('Données projet'!$A$36&gt;35,N38+M39-V38,IF(A39&lt;'Données projet'!$A$36,$K$205^A39,IF(A39='Données projet'!$A$36,'Données projet'!$B$36,N38+M39-V38)))</f>
        <v>123.65307692500004</v>
      </c>
      <c r="O39" s="13">
        <f>N39*VLOOKUP('Données projet'!$B$9,Paramètres!$A$1:$I$89,3,0)*VLOOKUP('Données projet'!$B$9,Paramètres!$A$1:$I$89,5,0)</f>
        <v>125.38422000195004</v>
      </c>
      <c r="P39" s="13">
        <f t="shared" si="33"/>
        <v>32.927554401088685</v>
      </c>
      <c r="Q39" s="20">
        <f t="shared" si="53"/>
        <v>275.7263404186258</v>
      </c>
      <c r="R39" s="59">
        <f t="shared" si="0"/>
        <v>569.05967375195905</v>
      </c>
      <c r="S39" s="59">
        <f ca="1">AVERAGE(OFFSET($R$3,0,0,'Données projet'!$E$9+1,1))-AVERAGE(OFFSET($H$3,0,0,'Données projet'!$E$9+1,1))</f>
        <v>561.16051468364344</v>
      </c>
      <c r="T39" s="59">
        <f t="shared" si="34"/>
        <v>137.34523913145267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0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0</v>
      </c>
      <c r="AC39" s="22">
        <f t="shared" si="3"/>
        <v>0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8.0511538458333352</v>
      </c>
      <c r="AI39" s="13">
        <f>IF('Données projet'!$A$62&gt;35,AI38+AH39-AQ38,IF(A39&lt;'Données projet'!$A$62,$AF$205^A39,IF(A39='Données projet'!$A$62,'Données projet'!$B$62,AI38+AH39-AQ38)))</f>
        <v>123.65307692500004</v>
      </c>
      <c r="AJ39" s="13">
        <f>AI39*VLOOKUP('Données projet'!$B$10,Paramètres!$A$1:$I$89,3,0)*VLOOKUP('Données projet'!$B$10,Paramètres!$A$1:$I$89,5,0)</f>
        <v>111.88130400174003</v>
      </c>
      <c r="AK39" s="13">
        <f t="shared" si="35"/>
        <v>29.77379604943637</v>
      </c>
      <c r="AL39" s="20">
        <f t="shared" si="4"/>
        <v>246.71596592246559</v>
      </c>
      <c r="AM39" s="59">
        <f t="shared" si="5"/>
        <v>540.04929925579893</v>
      </c>
      <c r="AN39" s="59">
        <f ca="1">AVERAGE(OFFSET($AM$3,0,0,'Données projet'!$E$10+1,1))-AVERAGE(OFFSET($H$3,0,0,'Données projet'!$E$10+1,1))</f>
        <v>491.82493848755047</v>
      </c>
      <c r="AO39" s="59">
        <f t="shared" si="36"/>
        <v>119.46953275458026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7</v>
      </c>
      <c r="BD39" s="12">
        <f>IF('Données projet'!$A$88&gt;35,BD38+BC39-BL38,IF(A39&lt;'Données projet'!$A$88,$BA$205^A39,IF(A39='Données projet'!$A$88,'Données projet'!$B$88,BD38+BC39-BL38)))</f>
        <v>122</v>
      </c>
      <c r="BE39" s="13">
        <f>BD39*VLOOKUP('Données projet'!$B$11,Paramètres!$A$1:$I$89,3,0)*VLOOKUP('Données projet'!$B$11,Paramètres!$A$1:$I$89,5,0)</f>
        <v>106.57920000000001</v>
      </c>
      <c r="BF39" s="13">
        <f t="shared" si="37"/>
        <v>28.523541515222938</v>
      </c>
      <c r="BG39" s="20">
        <f t="shared" si="7"/>
        <v>235.30394147234665</v>
      </c>
      <c r="BH39" s="59">
        <f t="shared" si="8"/>
        <v>528.63727480567991</v>
      </c>
      <c r="BI39" s="59">
        <f ca="1">AVERAGE(OFFSET($BH$3,0,0,'Données projet'!$E$11+1,1))-AVERAGE(OFFSET($H$3,0,0,'Données projet'!$E$11+1,1))</f>
        <v>216.10252108537389</v>
      </c>
      <c r="BJ39" s="59">
        <f t="shared" si="38"/>
        <v>196.91968622092054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8.1424918018793644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8.1424918018793644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>
        <f>BY39*VLOOKUP('Données projet'!$B$12,Paramètres!$A$1:$I$89,3,0)*VLOOKUP('Données projet'!$B$12,Paramètres!$A$1:$I$89,5,0)</f>
        <v>0</v>
      </c>
      <c r="CA39" s="13" t="e">
        <f t="shared" si="39"/>
        <v>#NUM!</v>
      </c>
      <c r="CB39" s="20" t="e">
        <f t="shared" si="10"/>
        <v>#NUM!</v>
      </c>
      <c r="CC39" s="59" t="e">
        <f t="shared" si="11"/>
        <v>#NUM!</v>
      </c>
      <c r="CD39" s="59">
        <f ca="1">AVERAGE(OFFSET($CC$3,0,0,'Données projet'!$E$12+1,1))-AVERAGE(OFFSET($H$3,0,0,'Données projet'!$E$12+1,1))</f>
        <v>152.85416952858094</v>
      </c>
      <c r="CE39" s="59">
        <f t="shared" si="40"/>
        <v>369.87619681979322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109.67218523069045</v>
      </c>
      <c r="CL39" s="21">
        <f>EXP(-LN(2)/25)*CL38+(1-EXP(-LN(2)/25))/(LN(2)/25)*Calculateur!CG39*Calculateur!CI39*VLOOKUP('Données projet'!$B$12,Paramètres!$A$1:$I$89,3,0)*0.475*44/12</f>
        <v>12.173919506482381</v>
      </c>
      <c r="CM39" s="21">
        <f>EXP(-LN(2)/2)*CM38+(1-EXP(-LN(2)/2))/(LN(2)/2)*CG39*CJ39*VLOOKUP('Données projet'!$B$12,Paramètres!$A$1:$I$89,3,0)*0.475*44/12</f>
        <v>5.6202507503193616E-3</v>
      </c>
      <c r="CN39" s="22">
        <f t="shared" si="12"/>
        <v>121.85172498792315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17.315999999999999</v>
      </c>
      <c r="D40" s="11">
        <f t="shared" si="32"/>
        <v>5.7259077130880893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177.86735778524135</v>
      </c>
      <c r="H40" s="66">
        <f t="shared" si="1"/>
        <v>333.46465593362842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8.0511538458333352</v>
      </c>
      <c r="N40" s="13">
        <f>IF('Données projet'!$A$36&gt;35,N39+M40-V39,IF(A40&lt;'Données projet'!$A$36,$K$205^A40,IF(A40='Données projet'!$A$36,'Données projet'!$B$36,N39+M40-V39)))</f>
        <v>131.70423077083336</v>
      </c>
      <c r="O40" s="13">
        <f>N40*VLOOKUP('Données projet'!$B$9,Paramètres!$A$1:$I$89,3,0)*VLOOKUP('Données projet'!$B$9,Paramètres!$A$1:$I$89,5,0)</f>
        <v>133.54809000162504</v>
      </c>
      <c r="P40" s="13">
        <f t="shared" si="33"/>
        <v>34.814929488649987</v>
      </c>
      <c r="Q40" s="20">
        <f t="shared" si="53"/>
        <v>293.23225894556236</v>
      </c>
      <c r="R40" s="59">
        <f t="shared" si="0"/>
        <v>586.56559227889568</v>
      </c>
      <c r="S40" s="59">
        <f ca="1">AVERAGE(OFFSET($R$3,0,0,'Données projet'!$E$9+1,1))-AVERAGE(OFFSET($H$3,0,0,'Données projet'!$E$9+1,1))</f>
        <v>561.16051468364344</v>
      </c>
      <c r="T40" s="59">
        <f t="shared" si="34"/>
        <v>137.34523913145267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0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0</v>
      </c>
      <c r="AC40" s="22">
        <f t="shared" si="3"/>
        <v>0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8.0511538458333352</v>
      </c>
      <c r="AI40" s="13">
        <f>IF('Données projet'!$A$62&gt;35,AI39+AH40-AQ39,IF(A40&lt;'Données projet'!$A$62,$AF$205^A40,IF(A40='Données projet'!$A$62,'Données projet'!$B$62,AI39+AH40-AQ39)))</f>
        <v>131.70423077083336</v>
      </c>
      <c r="AJ40" s="13">
        <f>AI40*VLOOKUP('Données projet'!$B$10,Paramètres!$A$1:$I$89,3,0)*VLOOKUP('Données projet'!$B$10,Paramètres!$A$1:$I$89,5,0)</f>
        <v>119.16598800145002</v>
      </c>
      <c r="AK40" s="13">
        <f t="shared" si="35"/>
        <v>31.480400804874247</v>
      </c>
      <c r="AL40" s="20">
        <f t="shared" si="4"/>
        <v>262.37579383768139</v>
      </c>
      <c r="AM40" s="59">
        <f t="shared" si="5"/>
        <v>555.70912717101464</v>
      </c>
      <c r="AN40" s="59">
        <f ca="1">AVERAGE(OFFSET($AM$3,0,0,'Données projet'!$E$10+1,1))-AVERAGE(OFFSET($H$3,0,0,'Données projet'!$E$10+1,1))</f>
        <v>491.82493848755047</v>
      </c>
      <c r="AO40" s="59">
        <f t="shared" si="36"/>
        <v>119.46953275458026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7</v>
      </c>
      <c r="BD40" s="12">
        <f>IF('Données projet'!$A$88&gt;35,BD39+BC40-BL39,IF(A40&lt;'Données projet'!$A$88,$BA$205^A40,IF(A40='Données projet'!$A$88,'Données projet'!$B$88,BD39+BC40-BL39)))</f>
        <v>129</v>
      </c>
      <c r="BE40" s="13">
        <f>BD40*VLOOKUP('Données projet'!$B$11,Paramètres!$A$1:$I$89,3,0)*VLOOKUP('Données projet'!$B$11,Paramètres!$A$1:$I$89,5,0)</f>
        <v>112.69440000000002</v>
      </c>
      <c r="BF40" s="13">
        <f t="shared" si="37"/>
        <v>29.964909381330632</v>
      </c>
      <c r="BG40" s="20">
        <f t="shared" si="7"/>
        <v>248.46496383915087</v>
      </c>
      <c r="BH40" s="59">
        <f t="shared" si="8"/>
        <v>541.79829717248413</v>
      </c>
      <c r="BI40" s="59">
        <f ca="1">AVERAGE(OFFSET($BH$3,0,0,'Données projet'!$E$11+1,1))-AVERAGE(OFFSET($H$3,0,0,'Données projet'!$E$11+1,1))</f>
        <v>216.10252108537389</v>
      </c>
      <c r="BJ40" s="59">
        <f t="shared" si="38"/>
        <v>196.91968622092054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7.9828225040741154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7.9828225040741154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>
        <f>BY40*VLOOKUP('Données projet'!$B$12,Paramètres!$A$1:$I$89,3,0)*VLOOKUP('Données projet'!$B$12,Paramètres!$A$1:$I$89,5,0)</f>
        <v>0</v>
      </c>
      <c r="CA40" s="13" t="e">
        <f t="shared" si="39"/>
        <v>#NUM!</v>
      </c>
      <c r="CB40" s="20" t="e">
        <f t="shared" si="10"/>
        <v>#NUM!</v>
      </c>
      <c r="CC40" s="59" t="e">
        <f t="shared" si="11"/>
        <v>#NUM!</v>
      </c>
      <c r="CD40" s="59">
        <f ca="1">AVERAGE(OFFSET($CC$3,0,0,'Données projet'!$E$12+1,1))-AVERAGE(OFFSET($H$3,0,0,'Données projet'!$E$12+1,1))</f>
        <v>152.85416952858094</v>
      </c>
      <c r="CE40" s="59">
        <f t="shared" si="40"/>
        <v>369.87619681979322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107.52158057174442</v>
      </c>
      <c r="CL40" s="21">
        <f>EXP(-LN(2)/25)*CL39+(1-EXP(-LN(2)/25))/(LN(2)/25)*Calculateur!CG40*Calculateur!CI40*VLOOKUP('Données projet'!$B$12,Paramètres!$A$1:$I$89,3,0)*0.475*44/12</f>
        <v>11.841023037379017</v>
      </c>
      <c r="CM40" s="21">
        <f>EXP(-LN(2)/2)*CM39+(1-EXP(-LN(2)/2))/(LN(2)/2)*CG40*CJ40*VLOOKUP('Données projet'!$B$12,Paramètres!$A$1:$I$89,3,0)*0.475*44/12</f>
        <v>3.9741174175196023E-3</v>
      </c>
      <c r="CN40" s="22">
        <f t="shared" si="12"/>
        <v>119.36657772654095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17.783999999999999</v>
      </c>
      <c r="D41" s="11">
        <f t="shared" si="32"/>
        <v>5.862435622634961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182.5338890168313</v>
      </c>
      <c r="H41" s="66">
        <f t="shared" si="1"/>
        <v>334.51754204275585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8.0511538458333352</v>
      </c>
      <c r="N41" s="13">
        <f>IF('Données projet'!$A$36&gt;35,N40+M41-V40,IF(A41&lt;'Données projet'!$A$36,$K$205^A41,IF(A41='Données projet'!$A$36,'Données projet'!$B$36,N40+M41-V40)))</f>
        <v>139.7553846166667</v>
      </c>
      <c r="O41" s="13">
        <f>N41*VLOOKUP('Données projet'!$B$9,Paramètres!$A$1:$I$89,3,0)*VLOOKUP('Données projet'!$B$9,Paramètres!$A$1:$I$89,5,0)</f>
        <v>141.71196000130004</v>
      </c>
      <c r="P41" s="13">
        <f t="shared" si="33"/>
        <v>36.688913639765268</v>
      </c>
      <c r="Q41" s="20">
        <f t="shared" si="53"/>
        <v>310.71485492485544</v>
      </c>
      <c r="R41" s="59">
        <f t="shared" si="0"/>
        <v>604.0481882581887</v>
      </c>
      <c r="S41" s="59">
        <f ca="1">AVERAGE(OFFSET($R$3,0,0,'Données projet'!$E$9+1,1))-AVERAGE(OFFSET($H$3,0,0,'Données projet'!$E$9+1,1))</f>
        <v>561.16051468364344</v>
      </c>
      <c r="T41" s="59">
        <f t="shared" si="34"/>
        <v>137.34523913145267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0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0</v>
      </c>
      <c r="AC41" s="22">
        <f t="shared" si="3"/>
        <v>0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8.0511538458333352</v>
      </c>
      <c r="AI41" s="13">
        <f>IF('Données projet'!$A$62&gt;35,AI40+AH41-AQ40,IF(A41&lt;'Données projet'!$A$62,$AF$205^A41,IF(A41='Données projet'!$A$62,'Données projet'!$B$62,AI40+AH41-AQ40)))</f>
        <v>139.7553846166667</v>
      </c>
      <c r="AJ41" s="13">
        <f>AI41*VLOOKUP('Données projet'!$B$10,Paramètres!$A$1:$I$89,3,0)*VLOOKUP('Données projet'!$B$10,Paramètres!$A$1:$I$89,5,0)</f>
        <v>126.45067200116003</v>
      </c>
      <c r="AK41" s="13">
        <f t="shared" si="35"/>
        <v>33.174897190349434</v>
      </c>
      <c r="AL41" s="20">
        <f t="shared" si="4"/>
        <v>278.01453300854564</v>
      </c>
      <c r="AM41" s="59">
        <f t="shared" si="5"/>
        <v>571.3478663418789</v>
      </c>
      <c r="AN41" s="59">
        <f ca="1">AVERAGE(OFFSET($AM$3,0,0,'Données projet'!$E$10+1,1))-AVERAGE(OFFSET($H$3,0,0,'Données projet'!$E$10+1,1))</f>
        <v>491.82493848755047</v>
      </c>
      <c r="AO41" s="59">
        <f t="shared" si="36"/>
        <v>119.46953275458026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7</v>
      </c>
      <c r="BD41" s="12">
        <f>IF('Données projet'!$A$88&gt;35,BD40+BC41-BL40,IF(A41&lt;'Données projet'!$A$88,$BA$205^A41,IF(A41='Données projet'!$A$88,'Données projet'!$B$88,BD40+BC41-BL40)))</f>
        <v>136</v>
      </c>
      <c r="BE41" s="13">
        <f>BD41*VLOOKUP('Données projet'!$B$11,Paramètres!$A$1:$I$89,3,0)*VLOOKUP('Données projet'!$B$11,Paramètres!$A$1:$I$89,5,0)</f>
        <v>118.80960000000002</v>
      </c>
      <c r="BF41" s="13">
        <f t="shared" si="37"/>
        <v>31.39719715333722</v>
      </c>
      <c r="BG41" s="20">
        <f t="shared" si="7"/>
        <v>261.61017170872901</v>
      </c>
      <c r="BH41" s="59">
        <f t="shared" si="8"/>
        <v>554.94350504206227</v>
      </c>
      <c r="BI41" s="59">
        <f ca="1">AVERAGE(OFFSET($BH$3,0,0,'Données projet'!$E$11+1,1))-AVERAGE(OFFSET($H$3,0,0,'Données projet'!$E$11+1,1))</f>
        <v>216.10252108537389</v>
      </c>
      <c r="BJ41" s="59">
        <f t="shared" si="38"/>
        <v>196.91968622092054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7.8262842238101715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0</v>
      </c>
      <c r="BS41" s="22">
        <f t="shared" si="9"/>
        <v>7.8262842238101715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>
        <f>BY41*VLOOKUP('Données projet'!$B$12,Paramètres!$A$1:$I$89,3,0)*VLOOKUP('Données projet'!$B$12,Paramètres!$A$1:$I$89,5,0)</f>
        <v>0</v>
      </c>
      <c r="CA41" s="13" t="e">
        <f t="shared" si="39"/>
        <v>#NUM!</v>
      </c>
      <c r="CB41" s="20" t="e">
        <f t="shared" si="10"/>
        <v>#NUM!</v>
      </c>
      <c r="CC41" s="59" t="e">
        <f t="shared" si="11"/>
        <v>#NUM!</v>
      </c>
      <c r="CD41" s="59">
        <f ca="1">AVERAGE(OFFSET($CC$3,0,0,'Données projet'!$E$12+1,1))-AVERAGE(OFFSET($H$3,0,0,'Données projet'!$E$12+1,1))</f>
        <v>152.85416952858094</v>
      </c>
      <c r="CE41" s="59">
        <f t="shared" si="40"/>
        <v>369.87619681979322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105.41314795842101</v>
      </c>
      <c r="CL41" s="21">
        <f>EXP(-LN(2)/25)*CL40+(1-EXP(-LN(2)/25))/(LN(2)/25)*Calculateur!CG41*Calculateur!CI41*VLOOKUP('Données projet'!$B$12,Paramètres!$A$1:$I$89,3,0)*0.475*44/12</f>
        <v>11.51722963972955</v>
      </c>
      <c r="CM41" s="21">
        <f>EXP(-LN(2)/2)*CM40+(1-EXP(-LN(2)/2))/(LN(2)/2)*CG41*CJ41*VLOOKUP('Données projet'!$B$12,Paramètres!$A$1:$I$89,3,0)*0.475*44/12</f>
        <v>2.8101253751596808E-3</v>
      </c>
      <c r="CN41" s="22">
        <f t="shared" si="12"/>
        <v>116.93318772352572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18.251999999999999</v>
      </c>
      <c r="D42" s="11">
        <f t="shared" si="32"/>
        <v>5.9985459145634135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187.19719653347192</v>
      </c>
      <c r="H42" s="66">
        <f t="shared" si="1"/>
        <v>335.56970080119794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8.0511538458333352</v>
      </c>
      <c r="N42" s="13">
        <f>IF('Données projet'!$A$36&gt;35,N41+M42-V41,IF(A42&lt;'Données projet'!$A$36,$K$205^A42,IF(A42='Données projet'!$A$36,'Données projet'!$B$36,N41+M42-V41)))</f>
        <v>147.80653846250004</v>
      </c>
      <c r="O42" s="13">
        <f>N42*VLOOKUP('Données projet'!$B$9,Paramètres!$A$1:$I$89,3,0)*VLOOKUP('Données projet'!$B$9,Paramètres!$A$1:$I$89,5,0)</f>
        <v>149.87583000097504</v>
      </c>
      <c r="P42" s="13">
        <f t="shared" si="33"/>
        <v>38.550366183099705</v>
      </c>
      <c r="Q42" s="20">
        <f t="shared" si="53"/>
        <v>328.17562502059684</v>
      </c>
      <c r="R42" s="59">
        <f t="shared" si="0"/>
        <v>621.50895835393021</v>
      </c>
      <c r="S42" s="59">
        <f ca="1">AVERAGE(OFFSET($R$3,0,0,'Données projet'!$E$9+1,1))-AVERAGE(OFFSET($H$3,0,0,'Données projet'!$E$9+1,1))</f>
        <v>561.16051468364344</v>
      </c>
      <c r="T42" s="59">
        <f t="shared" si="34"/>
        <v>137.34523913145267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0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0</v>
      </c>
      <c r="AC42" s="22">
        <f t="shared" si="3"/>
        <v>0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8.0511538458333352</v>
      </c>
      <c r="AI42" s="13">
        <f>IF('Données projet'!$A$62&gt;35,AI41+AH42-AQ41,IF(A42&lt;'Données projet'!$A$62,$AF$205^A42,IF(A42='Données projet'!$A$62,'Données projet'!$B$62,AI41+AH42-AQ41)))</f>
        <v>147.80653846250004</v>
      </c>
      <c r="AJ42" s="13">
        <f>AI42*VLOOKUP('Données projet'!$B$10,Paramètres!$A$1:$I$89,3,0)*VLOOKUP('Données projet'!$B$10,Paramètres!$A$1:$I$89,5,0)</f>
        <v>133.73535600087004</v>
      </c>
      <c r="AK42" s="13">
        <f t="shared" si="35"/>
        <v>34.858062229144778</v>
      </c>
      <c r="AL42" s="20">
        <f t="shared" si="4"/>
        <v>293.63353675060915</v>
      </c>
      <c r="AM42" s="59">
        <f t="shared" si="5"/>
        <v>586.96687008394247</v>
      </c>
      <c r="AN42" s="59">
        <f ca="1">AVERAGE(OFFSET($AM$3,0,0,'Données projet'!$E$10+1,1))-AVERAGE(OFFSET($H$3,0,0,'Données projet'!$E$10+1,1))</f>
        <v>491.82493848755047</v>
      </c>
      <c r="AO42" s="59">
        <f t="shared" si="36"/>
        <v>119.46953275458026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7</v>
      </c>
      <c r="BD42" s="12">
        <f>IF('Données projet'!$A$88&gt;35,BD41+BC42-BL41,IF(A42&lt;'Données projet'!$A$88,$BA$205^A42,IF(A42='Données projet'!$A$88,'Données projet'!$B$88,BD41+BC42-BL41)))</f>
        <v>143</v>
      </c>
      <c r="BE42" s="13">
        <f>BD42*VLOOKUP('Données projet'!$B$11,Paramètres!$A$1:$I$89,3,0)*VLOOKUP('Données projet'!$B$11,Paramètres!$A$1:$I$89,5,0)</f>
        <v>124.92480000000002</v>
      </c>
      <c r="BF42" s="13">
        <f t="shared" si="37"/>
        <v>32.820925500842712</v>
      </c>
      <c r="BG42" s="20">
        <f t="shared" si="7"/>
        <v>274.74047191396772</v>
      </c>
      <c r="BH42" s="59">
        <f t="shared" si="8"/>
        <v>568.07380524730104</v>
      </c>
      <c r="BI42" s="59">
        <f ca="1">AVERAGE(OFFSET($BH$3,0,0,'Données projet'!$E$11+1,1))-AVERAGE(OFFSET($H$3,0,0,'Données projet'!$E$11+1,1))</f>
        <v>216.10252108537389</v>
      </c>
      <c r="BJ42" s="59">
        <f t="shared" si="38"/>
        <v>196.91968622092054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7.6728155637432804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0</v>
      </c>
      <c r="BS42" s="22">
        <f t="shared" si="9"/>
        <v>7.6728155637432804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>
        <f>BY42*VLOOKUP('Données projet'!$B$12,Paramètres!$A$1:$I$89,3,0)*VLOOKUP('Données projet'!$B$12,Paramètres!$A$1:$I$89,5,0)</f>
        <v>0</v>
      </c>
      <c r="CA42" s="13" t="e">
        <f t="shared" si="39"/>
        <v>#NUM!</v>
      </c>
      <c r="CB42" s="20" t="e">
        <f t="shared" si="10"/>
        <v>#NUM!</v>
      </c>
      <c r="CC42" s="59" t="e">
        <f t="shared" si="11"/>
        <v>#NUM!</v>
      </c>
      <c r="CD42" s="59">
        <f ca="1">AVERAGE(OFFSET($CC$3,0,0,'Données projet'!$E$12+1,1))-AVERAGE(OFFSET($H$3,0,0,'Données projet'!$E$12+1,1))</f>
        <v>152.85416952858094</v>
      </c>
      <c r="CE42" s="59">
        <f t="shared" si="40"/>
        <v>369.87619681979322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103.34606042262796</v>
      </c>
      <c r="CL42" s="21">
        <f>EXP(-LN(2)/25)*CL41+(1-EXP(-LN(2)/25))/(LN(2)/25)*Calculateur!CG42*Calculateur!CI42*VLOOKUP('Données projet'!$B$12,Paramètres!$A$1:$I$89,3,0)*0.475*44/12</f>
        <v>11.202290389566361</v>
      </c>
      <c r="CM42" s="21">
        <f>EXP(-LN(2)/2)*CM41+(1-EXP(-LN(2)/2))/(LN(2)/2)*CG42*CJ42*VLOOKUP('Données projet'!$B$12,Paramètres!$A$1:$I$89,3,0)*0.475*44/12</f>
        <v>1.9870587087598012E-3</v>
      </c>
      <c r="CN42" s="22">
        <f t="shared" si="12"/>
        <v>114.55033787090308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18.72</v>
      </c>
      <c r="D43" s="11">
        <f t="shared" si="32"/>
        <v>6.1342505282708037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191.85737249893251</v>
      </c>
      <c r="H43" s="66">
        <f t="shared" si="1"/>
        <v>336.62115300340497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8.0511538458333352</v>
      </c>
      <c r="N43" s="13">
        <f>IF('Données projet'!$A$36&gt;35,N42+M43-V42,IF(A43&lt;'Données projet'!$A$36,$K$205^A43,IF(A43='Données projet'!$A$36,'Données projet'!$B$36,N42+M43-V42)))</f>
        <v>155.85769230833338</v>
      </c>
      <c r="O43" s="13">
        <f>N43*VLOOKUP('Données projet'!$B$9,Paramètres!$A$1:$I$89,3,0)*VLOOKUP('Données projet'!$B$9,Paramètres!$A$1:$I$89,5,0)</f>
        <v>158.03970000065007</v>
      </c>
      <c r="P43" s="13">
        <f t="shared" si="33"/>
        <v>40.400047543233349</v>
      </c>
      <c r="Q43" s="20">
        <f t="shared" si="53"/>
        <v>345.61589363893023</v>
      </c>
      <c r="R43" s="59">
        <f t="shared" si="0"/>
        <v>638.94922697226355</v>
      </c>
      <c r="S43" s="59">
        <f ca="1">AVERAGE(OFFSET($R$3,0,0,'Données projet'!$E$9+1,1))-AVERAGE(OFFSET($H$3,0,0,'Données projet'!$E$9+1,1))</f>
        <v>561.16051468364344</v>
      </c>
      <c r="T43" s="59">
        <f t="shared" si="34"/>
        <v>137.34523913145267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0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0</v>
      </c>
      <c r="AC43" s="22">
        <f t="shared" si="3"/>
        <v>0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8.0511538458333352</v>
      </c>
      <c r="AI43" s="13">
        <f>IF('Données projet'!$A$62&gt;35,AI42+AH43-AQ42,IF(A43&lt;'Données projet'!$A$62,$AF$205^A43,IF(A43='Données projet'!$A$62,'Données projet'!$B$62,AI42+AH43-AQ42)))</f>
        <v>155.85769230833338</v>
      </c>
      <c r="AJ43" s="13">
        <f>AI43*VLOOKUP('Données projet'!$B$10,Paramètres!$A$1:$I$89,3,0)*VLOOKUP('Données projet'!$B$10,Paramètres!$A$1:$I$89,5,0)</f>
        <v>141.02004000058002</v>
      </c>
      <c r="AK43" s="13">
        <f t="shared" si="35"/>
        <v>36.530583513362636</v>
      </c>
      <c r="AL43" s="20">
        <f t="shared" si="4"/>
        <v>309.23400262011683</v>
      </c>
      <c r="AM43" s="59">
        <f t="shared" si="5"/>
        <v>602.56733595345008</v>
      </c>
      <c r="AN43" s="59">
        <f ca="1">AVERAGE(OFFSET($AM$3,0,0,'Données projet'!$E$10+1,1))-AVERAGE(OFFSET($H$3,0,0,'Données projet'!$E$10+1,1))</f>
        <v>491.82493848755047</v>
      </c>
      <c r="AO43" s="59">
        <f t="shared" si="36"/>
        <v>119.46953275458026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150</v>
      </c>
      <c r="BB43" s="12">
        <f>VLOOKUP(A43,'Données projet'!$A$87:$I$107,9,0)</f>
        <v>7</v>
      </c>
      <c r="BC43" s="12">
        <f t="array" ref="BC43">INDEX(BB:BB,MIN(IF(ISNUMBER(BB43:BB239),ROW(BB43:BB239),"")))</f>
        <v>7</v>
      </c>
      <c r="BD43" s="12">
        <f>IF('Données projet'!$A$88&gt;35,BD42+BC43-BL42,IF(A43&lt;'Données projet'!$A$88,$BA$205^A43,IF(A43='Données projet'!$A$88,'Données projet'!$B$88,BD42+BC43-BL42)))</f>
        <v>150</v>
      </c>
      <c r="BE43" s="13">
        <f>BD43*VLOOKUP('Données projet'!$B$11,Paramètres!$A$1:$I$89,3,0)*VLOOKUP('Données projet'!$B$11,Paramètres!$A$1:$I$89,5,0)</f>
        <v>131.04000000000002</v>
      </c>
      <c r="BF43" s="13">
        <f t="shared" si="37"/>
        <v>34.236561238949918</v>
      </c>
      <c r="BG43" s="20">
        <f t="shared" si="7"/>
        <v>287.85667749117118</v>
      </c>
      <c r="BH43" s="59">
        <f t="shared" si="8"/>
        <v>581.1900108245045</v>
      </c>
      <c r="BI43" s="59">
        <f ca="1">AVERAGE(OFFSET($BH$3,0,0,'Données projet'!$E$11+1,1))-AVERAGE(OFFSET($H$3,0,0,'Données projet'!$E$11+1,1))</f>
        <v>216.10252108537389</v>
      </c>
      <c r="BJ43" s="59">
        <f t="shared" si="38"/>
        <v>196.91968622092054</v>
      </c>
      <c r="BK43" s="15">
        <f>IF(ISNA(VLOOKUP(A43,'Données projet'!$A$87:$I$107,3,0)),0,VLOOKUP(A43,'Données projet'!$A$87:$I$107,3,0))</f>
        <v>5</v>
      </c>
      <c r="BL43" s="15">
        <f>IF(ISNA(VLOOKUP(A43,'Données projet'!$A$87:$I$107,4,0)),0,VLOOKUP(A43,'Données projet'!$A$87:$I$107,4,0))</f>
        <v>20</v>
      </c>
      <c r="BM43" s="16">
        <f>IF(ISNA(VLOOKUP(A43,'Données projet'!$A$87:$I$107,5,0)),0%,VLOOKUP(A43,'Données projet'!$A$87:$I$107,5,0)*VLOOKUP('Données projet'!$B$11,Paramètres!$A$1:$I$89,7,0))</f>
        <v>0.43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15.827711073109533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0</v>
      </c>
      <c r="BS43" s="22">
        <f t="shared" si="9"/>
        <v>15.827711073109533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>
        <f>BY43*VLOOKUP('Données projet'!$B$12,Paramètres!$A$1:$I$89,3,0)*VLOOKUP('Données projet'!$B$12,Paramètres!$A$1:$I$89,5,0)</f>
        <v>0</v>
      </c>
      <c r="CA43" s="13" t="e">
        <f t="shared" si="39"/>
        <v>#NUM!</v>
      </c>
      <c r="CB43" s="20" t="e">
        <f t="shared" si="10"/>
        <v>#NUM!</v>
      </c>
      <c r="CC43" s="59" t="e">
        <f t="shared" si="11"/>
        <v>#NUM!</v>
      </c>
      <c r="CD43" s="59">
        <f ca="1">AVERAGE(OFFSET($CC$3,0,0,'Données projet'!$E$12+1,1))-AVERAGE(OFFSET($H$3,0,0,'Données projet'!$E$12+1,1))</f>
        <v>152.85416952858094</v>
      </c>
      <c r="CE43" s="59">
        <f t="shared" si="40"/>
        <v>369.87619681979322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101.3195072126129</v>
      </c>
      <c r="CL43" s="21">
        <f>EXP(-LN(2)/25)*CL42+(1-EXP(-LN(2)/25))/(LN(2)/25)*Calculateur!CG43*Calculateur!CI43*VLOOKUP('Données projet'!$B$12,Paramètres!$A$1:$I$89,3,0)*0.475*44/12</f>
        <v>10.895963169760821</v>
      </c>
      <c r="CM43" s="21">
        <f>EXP(-LN(2)/2)*CM42+(1-EXP(-LN(2)/2))/(LN(2)/2)*CG43*CJ43*VLOOKUP('Données projet'!$B$12,Paramètres!$A$1:$I$89,3,0)*0.475*44/12</f>
        <v>1.4050626875798404E-3</v>
      </c>
      <c r="CN43" s="22">
        <f t="shared" si="12"/>
        <v>112.21687544506131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19.187999999999999</v>
      </c>
      <c r="D44" s="11">
        <f t="shared" si="32"/>
        <v>6.2695607721610704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196.51450420615564</v>
      </c>
      <c r="H44" s="66">
        <f t="shared" si="1"/>
        <v>337.6719183448472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8.0511538458333352</v>
      </c>
      <c r="N44" s="13">
        <f>IF('Données projet'!$A$36&gt;35,N43+M44-V43,IF(A44&lt;'Données projet'!$A$36,$K$205^A44,IF(A44='Données projet'!$A$36,'Données projet'!$B$36,N43+M44-V43)))</f>
        <v>163.90884615416672</v>
      </c>
      <c r="O44" s="13">
        <f>N44*VLOOKUP('Données projet'!$B$9,Paramètres!$A$1:$I$89,3,0)*VLOOKUP('Données projet'!$B$9,Paramètres!$A$1:$I$89,5,0)</f>
        <v>166.20357000032507</v>
      </c>
      <c r="P44" s="13">
        <f t="shared" si="33"/>
        <v>42.238635144711232</v>
      </c>
      <c r="Q44" s="20">
        <f t="shared" si="53"/>
        <v>363.03684062760482</v>
      </c>
      <c r="R44" s="59">
        <f t="shared" si="0"/>
        <v>656.37017396093813</v>
      </c>
      <c r="S44" s="59">
        <f ca="1">AVERAGE(OFFSET($R$3,0,0,'Données projet'!$E$9+1,1))-AVERAGE(OFFSET($H$3,0,0,'Données projet'!$E$9+1,1))</f>
        <v>561.16051468364344</v>
      </c>
      <c r="T44" s="59">
        <f t="shared" si="34"/>
        <v>137.34523913145267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0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</v>
      </c>
      <c r="AC44" s="22">
        <f t="shared" si="3"/>
        <v>0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8.0511538458333352</v>
      </c>
      <c r="AI44" s="13">
        <f>IF('Données projet'!$A$62&gt;35,AI43+AH44-AQ43,IF(A44&lt;'Données projet'!$A$62,$AF$205^A44,IF(A44='Données projet'!$A$62,'Données projet'!$B$62,AI43+AH44-AQ43)))</f>
        <v>163.90884615416672</v>
      </c>
      <c r="AJ44" s="13">
        <f>AI44*VLOOKUP('Données projet'!$B$10,Paramètres!$A$1:$I$89,3,0)*VLOOKUP('Données projet'!$B$10,Paramètres!$A$1:$I$89,5,0)</f>
        <v>148.30472400029004</v>
      </c>
      <c r="AK44" s="13">
        <f t="shared" si="35"/>
        <v>38.193073584705921</v>
      </c>
      <c r="AL44" s="20">
        <f t="shared" si="4"/>
        <v>324.81699746053465</v>
      </c>
      <c r="AM44" s="59">
        <f t="shared" si="5"/>
        <v>618.15033079386797</v>
      </c>
      <c r="AN44" s="59">
        <f ca="1">AVERAGE(OFFSET($AM$3,0,0,'Données projet'!$E$10+1,1))-AVERAGE(OFFSET($H$3,0,0,'Données projet'!$E$10+1,1))</f>
        <v>491.82493848755047</v>
      </c>
      <c r="AO44" s="59">
        <f t="shared" si="36"/>
        <v>119.46953275458026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6.4</v>
      </c>
      <c r="BD44" s="12">
        <f>IF('Données projet'!$A$88&gt;35,BD43+BC44-BL43,IF(A44&lt;'Données projet'!$A$88,$BA$205^A44,IF(A44='Données projet'!$A$88,'Données projet'!$B$88,BD43+BC44-BL43)))</f>
        <v>136.4</v>
      </c>
      <c r="BE44" s="13">
        <f>BD44*VLOOKUP('Données projet'!$B$11,Paramètres!$A$1:$I$89,3,0)*VLOOKUP('Données projet'!$B$11,Paramètres!$A$1:$I$89,5,0)</f>
        <v>119.15904000000003</v>
      </c>
      <c r="BF44" s="13">
        <f t="shared" si="37"/>
        <v>31.478778976043767</v>
      </c>
      <c r="BG44" s="20">
        <f t="shared" si="7"/>
        <v>262.36086804994295</v>
      </c>
      <c r="BH44" s="59">
        <f t="shared" si="8"/>
        <v>555.69420138327632</v>
      </c>
      <c r="BI44" s="59">
        <f ca="1">AVERAGE(OFFSET($BH$3,0,0,'Données projet'!$E$11+1,1))-AVERAGE(OFFSET($H$3,0,0,'Données projet'!$E$11+1,1))</f>
        <v>216.10252108537389</v>
      </c>
      <c r="BJ44" s="59">
        <f t="shared" si="38"/>
        <v>196.91968622092054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15.517339312916361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0</v>
      </c>
      <c r="BS44" s="22">
        <f t="shared" si="9"/>
        <v>15.517339312916361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>
        <f>BY44*VLOOKUP('Données projet'!$B$12,Paramètres!$A$1:$I$89,3,0)*VLOOKUP('Données projet'!$B$12,Paramètres!$A$1:$I$89,5,0)</f>
        <v>0</v>
      </c>
      <c r="CA44" s="13" t="e">
        <f t="shared" si="39"/>
        <v>#NUM!</v>
      </c>
      <c r="CB44" s="20" t="e">
        <f t="shared" si="10"/>
        <v>#NUM!</v>
      </c>
      <c r="CC44" s="59" t="e">
        <f t="shared" si="11"/>
        <v>#NUM!</v>
      </c>
      <c r="CD44" s="59">
        <f ca="1">AVERAGE(OFFSET($CC$3,0,0,'Données projet'!$E$12+1,1))-AVERAGE(OFFSET($H$3,0,0,'Données projet'!$E$12+1,1))</f>
        <v>152.85416952858094</v>
      </c>
      <c r="CE44" s="59">
        <f t="shared" si="40"/>
        <v>369.87619681979322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99.332693474970839</v>
      </c>
      <c r="CL44" s="21">
        <f>EXP(-LN(2)/25)*CL43+(1-EXP(-LN(2)/25))/(LN(2)/25)*Calculateur!CG44*Calculateur!CI44*VLOOKUP('Données projet'!$B$12,Paramètres!$A$1:$I$89,3,0)*0.475*44/12</f>
        <v>10.59801248388991</v>
      </c>
      <c r="CM44" s="21">
        <f>EXP(-LN(2)/2)*CM43+(1-EXP(-LN(2)/2))/(LN(2)/2)*CG44*CJ44*VLOOKUP('Données projet'!$B$12,Paramètres!$A$1:$I$89,3,0)*0.475*44/12</f>
        <v>9.9352935437990058E-4</v>
      </c>
      <c r="CN44" s="22">
        <f t="shared" si="12"/>
        <v>109.93169948821513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19.655999999999999</v>
      </c>
      <c r="D45" s="11">
        <f t="shared" si="32"/>
        <v>6.4044873715575275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201.16867444711076</v>
      </c>
      <c r="H45" s="66">
        <f t="shared" si="1"/>
        <v>338.72201550546265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>
        <f>VLOOKUP(A45,'Données projet'!$A$35:$I$55,2,0)</f>
        <v>171.96</v>
      </c>
      <c r="L45" s="12">
        <f>VLOOKUP(A45,'Données projet'!$A$35:$I$55,9,0)</f>
        <v>8.0511538458333352</v>
      </c>
      <c r="M45" s="12">
        <f t="array" ref="M45">INDEX(L:L,MIN(IF(ISNUMBER(L45:L241),ROW(L45:L241),"")))</f>
        <v>8.0511538458333352</v>
      </c>
      <c r="N45" s="13">
        <f>IF('Données projet'!$A$36&gt;35,N44+M45-V44,IF(A45&lt;'Données projet'!$A$36,$K$205^A45,IF(A45='Données projet'!$A$36,'Données projet'!$B$36,N44+M45-V44)))</f>
        <v>171.96000000000006</v>
      </c>
      <c r="O45" s="13">
        <f>N45*VLOOKUP('Données projet'!$B$9,Paramètres!$A$1:$I$89,3,0)*VLOOKUP('Données projet'!$B$9,Paramètres!$A$1:$I$89,5,0)</f>
        <v>174.36744000000007</v>
      </c>
      <c r="P45" s="13">
        <f t="shared" si="33"/>
        <v>44.066736102586425</v>
      </c>
      <c r="Q45" s="20">
        <f t="shared" si="53"/>
        <v>380.43952337867148</v>
      </c>
      <c r="R45" s="59">
        <f t="shared" si="0"/>
        <v>673.7728567120048</v>
      </c>
      <c r="S45" s="59">
        <f ca="1">AVERAGE(OFFSET($R$3,0,0,'Données projet'!$E$9+1,1))-AVERAGE(OFFSET($H$3,0,0,'Données projet'!$E$9+1,1))</f>
        <v>561.16051468364344</v>
      </c>
      <c r="T45" s="59">
        <f t="shared" si="34"/>
        <v>137.34523913145267</v>
      </c>
      <c r="U45" s="15">
        <f>IF(ISNA(VLOOKUP(A45,'Données projet'!$A$35:$I$55,3,0)),0,VLOOKUP(A45,'Données projet'!$A$35:$I$55,3,0))</f>
        <v>1</v>
      </c>
      <c r="V45" s="15">
        <f>IF(ISNA(VLOOKUP(A45,'Données projet'!$A$35:$I$55,4,0)),0,VLOOKUP(A45,'Données projet'!$A$35:$I$55,4,0))</f>
        <v>43.21</v>
      </c>
      <c r="W45" s="16">
        <f>IF(ISNA(VLOOKUP(A45,'Données projet'!$A$35:$I$55,5,0)),0%,VLOOKUP(A45,'Données projet'!$A$35:$I$55,5,0)*VLOOKUP('Données projet'!$B$9,Paramètres!$A$1:$I$89,7,0))</f>
        <v>0.43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20.82753089093578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</v>
      </c>
      <c r="AC45" s="22">
        <f t="shared" si="3"/>
        <v>20.82753089093578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8.0511538458333352</v>
      </c>
      <c r="AH45" s="12">
        <f t="array" ref="AH45">INDEX(AG:AG,MIN(IF(ISNUMBER(AG45:AG241),ROW(AG45:AG241),"")))</f>
        <v>8.0511538458333352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155.58940800000005</v>
      </c>
      <c r="AK45" s="13">
        <f t="shared" si="35"/>
        <v>39.846081409537106</v>
      </c>
      <c r="AL45" s="20">
        <f t="shared" si="4"/>
        <v>340.38347738827719</v>
      </c>
      <c r="AM45" s="59">
        <f t="shared" si="5"/>
        <v>633.7168107216105</v>
      </c>
      <c r="AN45" s="59">
        <f ca="1">AVERAGE(OFFSET($AM$3,0,0,'Données projet'!$E$10+1,1))-AVERAGE(OFFSET($H$3,0,0,'Données projet'!$E$10+1,1))</f>
        <v>491.82493848755047</v>
      </c>
      <c r="AO45" s="59">
        <f t="shared" si="36"/>
        <v>119.46953275458026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18.584566025758079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18.584566025758079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6.4</v>
      </c>
      <c r="BD45" s="12">
        <f>IF('Données projet'!$A$88&gt;35,BD44+BC45-BL44,IF(A45&lt;'Données projet'!$A$88,$BA$205^A45,IF(A45='Données projet'!$A$88,'Données projet'!$B$88,BD44+BC45-BL44)))</f>
        <v>142.80000000000001</v>
      </c>
      <c r="BE45" s="13">
        <f>BD45*VLOOKUP('Données projet'!$B$11,Paramètres!$A$1:$I$89,3,0)*VLOOKUP('Données projet'!$B$11,Paramètres!$A$1:$I$89,5,0)</f>
        <v>124.75008000000003</v>
      </c>
      <c r="BF45" s="13">
        <f t="shared" si="37"/>
        <v>32.780361960132396</v>
      </c>
      <c r="BG45" s="20">
        <f t="shared" si="7"/>
        <v>274.36551974723062</v>
      </c>
      <c r="BH45" s="59">
        <f t="shared" si="8"/>
        <v>567.69885308056394</v>
      </c>
      <c r="BI45" s="59">
        <f ca="1">AVERAGE(OFFSET($BH$3,0,0,'Données projet'!$E$11+1,1))-AVERAGE(OFFSET($H$3,0,0,'Données projet'!$E$11+1,1))</f>
        <v>216.10252108537389</v>
      </c>
      <c r="BJ45" s="59">
        <f t="shared" si="38"/>
        <v>196.91968622092054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15.213053753632495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0</v>
      </c>
      <c r="BS45" s="22">
        <f t="shared" si="9"/>
        <v>15.213053753632495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>
        <f>BY45*VLOOKUP('Données projet'!$B$12,Paramètres!$A$1:$I$89,3,0)*VLOOKUP('Données projet'!$B$12,Paramètres!$A$1:$I$89,5,0)</f>
        <v>0</v>
      </c>
      <c r="CA45" s="13" t="e">
        <f t="shared" si="39"/>
        <v>#NUM!</v>
      </c>
      <c r="CB45" s="20" t="e">
        <f t="shared" si="10"/>
        <v>#NUM!</v>
      </c>
      <c r="CC45" s="59" t="e">
        <f t="shared" si="11"/>
        <v>#NUM!</v>
      </c>
      <c r="CD45" s="59">
        <f ca="1">AVERAGE(OFFSET($CC$3,0,0,'Données projet'!$E$12+1,1))-AVERAGE(OFFSET($H$3,0,0,'Données projet'!$E$12+1,1))</f>
        <v>152.85416952858094</v>
      </c>
      <c r="CE45" s="59">
        <f t="shared" si="40"/>
        <v>369.87619681979322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97.384839942887211</v>
      </c>
      <c r="CL45" s="21">
        <f>EXP(-LN(2)/25)*CL44+(1-EXP(-LN(2)/25))/(LN(2)/25)*Calculateur!CG45*Calculateur!CI45*VLOOKUP('Données projet'!$B$12,Paramètres!$A$1:$I$89,3,0)*0.475*44/12</f>
        <v>10.308209275192686</v>
      </c>
      <c r="CM45" s="21">
        <f>EXP(-LN(2)/2)*CM44+(1-EXP(-LN(2)/2))/(LN(2)/2)*CG45*CJ45*VLOOKUP('Données projet'!$B$12,Paramètres!$A$1:$I$89,3,0)*0.475*44/12</f>
        <v>7.025313437899202E-4</v>
      </c>
      <c r="CN45" s="22">
        <f t="shared" si="12"/>
        <v>107.69375174942368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20.123999999999999</v>
      </c>
      <c r="D46" s="11">
        <f t="shared" si="32"/>
        <v>6.539040511923969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205.81996184643063</v>
      </c>
      <c r="H46" s="66">
        <f t="shared" si="1"/>
        <v>339.77146222493423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9.9475000000000016</v>
      </c>
      <c r="N46" s="13">
        <f>IF('Données projet'!$A$36&gt;35,N45+M46-V45,IF(A46&lt;'Données projet'!$A$36,$K$205^A46,IF(A46='Données projet'!$A$36,'Données projet'!$B$36,N45+M46-V45)))</f>
        <v>138.69750000000005</v>
      </c>
      <c r="O46" s="13">
        <f>N46*VLOOKUP('Données projet'!$B$9,Paramètres!$A$1:$I$89,3,0)*VLOOKUP('Données projet'!$B$9,Paramètres!$A$1:$I$89,5,0)</f>
        <v>140.63926500000008</v>
      </c>
      <c r="P46" s="13">
        <f t="shared" si="33"/>
        <v>36.443413277199362</v>
      </c>
      <c r="Q46" s="20">
        <f t="shared" si="53"/>
        <v>308.41899799945571</v>
      </c>
      <c r="R46" s="59">
        <f t="shared" si="0"/>
        <v>601.75233133278903</v>
      </c>
      <c r="S46" s="59">
        <f ca="1">AVERAGE(OFFSET($R$3,0,0,'Données projet'!$E$9+1,1))-AVERAGE(OFFSET($H$3,0,0,'Données projet'!$E$9+1,1))</f>
        <v>561.16051468364344</v>
      </c>
      <c r="T46" s="59">
        <f t="shared" si="34"/>
        <v>137.34523913145267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20.419115713704002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</v>
      </c>
      <c r="AC46" s="22">
        <f t="shared" si="3"/>
        <v>20.419115713704002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125.49349800000003</v>
      </c>
      <c r="AK46" s="13">
        <f t="shared" si="35"/>
        <v>32.952910533336784</v>
      </c>
      <c r="AL46" s="20">
        <f t="shared" si="4"/>
        <v>275.96082819556159</v>
      </c>
      <c r="AM46" s="59">
        <f t="shared" si="5"/>
        <v>569.29416152889485</v>
      </c>
      <c r="AN46" s="59">
        <f ca="1">AVERAGE(OFFSET($AM$3,0,0,'Données projet'!$E$10+1,1))-AVERAGE(OFFSET($H$3,0,0,'Données projet'!$E$10+1,1))</f>
        <v>491.82493848755047</v>
      </c>
      <c r="AO46" s="59">
        <f t="shared" si="36"/>
        <v>119.46953275458026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18.220134021458954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18.220134021458954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6.4</v>
      </c>
      <c r="BD46" s="12">
        <f>IF('Données projet'!$A$88&gt;35,BD45+BC46-BL45,IF(A46&lt;'Données projet'!$A$88,$BA$205^A46,IF(A46='Données projet'!$A$88,'Données projet'!$B$88,BD45+BC46-BL45)))</f>
        <v>149.20000000000002</v>
      </c>
      <c r="BE46" s="13">
        <f>BD46*VLOOKUP('Données projet'!$B$11,Paramètres!$A$1:$I$89,3,0)*VLOOKUP('Données projet'!$B$11,Paramètres!$A$1:$I$89,5,0)</f>
        <v>130.34112000000005</v>
      </c>
      <c r="BF46" s="13">
        <f t="shared" si="37"/>
        <v>34.075170122989917</v>
      </c>
      <c r="BG46" s="20">
        <f t="shared" si="7"/>
        <v>286.35837196420749</v>
      </c>
      <c r="BH46" s="59">
        <f t="shared" si="8"/>
        <v>579.69170529754081</v>
      </c>
      <c r="BI46" s="59">
        <f ca="1">AVERAGE(OFFSET($BH$3,0,0,'Données projet'!$E$11+1,1))-AVERAGE(OFFSET($H$3,0,0,'Données projet'!$E$11+1,1))</f>
        <v>216.10252108537389</v>
      </c>
      <c r="BJ46" s="59">
        <f t="shared" si="38"/>
        <v>196.91968622092054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14.914735048570321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0</v>
      </c>
      <c r="BS46" s="22">
        <f t="shared" si="9"/>
        <v>14.914735048570321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>
        <f>BY46*VLOOKUP('Données projet'!$B$12,Paramètres!$A$1:$I$89,3,0)*VLOOKUP('Données projet'!$B$12,Paramètres!$A$1:$I$89,5,0)</f>
        <v>0</v>
      </c>
      <c r="CA46" s="13" t="e">
        <f t="shared" si="39"/>
        <v>#NUM!</v>
      </c>
      <c r="CB46" s="20" t="e">
        <f t="shared" si="10"/>
        <v>#NUM!</v>
      </c>
      <c r="CC46" s="59" t="e">
        <f t="shared" si="11"/>
        <v>#NUM!</v>
      </c>
      <c r="CD46" s="59">
        <f ca="1">AVERAGE(OFFSET($CC$3,0,0,'Données projet'!$E$12+1,1))-AVERAGE(OFFSET($H$3,0,0,'Données projet'!$E$12+1,1))</f>
        <v>152.85416952858094</v>
      </c>
      <c r="CE46" s="59">
        <f t="shared" si="40"/>
        <v>369.87619681979322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95.475182630494402</v>
      </c>
      <c r="CL46" s="21">
        <f>EXP(-LN(2)/25)*CL45+(1-EXP(-LN(2)/25))/(LN(2)/25)*Calculateur!CG46*Calculateur!CI46*VLOOKUP('Données projet'!$B$12,Paramètres!$A$1:$I$89,3,0)*0.475*44/12</f>
        <v>10.026330750477376</v>
      </c>
      <c r="CM46" s="21">
        <f>EXP(-LN(2)/2)*CM45+(1-EXP(-LN(2)/2))/(LN(2)/2)*CG46*CJ46*VLOOKUP('Données projet'!$B$12,Paramètres!$A$1:$I$89,3,0)*0.475*44/12</f>
        <v>4.9676467718995029E-4</v>
      </c>
      <c r="CN46" s="22">
        <f t="shared" si="12"/>
        <v>105.50201014564897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20.591999999999999</v>
      </c>
      <c r="D47" s="11">
        <f t="shared" si="32"/>
        <v>6.6732298779519512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210.46844116313787</v>
      </c>
      <c r="H47" s="66">
        <f t="shared" si="1"/>
        <v>340.8202753707663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9.9475000000000016</v>
      </c>
      <c r="N47" s="13">
        <f>IF('Données projet'!$A$36&gt;35,N46+M47-V46,IF(A47&lt;'Données projet'!$A$36,$K$205^A47,IF(A47='Données projet'!$A$36,'Données projet'!$B$36,N46+M47-V46)))</f>
        <v>148.64500000000004</v>
      </c>
      <c r="O47" s="13">
        <f>N47*VLOOKUP('Données projet'!$B$9,Paramètres!$A$1:$I$89,3,0)*VLOOKUP('Données projet'!$B$9,Paramètres!$A$1:$I$89,5,0)</f>
        <v>150.72603000000004</v>
      </c>
      <c r="P47" s="13">
        <f t="shared" si="33"/>
        <v>38.743532148669836</v>
      </c>
      <c r="Q47" s="20">
        <f t="shared" si="53"/>
        <v>329.9928207422667</v>
      </c>
      <c r="R47" s="59">
        <f t="shared" si="0"/>
        <v>623.32615407560002</v>
      </c>
      <c r="S47" s="59">
        <f ca="1">AVERAGE(OFFSET($R$3,0,0,'Données projet'!$E$9+1,1))-AVERAGE(OFFSET($H$3,0,0,'Données projet'!$E$9+1,1))</f>
        <v>561.16051468364344</v>
      </c>
      <c r="T47" s="59">
        <f t="shared" si="34"/>
        <v>137.34523913145267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20.018709308989081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</v>
      </c>
      <c r="AC47" s="22">
        <f t="shared" si="3"/>
        <v>20.018709308989081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134.49399600000004</v>
      </c>
      <c r="AK47" s="13">
        <f t="shared" si="35"/>
        <v>35.032727009666296</v>
      </c>
      <c r="AL47" s="20">
        <f t="shared" si="4"/>
        <v>295.25904257516885</v>
      </c>
      <c r="AM47" s="59">
        <f t="shared" si="5"/>
        <v>588.59237590850216</v>
      </c>
      <c r="AN47" s="59">
        <f ca="1">AVERAGE(OFFSET($AM$3,0,0,'Données projet'!$E$10+1,1))-AVERAGE(OFFSET($H$3,0,0,'Données projet'!$E$10+1,1))</f>
        <v>491.82493848755047</v>
      </c>
      <c r="AO47" s="59">
        <f t="shared" si="36"/>
        <v>119.46953275458026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17.862848306482562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17.862848306482562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6.4</v>
      </c>
      <c r="BD47" s="12">
        <f>IF('Données projet'!$A$88&gt;35,BD46+BC47-BL46,IF(A47&lt;'Données projet'!$A$88,$BA$205^A47,IF(A47='Données projet'!$A$88,'Données projet'!$B$88,BD46+BC47-BL46)))</f>
        <v>155.60000000000002</v>
      </c>
      <c r="BE47" s="13">
        <f>BD47*VLOOKUP('Données projet'!$B$11,Paramètres!$A$1:$I$89,3,0)*VLOOKUP('Données projet'!$B$11,Paramètres!$A$1:$I$89,5,0)</f>
        <v>135.93216000000004</v>
      </c>
      <c r="BF47" s="13">
        <f t="shared" si="37"/>
        <v>35.36352729450968</v>
      </c>
      <c r="BG47" s="20">
        <f t="shared" si="7"/>
        <v>298.33998870460442</v>
      </c>
      <c r="BH47" s="59">
        <f t="shared" si="8"/>
        <v>591.67332203793774</v>
      </c>
      <c r="BI47" s="59">
        <f ca="1">AVERAGE(OFFSET($BH$3,0,0,'Données projet'!$E$11+1,1))-AVERAGE(OFFSET($H$3,0,0,'Données projet'!$E$11+1,1))</f>
        <v>216.10252108537389</v>
      </c>
      <c r="BJ47" s="59">
        <f t="shared" si="38"/>
        <v>196.91968622092054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14.622266191357975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0</v>
      </c>
      <c r="BS47" s="22">
        <f t="shared" si="9"/>
        <v>14.622266191357975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>
        <f>BY47*VLOOKUP('Données projet'!$B$12,Paramètres!$A$1:$I$89,3,0)*VLOOKUP('Données projet'!$B$12,Paramètres!$A$1:$I$89,5,0)</f>
        <v>0</v>
      </c>
      <c r="CA47" s="13" t="e">
        <f t="shared" si="39"/>
        <v>#NUM!</v>
      </c>
      <c r="CB47" s="20" t="e">
        <f t="shared" si="10"/>
        <v>#NUM!</v>
      </c>
      <c r="CC47" s="59" t="e">
        <f t="shared" si="11"/>
        <v>#NUM!</v>
      </c>
      <c r="CD47" s="59">
        <f ca="1">AVERAGE(OFFSET($CC$3,0,0,'Données projet'!$E$12+1,1))-AVERAGE(OFFSET($H$3,0,0,'Données projet'!$E$12+1,1))</f>
        <v>152.85416952858094</v>
      </c>
      <c r="CE47" s="59">
        <f t="shared" si="40"/>
        <v>369.87619681979322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93.602972533221674</v>
      </c>
      <c r="CL47" s="21">
        <f>EXP(-LN(2)/25)*CL46+(1-EXP(-LN(2)/25))/(LN(2)/25)*Calculateur!CG47*Calculateur!CI47*VLOOKUP('Données projet'!$B$12,Paramètres!$A$1:$I$89,3,0)*0.475*44/12</f>
        <v>9.7521602088437529</v>
      </c>
      <c r="CM47" s="21">
        <f>EXP(-LN(2)/2)*CM46+(1-EXP(-LN(2)/2))/(LN(2)/2)*CG47*CJ47*VLOOKUP('Données projet'!$B$12,Paramètres!$A$1:$I$89,3,0)*0.475*44/12</f>
        <v>3.512656718949601E-4</v>
      </c>
      <c r="CN47" s="22">
        <f t="shared" si="12"/>
        <v>103.35548400773732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21.06</v>
      </c>
      <c r="D48" s="11">
        <f t="shared" si="32"/>
        <v>6.8070646889944983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215.11418356416803</v>
      </c>
      <c r="H48" s="66">
        <f t="shared" si="1"/>
        <v>341.86847099999875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9.9475000000000016</v>
      </c>
      <c r="N48" s="13">
        <f>IF('Données projet'!$A$36&gt;35,N47+M48-V47,IF(A48&lt;'Données projet'!$A$36,$K$205^A48,IF(A48='Données projet'!$A$36,'Données projet'!$B$36,N47+M48-V47)))</f>
        <v>158.59250000000003</v>
      </c>
      <c r="O48" s="13">
        <f>N48*VLOOKUP('Données projet'!$B$9,Paramètres!$A$1:$I$89,3,0)*VLOOKUP('Données projet'!$B$9,Paramètres!$A$1:$I$89,5,0)</f>
        <v>160.81279500000002</v>
      </c>
      <c r="P48" s="13">
        <f t="shared" si="33"/>
        <v>41.02578948817429</v>
      </c>
      <c r="Q48" s="20">
        <f t="shared" si="53"/>
        <v>351.53553465023697</v>
      </c>
      <c r="R48" s="59">
        <f t="shared" si="0"/>
        <v>644.86886798357023</v>
      </c>
      <c r="S48" s="59">
        <f ca="1">AVERAGE(OFFSET($R$3,0,0,'Données projet'!$E$9+1,1))-AVERAGE(OFFSET($H$3,0,0,'Données projet'!$E$9+1,1))</f>
        <v>561.16051468364344</v>
      </c>
      <c r="T48" s="59">
        <f t="shared" si="34"/>
        <v>137.34523913145267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19.626154629646827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</v>
      </c>
      <c r="AC48" s="22">
        <f t="shared" si="3"/>
        <v>19.626154629646827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143.49449400000003</v>
      </c>
      <c r="AK48" s="13">
        <f t="shared" si="35"/>
        <v>37.096392708339906</v>
      </c>
      <c r="AL48" s="20">
        <f t="shared" si="4"/>
        <v>314.52912768369208</v>
      </c>
      <c r="AM48" s="59">
        <f t="shared" si="5"/>
        <v>607.86246101702545</v>
      </c>
      <c r="AN48" s="59">
        <f ca="1">AVERAGE(OFFSET($AM$3,0,0,'Données projet'!$E$10+1,1))-AVERAGE(OFFSET($H$3,0,0,'Données projet'!$E$10+1,1))</f>
        <v>491.82493848755047</v>
      </c>
      <c r="AO48" s="59">
        <f t="shared" si="36"/>
        <v>119.46953275458026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17.51256874645409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17.51256874645409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projet'!$A$87:$I$107,2,0)</f>
        <v>162</v>
      </c>
      <c r="BB48" s="12">
        <f>VLOOKUP(A48,'Données projet'!$A$87:$I$107,9,0)</f>
        <v>6.4</v>
      </c>
      <c r="BC48" s="12">
        <f t="array" ref="BC48">INDEX(BB:BB,MIN(IF(ISNUMBER(BB48:BB244),ROW(BB48:BB244),"")))</f>
        <v>6.4</v>
      </c>
      <c r="BD48" s="12">
        <f>IF('Données projet'!$A$88&gt;35,BD47+BC48-BL47,IF(A48&lt;'Données projet'!$A$88,$BA$205^A48,IF(A48='Données projet'!$A$88,'Données projet'!$B$88,BD47+BC48-BL47)))</f>
        <v>162.00000000000003</v>
      </c>
      <c r="BE48" s="13">
        <f>BD48*VLOOKUP('Données projet'!$B$11,Paramètres!$A$1:$I$89,3,0)*VLOOKUP('Données projet'!$B$11,Paramètres!$A$1:$I$89,5,0)</f>
        <v>141.52320000000006</v>
      </c>
      <c r="BF48" s="13">
        <f t="shared" si="37"/>
        <v>36.645729158274158</v>
      </c>
      <c r="BG48" s="20">
        <f t="shared" si="7"/>
        <v>310.31088495066086</v>
      </c>
      <c r="BH48" s="59">
        <f t="shared" si="8"/>
        <v>603.64421828399418</v>
      </c>
      <c r="BI48" s="59">
        <f ca="1">AVERAGE(OFFSET($BH$3,0,0,'Données projet'!$E$11+1,1))-AVERAGE(OFFSET($H$3,0,0,'Données projet'!$E$11+1,1))</f>
        <v>216.10252108537389</v>
      </c>
      <c r="BJ48" s="59">
        <f t="shared" si="38"/>
        <v>196.91968622092054</v>
      </c>
      <c r="BK48" s="15">
        <f>IF(ISNA(VLOOKUP(A48,'Données projet'!$A$87:$I$107,3,0)),0,VLOOKUP(A48,'Données projet'!$A$87:$I$107,3,0))</f>
        <v>6</v>
      </c>
      <c r="BL48" s="15">
        <f>IF(ISNA(VLOOKUP(A48,'Données projet'!$A$87:$I$107,4,0)),0,VLOOKUP(A48,'Données projet'!$A$87:$I$107,4,0))</f>
        <v>19</v>
      </c>
      <c r="BM48" s="16">
        <f>IF(ISNA(VLOOKUP(A48,'Données projet'!$A$87:$I$107,5,0)),0%,VLOOKUP(A48,'Données projet'!$A$87:$I$107,5,0)*VLOOKUP('Données projet'!$B$11,Paramètres!$A$1:$I$89,7,0))</f>
        <v>0.43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22.225619475532252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0</v>
      </c>
      <c r="BS48" s="22">
        <f t="shared" si="9"/>
        <v>22.225619475532252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>
        <f>BY48*VLOOKUP('Données projet'!$B$12,Paramètres!$A$1:$I$89,3,0)*VLOOKUP('Données projet'!$B$12,Paramètres!$A$1:$I$89,5,0)</f>
        <v>0</v>
      </c>
      <c r="CA48" s="13" t="e">
        <f t="shared" si="39"/>
        <v>#NUM!</v>
      </c>
      <c r="CB48" s="20" t="e">
        <f t="shared" si="10"/>
        <v>#NUM!</v>
      </c>
      <c r="CC48" s="59" t="e">
        <f t="shared" si="11"/>
        <v>#NUM!</v>
      </c>
      <c r="CD48" s="59">
        <f ca="1">AVERAGE(OFFSET($CC$3,0,0,'Données projet'!$E$12+1,1))-AVERAGE(OFFSET($H$3,0,0,'Données projet'!$E$12+1,1))</f>
        <v>152.85416952858094</v>
      </c>
      <c r="CE48" s="59">
        <f t="shared" si="40"/>
        <v>369.87619681979322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91.767475334021057</v>
      </c>
      <c r="CL48" s="21">
        <f>EXP(-LN(2)/25)*CL47+(1-EXP(-LN(2)/25))/(LN(2)/25)*Calculateur!CG48*Calculateur!CI48*VLOOKUP('Données projet'!$B$12,Paramètres!$A$1:$I$89,3,0)*0.475*44/12</f>
        <v>9.4854868750891033</v>
      </c>
      <c r="CM48" s="21">
        <f>EXP(-LN(2)/2)*CM47+(1-EXP(-LN(2)/2))/(LN(2)/2)*CG48*CJ48*VLOOKUP('Données projet'!$B$12,Paramètres!$A$1:$I$89,3,0)*0.475*44/12</f>
        <v>2.4838233859497515E-4</v>
      </c>
      <c r="CN48" s="22">
        <f t="shared" si="12"/>
        <v>101.25321059144876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49" s="11">
        <f t="shared" si="32"/>
        <v>6.9405537312613585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219.75725687289471</v>
      </c>
      <c r="H49" s="66">
        <f t="shared" si="1"/>
        <v>342.91606441528018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9.9475000000000016</v>
      </c>
      <c r="N49" s="13">
        <f>IF('Données projet'!$A$36&gt;35,N48+M49-V48,IF(A49&lt;'Données projet'!$A$36,$K$205^A49,IF(A49='Données projet'!$A$36,'Données projet'!$B$36,N48+M49-V48)))</f>
        <v>168.54000000000002</v>
      </c>
      <c r="O49" s="13">
        <f>N49*VLOOKUP('Données projet'!$B$9,Paramètres!$A$1:$I$89,3,0)*VLOOKUP('Données projet'!$B$9,Paramètres!$A$1:$I$89,5,0)</f>
        <v>170.89956000000004</v>
      </c>
      <c r="P49" s="13">
        <f t="shared" si="33"/>
        <v>43.291433176124315</v>
      </c>
      <c r="Q49" s="20">
        <f t="shared" si="53"/>
        <v>373.04931311508318</v>
      </c>
      <c r="R49" s="59">
        <f t="shared" si="0"/>
        <v>666.38264644841649</v>
      </c>
      <c r="S49" s="59">
        <f ca="1">AVERAGE(OFFSET($R$3,0,0,'Données projet'!$E$9+1,1))-AVERAGE(OFFSET($H$3,0,0,'Données projet'!$E$9+1,1))</f>
        <v>561.16051468364344</v>
      </c>
      <c r="T49" s="59">
        <f t="shared" si="34"/>
        <v>137.34523913145267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19.241297708131761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</v>
      </c>
      <c r="AC49" s="22">
        <f t="shared" si="3"/>
        <v>19.241297708131761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152.49499200000002</v>
      </c>
      <c r="AK49" s="13">
        <f t="shared" si="35"/>
        <v>39.145035989405642</v>
      </c>
      <c r="AL49" s="20">
        <f t="shared" si="4"/>
        <v>333.77304874821488</v>
      </c>
      <c r="AM49" s="59">
        <f t="shared" si="5"/>
        <v>627.10638208154819</v>
      </c>
      <c r="AN49" s="59">
        <f ca="1">AVERAGE(OFFSET($AM$3,0,0,'Données projet'!$E$10+1,1))-AVERAGE(OFFSET($H$3,0,0,'Données projet'!$E$10+1,1))</f>
        <v>491.82493848755047</v>
      </c>
      <c r="AO49" s="59">
        <f t="shared" si="36"/>
        <v>119.46953275458026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17.169157954948339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17.169157954948339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6</v>
      </c>
      <c r="BD49" s="12">
        <f>IF('Données projet'!$A$88&gt;35,BD48+BC49-BL48,IF(A49&lt;'Données projet'!$A$88,$BA$205^A49,IF(A49='Données projet'!$A$88,'Données projet'!$B$88,BD48+BC49-BL48)))</f>
        <v>149.00000000000003</v>
      </c>
      <c r="BE49" s="13">
        <f>BD49*VLOOKUP('Données projet'!$B$11,Paramètres!$A$1:$I$89,3,0)*VLOOKUP('Données projet'!$B$11,Paramètres!$A$1:$I$89,5,0)</f>
        <v>130.16640000000004</v>
      </c>
      <c r="BF49" s="13">
        <f t="shared" si="37"/>
        <v>34.034806623706302</v>
      </c>
      <c r="BG49" s="20">
        <f t="shared" si="7"/>
        <v>285.98376820295522</v>
      </c>
      <c r="BH49" s="59">
        <f t="shared" si="8"/>
        <v>579.31710153628853</v>
      </c>
      <c r="BI49" s="59">
        <f ca="1">AVERAGE(OFFSET($BH$3,0,0,'Données projet'!$E$11+1,1))-AVERAGE(OFFSET($H$3,0,0,'Données projet'!$E$11+1,1))</f>
        <v>216.10252108537389</v>
      </c>
      <c r="BJ49" s="59">
        <f t="shared" si="38"/>
        <v>196.91968622092054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21.789788633906372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0</v>
      </c>
      <c r="BS49" s="22">
        <f t="shared" si="9"/>
        <v>21.789788633906372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>
        <f>BY49*VLOOKUP('Données projet'!$B$12,Paramètres!$A$1:$I$89,3,0)*VLOOKUP('Données projet'!$B$12,Paramètres!$A$1:$I$89,5,0)</f>
        <v>0</v>
      </c>
      <c r="CA49" s="13" t="e">
        <f t="shared" si="39"/>
        <v>#NUM!</v>
      </c>
      <c r="CB49" s="20" t="e">
        <f t="shared" si="10"/>
        <v>#NUM!</v>
      </c>
      <c r="CC49" s="59" t="e">
        <f t="shared" si="11"/>
        <v>#NUM!</v>
      </c>
      <c r="CD49" s="59">
        <f ca="1">AVERAGE(OFFSET($CC$3,0,0,'Données projet'!$E$12+1,1))-AVERAGE(OFFSET($H$3,0,0,'Données projet'!$E$12+1,1))</f>
        <v>152.85416952858094</v>
      </c>
      <c r="CE49" s="59">
        <f t="shared" si="40"/>
        <v>369.87619681979322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89.967971115354018</v>
      </c>
      <c r="CL49" s="21">
        <f>EXP(-LN(2)/25)*CL48+(1-EXP(-LN(2)/25))/(LN(2)/25)*Calculateur!CG49*Calculateur!CI49*VLOOKUP('Données projet'!$B$12,Paramètres!$A$1:$I$89,3,0)*0.475*44/12</f>
        <v>9.226105737669716</v>
      </c>
      <c r="CM49" s="21">
        <f>EXP(-LN(2)/2)*CM48+(1-EXP(-LN(2)/2))/(LN(2)/2)*CG49*CJ49*VLOOKUP('Données projet'!$B$12,Paramètres!$A$1:$I$89,3,0)*0.475*44/12</f>
        <v>1.7563283594748005E-4</v>
      </c>
      <c r="CN49" s="22">
        <f t="shared" si="12"/>
        <v>99.194252485859678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21.995999999999999</v>
      </c>
      <c r="D50" s="11">
        <f t="shared" si="32"/>
        <v>7.0737053871356732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224.39772579543327</v>
      </c>
      <c r="H50" s="66">
        <f t="shared" si="1"/>
        <v>343.96307021592793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9.9475000000000016</v>
      </c>
      <c r="N50" s="13">
        <f>IF('Données projet'!$A$36&gt;35,N49+M50-V49,IF(A50&lt;'Données projet'!$A$36,$K$205^A50,IF(A50='Données projet'!$A$36,'Données projet'!$B$36,N49+M50-V49)))</f>
        <v>178.48750000000001</v>
      </c>
      <c r="O50" s="13">
        <f>N50*VLOOKUP('Données projet'!$B$9,Paramètres!$A$1:$I$89,3,0)*VLOOKUP('Données projet'!$B$9,Paramètres!$A$1:$I$89,5,0)</f>
        <v>180.98632500000002</v>
      </c>
      <c r="P50" s="13">
        <f t="shared" si="33"/>
        <v>45.541555467673717</v>
      </c>
      <c r="Q50" s="20">
        <f t="shared" si="53"/>
        <v>394.53605848119838</v>
      </c>
      <c r="R50" s="59">
        <f t="shared" si="0"/>
        <v>687.8693918145317</v>
      </c>
      <c r="S50" s="59">
        <f ca="1">AVERAGE(OFFSET($R$3,0,0,'Données projet'!$E$9+1,1))-AVERAGE(OFFSET($H$3,0,0,'Données projet'!$E$9+1,1))</f>
        <v>561.16051468364344</v>
      </c>
      <c r="T50" s="59">
        <f t="shared" si="34"/>
        <v>137.34523913145267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18.863987596108061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</v>
      </c>
      <c r="AC50" s="22">
        <f t="shared" si="3"/>
        <v>18.863987596108061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161.49549000000002</v>
      </c>
      <c r="AK50" s="13">
        <f t="shared" si="35"/>
        <v>41.179644493238747</v>
      </c>
      <c r="AL50" s="20">
        <f t="shared" si="4"/>
        <v>352.99252590905752</v>
      </c>
      <c r="AM50" s="59">
        <f t="shared" si="5"/>
        <v>646.32585924239083</v>
      </c>
      <c r="AN50" s="59">
        <f ca="1">AVERAGE(OFFSET($AM$3,0,0,'Données projet'!$E$10+1,1))-AVERAGE(OFFSET($H$3,0,0,'Données projet'!$E$10+1,1))</f>
        <v>491.82493848755047</v>
      </c>
      <c r="AO50" s="59">
        <f t="shared" si="36"/>
        <v>119.46953275458026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16.832481239604117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16.832481239604117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6</v>
      </c>
      <c r="BD50" s="12">
        <f>IF('Données projet'!$A$88&gt;35,BD49+BC50-BL49,IF(A50&lt;'Données projet'!$A$88,$BA$205^A50,IF(A50='Données projet'!$A$88,'Données projet'!$B$88,BD49+BC50-BL49)))</f>
        <v>155.00000000000003</v>
      </c>
      <c r="BE50" s="13">
        <f>BD50*VLOOKUP('Données projet'!$B$11,Paramètres!$A$1:$I$89,3,0)*VLOOKUP('Données projet'!$B$11,Paramètres!$A$1:$I$89,5,0)</f>
        <v>135.40800000000004</v>
      </c>
      <c r="BF50" s="13">
        <f t="shared" si="37"/>
        <v>35.243009677478732</v>
      </c>
      <c r="BG50" s="20">
        <f t="shared" si="7"/>
        <v>297.21717518827558</v>
      </c>
      <c r="BH50" s="59">
        <f t="shared" si="8"/>
        <v>590.55050852160889</v>
      </c>
      <c r="BI50" s="59">
        <f ca="1">AVERAGE(OFFSET($BH$3,0,0,'Données projet'!$E$11+1,1))-AVERAGE(OFFSET($H$3,0,0,'Données projet'!$E$11+1,1))</f>
        <v>216.10252108537389</v>
      </c>
      <c r="BJ50" s="59">
        <f t="shared" si="38"/>
        <v>196.91968622092054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21.362504169254212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</v>
      </c>
      <c r="BS50" s="22">
        <f t="shared" si="9"/>
        <v>21.362504169254212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>
        <f>BY50*VLOOKUP('Données projet'!$B$12,Paramètres!$A$1:$I$89,3,0)*VLOOKUP('Données projet'!$B$12,Paramètres!$A$1:$I$89,5,0)</f>
        <v>0</v>
      </c>
      <c r="CA50" s="13" t="e">
        <f t="shared" si="39"/>
        <v>#NUM!</v>
      </c>
      <c r="CB50" s="20" t="e">
        <f t="shared" si="10"/>
        <v>#NUM!</v>
      </c>
      <c r="CC50" s="59" t="e">
        <f t="shared" si="11"/>
        <v>#NUM!</v>
      </c>
      <c r="CD50" s="59">
        <f ca="1">AVERAGE(OFFSET($CC$3,0,0,'Données projet'!$E$12+1,1))-AVERAGE(OFFSET($H$3,0,0,'Données projet'!$E$12+1,1))</f>
        <v>152.85416952858094</v>
      </c>
      <c r="CE50" s="59">
        <f t="shared" si="40"/>
        <v>369.87619681979322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88.203754076825845</v>
      </c>
      <c r="CL50" s="21">
        <f>EXP(-LN(2)/25)*CL49+(1-EXP(-LN(2)/25))/(LN(2)/25)*Calculateur!CG50*Calculateur!CI50*VLOOKUP('Données projet'!$B$12,Paramètres!$A$1:$I$89,3,0)*0.475*44/12</f>
        <v>8.9738173910933234</v>
      </c>
      <c r="CM50" s="21">
        <f>EXP(-LN(2)/2)*CM49+(1-EXP(-LN(2)/2))/(LN(2)/2)*CG50*CJ50*VLOOKUP('Données projet'!$B$12,Paramètres!$A$1:$I$89,3,0)*0.475*44/12</f>
        <v>1.2419116929748757E-4</v>
      </c>
      <c r="CN50" s="22">
        <f t="shared" si="12"/>
        <v>97.177695659088457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22.463999999999999</v>
      </c>
      <c r="D51" s="11">
        <f t="shared" si="32"/>
        <v>7.2065276619252296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229.03565212714213</v>
      </c>
      <c r="H51" s="66">
        <f t="shared" si="1"/>
        <v>345.00950234451977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9.9475000000000016</v>
      </c>
      <c r="N51" s="13">
        <f>IF('Données projet'!$A$36&gt;35,N50+M51-V50,IF(A51&lt;'Données projet'!$A$36,$K$205^A51,IF(A51='Données projet'!$A$36,'Données projet'!$B$36,N50+M51-V50)))</f>
        <v>188.435</v>
      </c>
      <c r="O51" s="13">
        <f>N51*VLOOKUP('Données projet'!$B$9,Paramètres!$A$1:$I$89,3,0)*VLOOKUP('Données projet'!$B$9,Paramètres!$A$1:$I$89,5,0)</f>
        <v>191.07309000000004</v>
      </c>
      <c r="P51" s="13">
        <f t="shared" si="33"/>
        <v>47.777119994214594</v>
      </c>
      <c r="Q51" s="20">
        <f t="shared" si="53"/>
        <v>415.99744907325709</v>
      </c>
      <c r="R51" s="59">
        <f t="shared" si="0"/>
        <v>709.3307824065904</v>
      </c>
      <c r="S51" s="59">
        <f ca="1">AVERAGE(OFFSET($R$3,0,0,'Données projet'!$E$9+1,1))-AVERAGE(OFFSET($H$3,0,0,'Données projet'!$E$9+1,1))</f>
        <v>561.16051468364344</v>
      </c>
      <c r="T51" s="59">
        <f t="shared" si="34"/>
        <v>137.34523913145267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18.494076305244704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0</v>
      </c>
      <c r="AC51" s="22">
        <f t="shared" si="3"/>
        <v>18.494076305244704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170.49598800000001</v>
      </c>
      <c r="AK51" s="13">
        <f t="shared" si="35"/>
        <v>43.201089555869402</v>
      </c>
      <c r="AL51" s="20">
        <f t="shared" si="4"/>
        <v>372.1890767431392</v>
      </c>
      <c r="AM51" s="59">
        <f t="shared" si="5"/>
        <v>665.52241007647251</v>
      </c>
      <c r="AN51" s="59">
        <f ca="1">AVERAGE(OFFSET($AM$3,0,0,'Données projet'!$E$10+1,1))-AVERAGE(OFFSET($H$3,0,0,'Données projet'!$E$10+1,1))</f>
        <v>491.82493848755047</v>
      </c>
      <c r="AO51" s="59">
        <f t="shared" si="36"/>
        <v>119.46953275458026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16.502406549295273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16.502406549295273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6</v>
      </c>
      <c r="BD51" s="12">
        <f>IF('Données projet'!$A$88&gt;35,BD50+BC51-BL50,IF(A51&lt;'Données projet'!$A$88,$BA$205^A51,IF(A51='Données projet'!$A$88,'Données projet'!$B$88,BD50+BC51-BL50)))</f>
        <v>161.00000000000003</v>
      </c>
      <c r="BE51" s="13">
        <f>BD51*VLOOKUP('Données projet'!$B$11,Paramètres!$A$1:$I$89,3,0)*VLOOKUP('Données projet'!$B$11,Paramètres!$A$1:$I$89,5,0)</f>
        <v>140.64960000000005</v>
      </c>
      <c r="BF51" s="13">
        <f t="shared" si="37"/>
        <v>36.445779615258637</v>
      </c>
      <c r="BG51" s="20">
        <f t="shared" si="7"/>
        <v>308.44111949657554</v>
      </c>
      <c r="BH51" s="59">
        <f t="shared" si="8"/>
        <v>601.7744528299088</v>
      </c>
      <c r="BI51" s="59">
        <f ca="1">AVERAGE(OFFSET($BH$3,0,0,'Données projet'!$E$11+1,1))-AVERAGE(OFFSET($H$3,0,0,'Données projet'!$E$11+1,1))</f>
        <v>216.10252108537389</v>
      </c>
      <c r="BJ51" s="59">
        <f t="shared" si="38"/>
        <v>196.91968622092054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20.94359849233609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</v>
      </c>
      <c r="BS51" s="22">
        <f t="shared" si="9"/>
        <v>20.94359849233609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>
        <f>BY51*VLOOKUP('Données projet'!$B$12,Paramètres!$A$1:$I$89,3,0)*VLOOKUP('Données projet'!$B$12,Paramètres!$A$1:$I$89,5,0)</f>
        <v>0</v>
      </c>
      <c r="CA51" s="13" t="e">
        <f t="shared" si="39"/>
        <v>#NUM!</v>
      </c>
      <c r="CB51" s="20" t="e">
        <f t="shared" si="10"/>
        <v>#NUM!</v>
      </c>
      <c r="CC51" s="59" t="e">
        <f t="shared" si="11"/>
        <v>#NUM!</v>
      </c>
      <c r="CD51" s="59">
        <f ca="1">AVERAGE(OFFSET($CC$3,0,0,'Données projet'!$E$12+1,1))-AVERAGE(OFFSET($H$3,0,0,'Données projet'!$E$12+1,1))</f>
        <v>152.85416952858094</v>
      </c>
      <c r="CE51" s="59">
        <f t="shared" si="40"/>
        <v>369.87619681979322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86.474132258357074</v>
      </c>
      <c r="CL51" s="21">
        <f>EXP(-LN(2)/25)*CL50+(1-EXP(-LN(2)/25))/(LN(2)/25)*Calculateur!CG51*Calculateur!CI51*VLOOKUP('Données projet'!$B$12,Paramètres!$A$1:$I$89,3,0)*0.475*44/12</f>
        <v>8.7284278826213306</v>
      </c>
      <c r="CM51" s="21">
        <f>EXP(-LN(2)/2)*CM50+(1-EXP(-LN(2)/2))/(LN(2)/2)*CG51*CJ51*VLOOKUP('Données projet'!$B$12,Paramètres!$A$1:$I$89,3,0)*0.475*44/12</f>
        <v>8.7816417973740025E-5</v>
      </c>
      <c r="CN51" s="22">
        <f t="shared" si="12"/>
        <v>95.20264795739638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22.931999999999999</v>
      </c>
      <c r="D52" s="11">
        <f t="shared" si="32"/>
        <v>7.3390282083215084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233.67109494142917</v>
      </c>
      <c r="H52" s="66">
        <f t="shared" si="1"/>
        <v>346.05537412949326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9.9475000000000016</v>
      </c>
      <c r="N52" s="13">
        <f>IF('Données projet'!$A$36&gt;35,N51+M52-V51,IF(A52&lt;'Données projet'!$A$36,$K$205^A52,IF(A52='Données projet'!$A$36,'Données projet'!$B$36,N51+M52-V51)))</f>
        <v>198.38249999999999</v>
      </c>
      <c r="O52" s="13">
        <f>N52*VLOOKUP('Données projet'!$B$9,Paramètres!$A$1:$I$89,3,0)*VLOOKUP('Données projet'!$B$9,Paramètres!$A$1:$I$89,5,0)</f>
        <v>201.15985499999999</v>
      </c>
      <c r="P52" s="13">
        <f t="shared" si="33"/>
        <v>49.998982900532162</v>
      </c>
      <c r="Q52" s="20">
        <f t="shared" si="53"/>
        <v>437.43497601009341</v>
      </c>
      <c r="R52" s="59">
        <f t="shared" si="0"/>
        <v>730.76830934342672</v>
      </c>
      <c r="S52" s="59">
        <f ca="1">AVERAGE(OFFSET($R$3,0,0,'Données projet'!$E$9+1,1))-AVERAGE(OFFSET($H$3,0,0,'Données projet'!$E$9+1,1))</f>
        <v>561.16051468364344</v>
      </c>
      <c r="T52" s="59">
        <f t="shared" si="34"/>
        <v>137.34523913145267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18.131418749171566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0</v>
      </c>
      <c r="AC52" s="22">
        <f t="shared" si="3"/>
        <v>18.131418749171566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179.496486</v>
      </c>
      <c r="AK52" s="13">
        <f t="shared" si="35"/>
        <v>45.210145321648348</v>
      </c>
      <c r="AL52" s="20">
        <f t="shared" si="4"/>
        <v>391.36404955187089</v>
      </c>
      <c r="AM52" s="59">
        <f t="shared" si="5"/>
        <v>684.69738288520421</v>
      </c>
      <c r="AN52" s="59">
        <f ca="1">AVERAGE(OFFSET($AM$3,0,0,'Données projet'!$E$10+1,1))-AVERAGE(OFFSET($H$3,0,0,'Données projet'!$E$10+1,1))</f>
        <v>491.82493848755047</v>
      </c>
      <c r="AO52" s="59">
        <f t="shared" si="36"/>
        <v>119.46953275458026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16.178804422337706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16.178804422337706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6</v>
      </c>
      <c r="BD52" s="12">
        <f>IF('Données projet'!$A$88&gt;35,BD51+BC52-BL51,IF(A52&lt;'Données projet'!$A$88,$BA$205^A52,IF(A52='Données projet'!$A$88,'Données projet'!$B$88,BD51+BC52-BL51)))</f>
        <v>167.00000000000003</v>
      </c>
      <c r="BE52" s="13">
        <f>BD52*VLOOKUP('Données projet'!$B$11,Paramètres!$A$1:$I$89,3,0)*VLOOKUP('Données projet'!$B$11,Paramètres!$A$1:$I$89,5,0)</f>
        <v>145.89120000000005</v>
      </c>
      <c r="BF52" s="13">
        <f t="shared" si="37"/>
        <v>37.643342098399685</v>
      </c>
      <c r="BG52" s="20">
        <f t="shared" si="7"/>
        <v>319.65599415471291</v>
      </c>
      <c r="BH52" s="59">
        <f t="shared" si="8"/>
        <v>612.98932748804623</v>
      </c>
      <c r="BI52" s="59">
        <f ca="1">AVERAGE(OFFSET($BH$3,0,0,'Données projet'!$E$11+1,1))-AVERAGE(OFFSET($H$3,0,0,'Données projet'!$E$11+1,1))</f>
        <v>216.10252108537389</v>
      </c>
      <c r="BJ52" s="59">
        <f t="shared" si="38"/>
        <v>196.91968622092054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20.532907300235099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</v>
      </c>
      <c r="BS52" s="22">
        <f t="shared" si="9"/>
        <v>20.532907300235099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>
        <f>BY52*VLOOKUP('Données projet'!$B$12,Paramètres!$A$1:$I$89,3,0)*VLOOKUP('Données projet'!$B$12,Paramètres!$A$1:$I$89,5,0)</f>
        <v>0</v>
      </c>
      <c r="CA52" s="13" t="e">
        <f t="shared" si="39"/>
        <v>#NUM!</v>
      </c>
      <c r="CB52" s="20" t="e">
        <f t="shared" si="10"/>
        <v>#NUM!</v>
      </c>
      <c r="CC52" s="59" t="e">
        <f t="shared" si="11"/>
        <v>#NUM!</v>
      </c>
      <c r="CD52" s="59">
        <f ca="1">AVERAGE(OFFSET($CC$3,0,0,'Données projet'!$E$12+1,1))-AVERAGE(OFFSET($H$3,0,0,'Données projet'!$E$12+1,1))</f>
        <v>152.85416952858094</v>
      </c>
      <c r="CE52" s="59">
        <f t="shared" si="40"/>
        <v>369.87619681979322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84.778427268783332</v>
      </c>
      <c r="CL52" s="21">
        <f>EXP(-LN(2)/25)*CL51+(1-EXP(-LN(2)/25))/(LN(2)/25)*Calculateur!CG52*Calculateur!CI52*VLOOKUP('Données projet'!$B$12,Paramètres!$A$1:$I$89,3,0)*0.475*44/12</f>
        <v>8.4897485631629763</v>
      </c>
      <c r="CM52" s="21">
        <f>EXP(-LN(2)/2)*CM51+(1-EXP(-LN(2)/2))/(LN(2)/2)*CG52*CJ52*VLOOKUP('Données projet'!$B$12,Paramètres!$A$1:$I$89,3,0)*0.475*44/12</f>
        <v>6.2095584648743786E-5</v>
      </c>
      <c r="CN52" s="22">
        <f t="shared" si="12"/>
        <v>93.268237927530961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</v>
      </c>
      <c r="D53" s="11">
        <f t="shared" si="32"/>
        <v>7.4712143488056828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238.30411076271048</v>
      </c>
      <c r="H53" s="66">
        <f t="shared" si="1"/>
        <v>347.10069832416985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208.33</v>
      </c>
      <c r="L53" s="12">
        <f>VLOOKUP(A53,'Données projet'!$A$35:$I$55,9,0)</f>
        <v>9.9475000000000016</v>
      </c>
      <c r="M53" s="12">
        <f t="array" ref="M53">INDEX(L:L,MIN(IF(ISNUMBER(L53:L249),ROW(L53:L249),"")))</f>
        <v>9.9475000000000016</v>
      </c>
      <c r="N53" s="13">
        <f>IF('Données projet'!$A$36&gt;35,N52+M53-V52,IF(A53&lt;'Données projet'!$A$36,$K$205^A53,IF(A53='Données projet'!$A$36,'Données projet'!$B$36,N52+M53-V52)))</f>
        <v>208.32999999999998</v>
      </c>
      <c r="O53" s="13">
        <f>N53*VLOOKUP('Données projet'!$B$9,Paramètres!$A$1:$I$89,3,0)*VLOOKUP('Données projet'!$B$9,Paramètres!$A$1:$I$89,5,0)</f>
        <v>211.24662000000001</v>
      </c>
      <c r="P53" s="13">
        <f t="shared" si="33"/>
        <v>52.207909621932174</v>
      </c>
      <c r="Q53" s="20">
        <f t="shared" si="53"/>
        <v>458.8499724248652</v>
      </c>
      <c r="R53" s="59">
        <f t="shared" si="0"/>
        <v>752.18330575819846</v>
      </c>
      <c r="S53" s="59">
        <f ca="1">AVERAGE(OFFSET($R$3,0,0,'Données projet'!$E$9+1,1))-AVERAGE(OFFSET($H$3,0,0,'Données projet'!$E$9+1,1))</f>
        <v>561.16051468364344</v>
      </c>
      <c r="T53" s="59">
        <f t="shared" si="34"/>
        <v>137.34523913145267</v>
      </c>
      <c r="U53" s="15">
        <f>IF(ISNA(VLOOKUP(A53,'Données projet'!$A$35:$I$55,3,0)),0,VLOOKUP(A53,'Données projet'!$A$35:$I$55,3,0))</f>
        <v>2</v>
      </c>
      <c r="V53" s="15">
        <f>IF(ISNA(VLOOKUP(A53,'Données projet'!$A$35:$I$55,4,0)),0,VLOOKUP(A53,'Données projet'!$A$35:$I$55,4,0))</f>
        <v>35.58</v>
      </c>
      <c r="W53" s="16">
        <f>IF(ISNA(VLOOKUP(A53,'Données projet'!$A$35:$I$55,5,0)),0%,VLOOKUP(A53,'Données projet'!$A$35:$I$55,5,0)*VLOOKUP('Données projet'!$B$9,Paramètres!$A$1:$I$89,7,0))</f>
        <v>0.43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34.925688680544937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0</v>
      </c>
      <c r="AC53" s="22">
        <f t="shared" si="3"/>
        <v>34.925688680544937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188.496984</v>
      </c>
      <c r="AK53" s="13">
        <f t="shared" si="35"/>
        <v>47.207503913482903</v>
      </c>
      <c r="AL53" s="20">
        <f t="shared" si="4"/>
        <v>410.51864978264933</v>
      </c>
      <c r="AM53" s="59">
        <f t="shared" si="5"/>
        <v>703.85198311598265</v>
      </c>
      <c r="AN53" s="59">
        <f ca="1">AVERAGE(OFFSET($AM$3,0,0,'Données projet'!$E$10+1,1))-AVERAGE(OFFSET($H$3,0,0,'Données projet'!$E$10+1,1))</f>
        <v>491.82493848755047</v>
      </c>
      <c r="AO53" s="59">
        <f t="shared" si="36"/>
        <v>119.46953275458026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31.16446066879395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31.16446066879395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173</v>
      </c>
      <c r="BB53" s="12">
        <f>VLOOKUP(A53,'Données projet'!$A$87:$I$107,9,0)</f>
        <v>6</v>
      </c>
      <c r="BC53" s="12">
        <f t="array" ref="BC53">INDEX(BB:BB,MIN(IF(ISNUMBER(BB53:BB249),ROW(BB53:BB249),"")))</f>
        <v>6</v>
      </c>
      <c r="BD53" s="12">
        <f>IF('Données projet'!$A$88&gt;35,BD52+BC53-BL52,IF(A53&lt;'Données projet'!$A$88,$BA$205^A53,IF(A53='Données projet'!$A$88,'Données projet'!$B$88,BD52+BC53-BL52)))</f>
        <v>173.00000000000003</v>
      </c>
      <c r="BE53" s="13">
        <f>BD53*VLOOKUP('Données projet'!$B$11,Paramètres!$A$1:$I$89,3,0)*VLOOKUP('Données projet'!$B$11,Paramètres!$A$1:$I$89,5,0)</f>
        <v>151.13280000000003</v>
      </c>
      <c r="BF53" s="13">
        <f t="shared" si="37"/>
        <v>38.835905653934425</v>
      </c>
      <c r="BG53" s="20">
        <f t="shared" si="7"/>
        <v>330.86216234726913</v>
      </c>
      <c r="BH53" s="59">
        <f t="shared" si="8"/>
        <v>624.19549568060245</v>
      </c>
      <c r="BI53" s="59">
        <f ca="1">AVERAGE(OFFSET($BH$3,0,0,'Données projet'!$E$11+1,1))-AVERAGE(OFFSET($H$3,0,0,'Données projet'!$E$11+1,1))</f>
        <v>216.10252108537389</v>
      </c>
      <c r="BJ53" s="59">
        <f t="shared" si="38"/>
        <v>196.91968622092054</v>
      </c>
      <c r="BK53" s="15">
        <f>IF(ISNA(VLOOKUP(A53,'Données projet'!$A$87:$I$107,3,0)),0,VLOOKUP(A53,'Données projet'!$A$87:$I$107,3,0))</f>
        <v>7</v>
      </c>
      <c r="BL53" s="15">
        <f>IF(ISNA(VLOOKUP(A53,'Données projet'!$A$87:$I$107,4,0)),0,VLOOKUP(A53,'Données projet'!$A$87:$I$107,4,0))</f>
        <v>18</v>
      </c>
      <c r="BM53" s="16">
        <f>IF(ISNA(VLOOKUP(A53,'Données projet'!$A$87:$I$107,5,0)),0%,VLOOKUP(A53,'Données projet'!$A$87:$I$107,5,0)*VLOOKUP('Données projet'!$B$11,Paramètres!$A$1:$I$89,7,0))</f>
        <v>0.43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27.605088780268598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</v>
      </c>
      <c r="BS53" s="22">
        <f t="shared" si="9"/>
        <v>27.605088780268598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>
        <f>BY53*VLOOKUP('Données projet'!$B$12,Paramètres!$A$1:$I$89,3,0)*VLOOKUP('Données projet'!$B$12,Paramètres!$A$1:$I$89,5,0)</f>
        <v>0</v>
      </c>
      <c r="CA53" s="13" t="e">
        <f t="shared" si="39"/>
        <v>#NUM!</v>
      </c>
      <c r="CB53" s="20" t="e">
        <f t="shared" si="10"/>
        <v>#NUM!</v>
      </c>
      <c r="CC53" s="59" t="e">
        <f t="shared" si="11"/>
        <v>#NUM!</v>
      </c>
      <c r="CD53" s="59">
        <f ca="1">AVERAGE(OFFSET($CC$3,0,0,'Données projet'!$E$12+1,1))-AVERAGE(OFFSET($H$3,0,0,'Données projet'!$E$12+1,1))</f>
        <v>152.85416952858094</v>
      </c>
      <c r="CE53" s="59">
        <f t="shared" si="40"/>
        <v>369.87619681979322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83.115974019777212</v>
      </c>
      <c r="CL53" s="21">
        <f>EXP(-LN(2)/25)*CL52+(1-EXP(-LN(2)/25))/(LN(2)/25)*Calculateur!CG53*Calculateur!CI53*VLOOKUP('Données projet'!$B$12,Paramètres!$A$1:$I$89,3,0)*0.475*44/12</f>
        <v>8.2575959422468106</v>
      </c>
      <c r="CM53" s="21">
        <f>EXP(-LN(2)/2)*CM52+(1-EXP(-LN(2)/2))/(LN(2)/2)*CG53*CJ53*VLOOKUP('Données projet'!$B$12,Paramètres!$A$1:$I$89,3,0)*0.475*44/12</f>
        <v>4.3908208986870012E-5</v>
      </c>
      <c r="CN53" s="22">
        <f t="shared" si="12"/>
        <v>91.373613870233001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23.867999999999999</v>
      </c>
      <c r="D54" s="11">
        <f t="shared" si="32"/>
        <v>7.6030930962115368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242.93475372514169</v>
      </c>
      <c r="H54" s="66">
        <f t="shared" si="1"/>
        <v>348.14548714256841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10.118749999999999</v>
      </c>
      <c r="N54" s="13">
        <f>IF('Données projet'!$A$36&gt;35,N53+M54-V53,IF(A54&lt;'Données projet'!$A$36,$K$205^A54,IF(A54='Données projet'!$A$36,'Données projet'!$B$36,N53+M54-V53)))</f>
        <v>182.86874999999998</v>
      </c>
      <c r="O54" s="13">
        <f>N54*VLOOKUP('Données projet'!$B$9,Paramètres!$A$1:$I$89,3,0)*VLOOKUP('Données projet'!$B$9,Paramètres!$A$1:$I$89,5,0)</f>
        <v>185.4289125</v>
      </c>
      <c r="P54" s="13">
        <f t="shared" si="33"/>
        <v>46.527922431861938</v>
      </c>
      <c r="Q54" s="20">
        <f t="shared" si="53"/>
        <v>403.99148750632617</v>
      </c>
      <c r="R54" s="59">
        <f t="shared" si="0"/>
        <v>697.32482083965942</v>
      </c>
      <c r="S54" s="59">
        <f ca="1">AVERAGE(OFFSET($R$3,0,0,'Données projet'!$E$9+1,1))-AVERAGE(OFFSET($H$3,0,0,'Données projet'!$E$9+1,1))</f>
        <v>561.16051468364344</v>
      </c>
      <c r="T54" s="59">
        <f t="shared" si="34"/>
        <v>137.34523913145267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34.240817228086094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0</v>
      </c>
      <c r="AC54" s="22">
        <f t="shared" si="3"/>
        <v>34.240817228086094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165.45964499999997</v>
      </c>
      <c r="AK54" s="13">
        <f t="shared" si="35"/>
        <v>42.071538511965834</v>
      </c>
      <c r="AL54" s="20">
        <f t="shared" si="4"/>
        <v>361.45014461667375</v>
      </c>
      <c r="AM54" s="59">
        <f t="shared" si="5"/>
        <v>654.78347795000707</v>
      </c>
      <c r="AN54" s="59">
        <f ca="1">AVERAGE(OFFSET($AM$3,0,0,'Données projet'!$E$10+1,1))-AVERAGE(OFFSET($H$3,0,0,'Données projet'!$E$10+1,1))</f>
        <v>491.82493848755047</v>
      </c>
      <c r="AO54" s="59">
        <f t="shared" si="36"/>
        <v>119.46953275458026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30.55334460352298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30.55334460352298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5.2</v>
      </c>
      <c r="BD54" s="12">
        <f>IF('Données projet'!$A$88&gt;35,BD53+BC54-BL53,IF(A54&lt;'Données projet'!$A$88,$BA$205^A54,IF(A54='Données projet'!$A$88,'Données projet'!$B$88,BD53+BC54-BL53)))</f>
        <v>160.20000000000002</v>
      </c>
      <c r="BE54" s="13">
        <f>BD54*VLOOKUP('Données projet'!$B$11,Paramètres!$A$1:$I$89,3,0)*VLOOKUP('Données projet'!$B$11,Paramètres!$A$1:$I$89,5,0)</f>
        <v>139.95072000000002</v>
      </c>
      <c r="BF54" s="13">
        <f t="shared" si="37"/>
        <v>36.285715907711918</v>
      </c>
      <c r="BG54" s="20">
        <f t="shared" si="7"/>
        <v>306.94512587259828</v>
      </c>
      <c r="BH54" s="59">
        <f t="shared" si="8"/>
        <v>600.27845920593154</v>
      </c>
      <c r="BI54" s="59">
        <f ca="1">AVERAGE(OFFSET($BH$3,0,0,'Données projet'!$E$11+1,1))-AVERAGE(OFFSET($H$3,0,0,'Données projet'!$E$11+1,1))</f>
        <v>216.10252108537389</v>
      </c>
      <c r="BJ54" s="59">
        <f t="shared" si="38"/>
        <v>196.91968622092054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27.063769826729128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</v>
      </c>
      <c r="BS54" s="22">
        <f t="shared" si="9"/>
        <v>27.063769826729128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>
        <f>BY54*VLOOKUP('Données projet'!$B$12,Paramètres!$A$1:$I$89,3,0)*VLOOKUP('Données projet'!$B$12,Paramètres!$A$1:$I$89,5,0)</f>
        <v>0</v>
      </c>
      <c r="CA54" s="13" t="e">
        <f t="shared" si="39"/>
        <v>#NUM!</v>
      </c>
      <c r="CB54" s="20" t="e">
        <f t="shared" si="10"/>
        <v>#NUM!</v>
      </c>
      <c r="CC54" s="59" t="e">
        <f t="shared" si="11"/>
        <v>#NUM!</v>
      </c>
      <c r="CD54" s="59">
        <f ca="1">AVERAGE(OFFSET($CC$3,0,0,'Données projet'!$E$12+1,1))-AVERAGE(OFFSET($H$3,0,0,'Données projet'!$E$12+1,1))</f>
        <v>152.85416952858094</v>
      </c>
      <c r="CE54" s="59">
        <f t="shared" si="40"/>
        <v>369.87619681979322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81.486120464987749</v>
      </c>
      <c r="CL54" s="21">
        <f>EXP(-LN(2)/25)*CL53+(1-EXP(-LN(2)/25))/(LN(2)/25)*Calculateur!CG54*Calculateur!CI54*VLOOKUP('Données projet'!$B$12,Paramètres!$A$1:$I$89,3,0)*0.475*44/12</f>
        <v>8.0317915469579741</v>
      </c>
      <c r="CM54" s="21">
        <f>EXP(-LN(2)/2)*CM53+(1-EXP(-LN(2)/2))/(LN(2)/2)*CG54*CJ54*VLOOKUP('Données projet'!$B$12,Paramètres!$A$1:$I$89,3,0)*0.475*44/12</f>
        <v>3.1047792324371893E-5</v>
      </c>
      <c r="CN54" s="22">
        <f t="shared" si="12"/>
        <v>89.517943059738045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24.335999999999999</v>
      </c>
      <c r="D55" s="11">
        <f t="shared" si="32"/>
        <v>7.7346711726299766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247.56307571854714</v>
      </c>
      <c r="H55" s="66">
        <f t="shared" si="1"/>
        <v>349.18975229233052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10.118749999999999</v>
      </c>
      <c r="N55" s="13">
        <f>IF('Données projet'!$A$36&gt;35,N54+M55-V54,IF(A55&lt;'Données projet'!$A$36,$K$205^A55,IF(A55='Données projet'!$A$36,'Données projet'!$B$36,N54+M55-V54)))</f>
        <v>192.98749999999998</v>
      </c>
      <c r="O55" s="13">
        <f>N55*VLOOKUP('Données projet'!$B$9,Paramètres!$A$1:$I$89,3,0)*VLOOKUP('Données projet'!$B$9,Paramètres!$A$1:$I$89,5,0)</f>
        <v>195.689325</v>
      </c>
      <c r="P55" s="13">
        <f t="shared" si="33"/>
        <v>48.795613820449134</v>
      </c>
      <c r="Q55" s="20">
        <f t="shared" si="53"/>
        <v>425.81126844561555</v>
      </c>
      <c r="R55" s="59">
        <f t="shared" si="0"/>
        <v>719.14460177894887</v>
      </c>
      <c r="S55" s="59">
        <f ca="1">AVERAGE(OFFSET($R$3,0,0,'Données projet'!$E$9+1,1))-AVERAGE(OFFSET($H$3,0,0,'Données projet'!$E$9+1,1))</f>
        <v>561.16051468364344</v>
      </c>
      <c r="T55" s="59">
        <f t="shared" si="34"/>
        <v>137.34523913145267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33.569375687079628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0</v>
      </c>
      <c r="AC55" s="22">
        <f t="shared" si="3"/>
        <v>33.569375687079628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174.61508999999998</v>
      </c>
      <c r="AK55" s="13">
        <f t="shared" si="35"/>
        <v>44.122033367563922</v>
      </c>
      <c r="AL55" s="20">
        <f t="shared" si="4"/>
        <v>380.96715653184043</v>
      </c>
      <c r="AM55" s="59">
        <f t="shared" si="5"/>
        <v>674.30048986517374</v>
      </c>
      <c r="AN55" s="59">
        <f ca="1">AVERAGE(OFFSET($AM$3,0,0,'Données projet'!$E$10+1,1))-AVERAGE(OFFSET($H$3,0,0,'Données projet'!$E$10+1,1))</f>
        <v>491.82493848755047</v>
      </c>
      <c r="AO55" s="59">
        <f t="shared" si="36"/>
        <v>119.46953275458026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29.954212151547981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29.954212151547981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5.2</v>
      </c>
      <c r="BD55" s="12">
        <f>IF('Données projet'!$A$88&gt;35,BD54+BC55-BL54,IF(A55&lt;'Données projet'!$A$88,$BA$205^A55,IF(A55='Données projet'!$A$88,'Données projet'!$B$88,BD54+BC55-BL54)))</f>
        <v>165.4</v>
      </c>
      <c r="BE55" s="13">
        <f>BD55*VLOOKUP('Données projet'!$B$11,Paramètres!$A$1:$I$89,3,0)*VLOOKUP('Données projet'!$B$11,Paramètres!$A$1:$I$89,5,0)</f>
        <v>144.49344000000002</v>
      </c>
      <c r="BF55" s="13">
        <f t="shared" si="37"/>
        <v>37.324489208332842</v>
      </c>
      <c r="BG55" s="20">
        <f t="shared" si="7"/>
        <v>316.66622670451306</v>
      </c>
      <c r="BH55" s="59">
        <f t="shared" si="8"/>
        <v>609.99956003784632</v>
      </c>
      <c r="BI55" s="59">
        <f ca="1">AVERAGE(OFFSET($BH$3,0,0,'Données projet'!$E$11+1,1))-AVERAGE(OFFSET($H$3,0,0,'Données projet'!$E$11+1,1))</f>
        <v>216.10252108537389</v>
      </c>
      <c r="BJ55" s="59">
        <f t="shared" si="38"/>
        <v>196.91968622092054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26.533065807696609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</v>
      </c>
      <c r="BS55" s="22">
        <f t="shared" si="9"/>
        <v>26.533065807696609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>
        <f>BY55*VLOOKUP('Données projet'!$B$12,Paramètres!$A$1:$I$89,3,0)*VLOOKUP('Données projet'!$B$12,Paramètres!$A$1:$I$89,5,0)</f>
        <v>0</v>
      </c>
      <c r="CA55" s="13" t="e">
        <f t="shared" si="39"/>
        <v>#NUM!</v>
      </c>
      <c r="CB55" s="20" t="e">
        <f t="shared" si="10"/>
        <v>#NUM!</v>
      </c>
      <c r="CC55" s="59" t="e">
        <f t="shared" si="11"/>
        <v>#NUM!</v>
      </c>
      <c r="CD55" s="59">
        <f ca="1">AVERAGE(OFFSET($CC$3,0,0,'Données projet'!$E$12+1,1))-AVERAGE(OFFSET($H$3,0,0,'Données projet'!$E$12+1,1))</f>
        <v>152.85416952858094</v>
      </c>
      <c r="CE55" s="59">
        <f t="shared" si="40"/>
        <v>369.87619681979322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79.888227344295188</v>
      </c>
      <c r="CL55" s="21">
        <f>EXP(-LN(2)/25)*CL54+(1-EXP(-LN(2)/25))/(LN(2)/25)*Calculateur!CG55*Calculateur!CI55*VLOOKUP('Données projet'!$B$12,Paramètres!$A$1:$I$89,3,0)*0.475*44/12</f>
        <v>7.8121617847328482</v>
      </c>
      <c r="CM55" s="21">
        <f>EXP(-LN(2)/2)*CM54+(1-EXP(-LN(2)/2))/(LN(2)/2)*CG55*CJ55*VLOOKUP('Données projet'!$B$12,Paramètres!$A$1:$I$89,3,0)*0.475*44/12</f>
        <v>2.1954104493435006E-5</v>
      </c>
      <c r="CN55" s="22">
        <f t="shared" si="12"/>
        <v>87.700411083132536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24.803999999999998</v>
      </c>
      <c r="D56" s="11">
        <f t="shared" si="32"/>
        <v>7.8659550268183116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252.18912652280798</v>
      </c>
      <c r="H56" s="66">
        <f t="shared" si="1"/>
        <v>350.23350500504188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10.118749999999999</v>
      </c>
      <c r="N56" s="13">
        <f>IF('Données projet'!$A$36&gt;35,N55+M56-V55,IF(A56&lt;'Données projet'!$A$36,$K$205^A56,IF(A56='Données projet'!$A$36,'Données projet'!$B$36,N55+M56-V55)))</f>
        <v>203.10624999999999</v>
      </c>
      <c r="O56" s="13">
        <f>N56*VLOOKUP('Données projet'!$B$9,Paramètres!$A$1:$I$89,3,0)*VLOOKUP('Données projet'!$B$9,Paramètres!$A$1:$I$89,5,0)</f>
        <v>205.9497375</v>
      </c>
      <c r="P56" s="13">
        <f t="shared" si="33"/>
        <v>51.049500726297858</v>
      </c>
      <c r="Q56" s="20">
        <f t="shared" si="53"/>
        <v>447.60700657746878</v>
      </c>
      <c r="R56" s="59">
        <f t="shared" si="0"/>
        <v>740.94033991080209</v>
      </c>
      <c r="S56" s="59">
        <f ca="1">AVERAGE(OFFSET($R$3,0,0,'Données projet'!$E$9+1,1))-AVERAGE(OFFSET($H$3,0,0,'Données projet'!$E$9+1,1))</f>
        <v>561.16051468364344</v>
      </c>
      <c r="T56" s="59">
        <f t="shared" si="34"/>
        <v>137.34523913145267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32.911100705153395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0</v>
      </c>
      <c r="AC56" s="22">
        <f t="shared" si="3"/>
        <v>32.911100705153395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183.770535</v>
      </c>
      <c r="AK56" s="13">
        <f t="shared" si="35"/>
        <v>46.160045915833102</v>
      </c>
      <c r="AL56" s="20">
        <f t="shared" si="4"/>
        <v>400.46242842840928</v>
      </c>
      <c r="AM56" s="59">
        <f t="shared" si="5"/>
        <v>693.7957617617426</v>
      </c>
      <c r="AN56" s="59">
        <f ca="1">AVERAGE(OFFSET($AM$3,0,0,'Données projet'!$E$10+1,1))-AVERAGE(OFFSET($H$3,0,0,'Données projet'!$E$10+1,1))</f>
        <v>491.82493848755047</v>
      </c>
      <c r="AO56" s="59">
        <f t="shared" si="36"/>
        <v>119.46953275458026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29.366828321521499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29.366828321521499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5.2</v>
      </c>
      <c r="BD56" s="12">
        <f>IF('Données projet'!$A$88&gt;35,BD55+BC56-BL55,IF(A56&lt;'Données projet'!$A$88,$BA$205^A56,IF(A56='Données projet'!$A$88,'Données projet'!$B$88,BD55+BC56-BL55)))</f>
        <v>170.6</v>
      </c>
      <c r="BE56" s="13">
        <f>BD56*VLOOKUP('Données projet'!$B$11,Paramètres!$A$1:$I$89,3,0)*VLOOKUP('Données projet'!$B$11,Paramètres!$A$1:$I$89,5,0)</f>
        <v>149.03616</v>
      </c>
      <c r="BF56" s="13">
        <f t="shared" si="37"/>
        <v>38.35946741279561</v>
      </c>
      <c r="BG56" s="20">
        <f t="shared" si="7"/>
        <v>326.38071774395229</v>
      </c>
      <c r="BH56" s="59">
        <f t="shared" si="8"/>
        <v>619.7140510772856</v>
      </c>
      <c r="BI56" s="59">
        <f ca="1">AVERAGE(OFFSET($BH$3,0,0,'Données projet'!$E$11+1,1))-AVERAGE(OFFSET($H$3,0,0,'Données projet'!$E$11+1,1))</f>
        <v>216.10252108537389</v>
      </c>
      <c r="BJ56" s="59">
        <f t="shared" si="38"/>
        <v>196.91968622092054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26.012768570779826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0</v>
      </c>
      <c r="BS56" s="22">
        <f t="shared" si="9"/>
        <v>26.012768570779826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>
        <f>BY56*VLOOKUP('Données projet'!$B$12,Paramètres!$A$1:$I$89,3,0)*VLOOKUP('Données projet'!$B$12,Paramètres!$A$1:$I$89,5,0)</f>
        <v>0</v>
      </c>
      <c r="CA56" s="13" t="e">
        <f t="shared" si="39"/>
        <v>#NUM!</v>
      </c>
      <c r="CB56" s="20" t="e">
        <f t="shared" si="10"/>
        <v>#NUM!</v>
      </c>
      <c r="CC56" s="59" t="e">
        <f t="shared" si="11"/>
        <v>#NUM!</v>
      </c>
      <c r="CD56" s="59">
        <f ca="1">AVERAGE(OFFSET($CC$3,0,0,'Données projet'!$E$12+1,1))-AVERAGE(OFFSET($H$3,0,0,'Données projet'!$E$12+1,1))</f>
        <v>152.85416952858094</v>
      </c>
      <c r="CE56" s="59">
        <f t="shared" si="40"/>
        <v>369.87619681979322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78.321667933080846</v>
      </c>
      <c r="CL56" s="21">
        <f>EXP(-LN(2)/25)*CL55+(1-EXP(-LN(2)/25))/(LN(2)/25)*Calculateur!CG56*Calculateur!CI56*VLOOKUP('Données projet'!$B$12,Paramètres!$A$1:$I$89,3,0)*0.475*44/12</f>
        <v>7.5985378099055954</v>
      </c>
      <c r="CM56" s="21">
        <f>EXP(-LN(2)/2)*CM55+(1-EXP(-LN(2)/2))/(LN(2)/2)*CG56*CJ56*VLOOKUP('Données projet'!$B$12,Paramètres!$A$1:$I$89,3,0)*0.475*44/12</f>
        <v>1.5523896162185947E-5</v>
      </c>
      <c r="CN56" s="22">
        <f t="shared" si="12"/>
        <v>85.920221266882606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25.271999999999998</v>
      </c>
      <c r="D57" s="11">
        <f t="shared" si="32"/>
        <v>7.996950850258413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256.81295393181932</v>
      </c>
      <c r="H57" s="66">
        <f t="shared" si="1"/>
        <v>351.27675606420007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10.118749999999999</v>
      </c>
      <c r="N57" s="13">
        <f>IF('Données projet'!$A$36&gt;35,N56+M57-V56,IF(A57&lt;'Données projet'!$A$36,$K$205^A57,IF(A57='Données projet'!$A$36,'Données projet'!$B$36,N56+M57-V56)))</f>
        <v>213.22499999999999</v>
      </c>
      <c r="O57" s="13">
        <f>N57*VLOOKUP('Données projet'!$B$9,Paramètres!$A$1:$I$89,3,0)*VLOOKUP('Données projet'!$B$9,Paramètres!$A$1:$I$89,5,0)</f>
        <v>216.21015</v>
      </c>
      <c r="P57" s="13">
        <f t="shared" si="33"/>
        <v>53.290349368547822</v>
      </c>
      <c r="Q57" s="20">
        <f t="shared" si="53"/>
        <v>469.38003640022072</v>
      </c>
      <c r="R57" s="59">
        <f t="shared" si="0"/>
        <v>762.71336973355403</v>
      </c>
      <c r="S57" s="59">
        <f ca="1">AVERAGE(OFFSET($R$3,0,0,'Données projet'!$E$9+1,1))-AVERAGE(OFFSET($H$3,0,0,'Données projet'!$E$9+1,1))</f>
        <v>561.16051468364344</v>
      </c>
      <c r="T57" s="59">
        <f t="shared" si="34"/>
        <v>137.34523913145267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32.265734094114642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0</v>
      </c>
      <c r="AC57" s="22">
        <f t="shared" si="3"/>
        <v>32.265734094114642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192.92597999999998</v>
      </c>
      <c r="AK57" s="13">
        <f t="shared" si="35"/>
        <v>48.186268988440077</v>
      </c>
      <c r="AL57" s="20">
        <f t="shared" si="4"/>
        <v>419.93716698819981</v>
      </c>
      <c r="AM57" s="59">
        <f t="shared" si="5"/>
        <v>713.27050032153306</v>
      </c>
      <c r="AN57" s="59">
        <f ca="1">AVERAGE(OFFSET($AM$3,0,0,'Données projet'!$E$10+1,1))-AVERAGE(OFFSET($H$3,0,0,'Données projet'!$E$10+1,1))</f>
        <v>491.82493848755047</v>
      </c>
      <c r="AO57" s="59">
        <f t="shared" si="36"/>
        <v>119.46953275458026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28.790962730133074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28.790962730133074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5.2</v>
      </c>
      <c r="BD57" s="12">
        <f>IF('Données projet'!$A$88&gt;35,BD56+BC57-BL56,IF(A57&lt;'Données projet'!$A$88,$BA$205^A57,IF(A57='Données projet'!$A$88,'Données projet'!$B$88,BD56+BC57-BL56)))</f>
        <v>175.79999999999998</v>
      </c>
      <c r="BE57" s="13">
        <f>BD57*VLOOKUP('Données projet'!$B$11,Paramètres!$A$1:$I$89,3,0)*VLOOKUP('Données projet'!$B$11,Paramètres!$A$1:$I$89,5,0)</f>
        <v>153.57888</v>
      </c>
      <c r="BF57" s="13">
        <f t="shared" si="37"/>
        <v>39.390779474606148</v>
      </c>
      <c r="BG57" s="20">
        <f t="shared" si="7"/>
        <v>336.08882358493901</v>
      </c>
      <c r="BH57" s="59">
        <f t="shared" si="8"/>
        <v>629.42215691827232</v>
      </c>
      <c r="BI57" s="59">
        <f ca="1">AVERAGE(OFFSET($BH$3,0,0,'Données projet'!$E$11+1,1))-AVERAGE(OFFSET($H$3,0,0,'Données projet'!$E$11+1,1))</f>
        <v>216.10252108537389</v>
      </c>
      <c r="BJ57" s="59">
        <f t="shared" si="38"/>
        <v>196.91968622092054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25.502674045329002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0</v>
      </c>
      <c r="BS57" s="22">
        <f t="shared" si="9"/>
        <v>25.502674045329002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>
        <f>BY57*VLOOKUP('Données projet'!$B$12,Paramètres!$A$1:$I$89,3,0)*VLOOKUP('Données projet'!$B$12,Paramètres!$A$1:$I$89,5,0)</f>
        <v>0</v>
      </c>
      <c r="CA57" s="13" t="e">
        <f t="shared" si="39"/>
        <v>#NUM!</v>
      </c>
      <c r="CB57" s="20" t="e">
        <f t="shared" si="10"/>
        <v>#NUM!</v>
      </c>
      <c r="CC57" s="59" t="e">
        <f t="shared" si="11"/>
        <v>#NUM!</v>
      </c>
      <c r="CD57" s="59">
        <f ca="1">AVERAGE(OFFSET($CC$3,0,0,'Données projet'!$E$12+1,1))-AVERAGE(OFFSET($H$3,0,0,'Données projet'!$E$12+1,1))</f>
        <v>152.85416952858094</v>
      </c>
      <c r="CE57" s="59">
        <f t="shared" si="40"/>
        <v>369.87619681979322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76.785827796413528</v>
      </c>
      <c r="CL57" s="21">
        <f>EXP(-LN(2)/25)*CL56+(1-EXP(-LN(2)/25))/(LN(2)/25)*Calculateur!CG57*Calculateur!CI57*VLOOKUP('Données projet'!$B$12,Paramètres!$A$1:$I$89,3,0)*0.475*44/12</f>
        <v>7.3907553939039898</v>
      </c>
      <c r="CM57" s="21">
        <f>EXP(-LN(2)/2)*CM56+(1-EXP(-LN(2)/2))/(LN(2)/2)*CG57*CJ57*VLOOKUP('Données projet'!$B$12,Paramètres!$A$1:$I$89,3,0)*0.475*44/12</f>
        <v>1.0977052246717503E-5</v>
      </c>
      <c r="CN57" s="22">
        <f t="shared" si="12"/>
        <v>84.176594167369757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25.74</v>
      </c>
      <c r="D58" s="11">
        <f t="shared" si="32"/>
        <v>8.1276645919917723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261.43460386800666</v>
      </c>
      <c r="H58" s="66">
        <f t="shared" si="1"/>
        <v>352.31951583105229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10.118749999999999</v>
      </c>
      <c r="N58" s="13">
        <f>IF('Données projet'!$A$36&gt;35,N57+M58-V57,IF(A58&lt;'Données projet'!$A$36,$K$205^A58,IF(A58='Données projet'!$A$36,'Données projet'!$B$36,N57+M58-V57)))</f>
        <v>223.34375</v>
      </c>
      <c r="O58" s="13">
        <f>N58*VLOOKUP('Données projet'!$B$9,Paramètres!$A$1:$I$89,3,0)*VLOOKUP('Données projet'!$B$9,Paramètres!$A$1:$I$89,5,0)</f>
        <v>226.47056250000003</v>
      </c>
      <c r="P58" s="13">
        <f t="shared" si="33"/>
        <v>55.518849133989988</v>
      </c>
      <c r="Q58" s="20">
        <f t="shared" si="53"/>
        <v>491.13155859586595</v>
      </c>
      <c r="R58" s="59">
        <f t="shared" si="0"/>
        <v>784.46489192919921</v>
      </c>
      <c r="S58" s="59">
        <f ca="1">AVERAGE(OFFSET($R$3,0,0,'Données projet'!$E$9+1,1))-AVERAGE(OFFSET($H$3,0,0,'Données projet'!$E$9+1,1))</f>
        <v>561.16051468364344</v>
      </c>
      <c r="T58" s="59">
        <f t="shared" si="34"/>
        <v>137.34523913145267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31.633022728683596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0</v>
      </c>
      <c r="AC58" s="22">
        <f t="shared" si="3"/>
        <v>31.633022728683596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202.08142499999997</v>
      </c>
      <c r="AK58" s="13">
        <f t="shared" si="35"/>
        <v>50.201325943605198</v>
      </c>
      <c r="AL58" s="20">
        <f t="shared" si="4"/>
        <v>439.39245789344562</v>
      </c>
      <c r="AM58" s="59">
        <f t="shared" si="5"/>
        <v>732.72579122677894</v>
      </c>
      <c r="AN58" s="59">
        <f ca="1">AVERAGE(OFFSET($AM$3,0,0,'Données projet'!$E$10+1,1))-AVERAGE(OFFSET($H$3,0,0,'Données projet'!$E$10+1,1))</f>
        <v>491.82493848755047</v>
      </c>
      <c r="AO58" s="59">
        <f t="shared" si="36"/>
        <v>119.46953275458026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28.226389511748451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28.226389511748451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>
        <f>VLOOKUP(A58,'Données projet'!$A$87:$I$107,2,0)</f>
        <v>181</v>
      </c>
      <c r="BB58" s="12">
        <f>VLOOKUP(A58,'Données projet'!$A$87:$I$107,9,0)</f>
        <v>5.2</v>
      </c>
      <c r="BC58" s="12">
        <f t="array" ref="BC58">INDEX(BB:BB,MIN(IF(ISNUMBER(BB58:BB254),ROW(BB58:BB254),"")))</f>
        <v>5.2</v>
      </c>
      <c r="BD58" s="12">
        <f>IF('Données projet'!$A$88&gt;35,BD57+BC58-BL57,IF(A58&lt;'Données projet'!$A$88,$BA$205^A58,IF(A58='Données projet'!$A$88,'Données projet'!$B$88,BD57+BC58-BL57)))</f>
        <v>180.99999999999997</v>
      </c>
      <c r="BE58" s="13">
        <f>BD58*VLOOKUP('Données projet'!$B$11,Paramètres!$A$1:$I$89,3,0)*VLOOKUP('Données projet'!$B$11,Paramètres!$A$1:$I$89,5,0)</f>
        <v>158.1216</v>
      </c>
      <c r="BF58" s="13">
        <f t="shared" si="37"/>
        <v>40.418546284954211</v>
      </c>
      <c r="BG58" s="20">
        <f t="shared" si="7"/>
        <v>345.79075477962851</v>
      </c>
      <c r="BH58" s="59">
        <f t="shared" si="8"/>
        <v>639.12408811296177</v>
      </c>
      <c r="BI58" s="59">
        <f ca="1">AVERAGE(OFFSET($BH$3,0,0,'Données projet'!$E$11+1,1))-AVERAGE(OFFSET($H$3,0,0,'Données projet'!$E$11+1,1))</f>
        <v>216.10252108537389</v>
      </c>
      <c r="BJ58" s="59">
        <f t="shared" si="38"/>
        <v>196.91968622092054</v>
      </c>
      <c r="BK58" s="15">
        <f>IF(ISNA(VLOOKUP(A58,'Données projet'!$A$87:$I$107,3,0)),0,VLOOKUP(A58,'Données projet'!$A$87:$I$107,3,0))</f>
        <v>8</v>
      </c>
      <c r="BL58" s="15">
        <f>IF(ISNA(VLOOKUP(A58,'Données projet'!$A$87:$I$107,4,0)),0,VLOOKUP(A58,'Données projet'!$A$87:$I$107,4,0))</f>
        <v>17</v>
      </c>
      <c r="BM58" s="16">
        <f>IF(ISNA(VLOOKUP(A58,'Données projet'!$A$87:$I$107,5,0)),0%,VLOOKUP(A58,'Données projet'!$A$87:$I$107,5,0)*VLOOKUP('Données projet'!$B$11,Paramètres!$A$1:$I$89,7,0))</f>
        <v>0.43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32.062133693618826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0</v>
      </c>
      <c r="BS58" s="22">
        <f t="shared" si="9"/>
        <v>32.062133693618826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>
        <f>BY58*VLOOKUP('Données projet'!$B$12,Paramètres!$A$1:$I$89,3,0)*VLOOKUP('Données projet'!$B$12,Paramètres!$A$1:$I$89,5,0)</f>
        <v>0</v>
      </c>
      <c r="CA58" s="13" t="e">
        <f t="shared" si="39"/>
        <v>#NUM!</v>
      </c>
      <c r="CB58" s="20" t="e">
        <f t="shared" si="10"/>
        <v>#NUM!</v>
      </c>
      <c r="CC58" s="59" t="e">
        <f t="shared" si="11"/>
        <v>#NUM!</v>
      </c>
      <c r="CD58" s="59">
        <f ca="1">AVERAGE(OFFSET($CC$3,0,0,'Données projet'!$E$12+1,1))-AVERAGE(OFFSET($H$3,0,0,'Données projet'!$E$12+1,1))</f>
        <v>152.85416952858094</v>
      </c>
      <c r="CE58" s="59">
        <f t="shared" si="40"/>
        <v>369.87619681979322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75.280104548056272</v>
      </c>
      <c r="CL58" s="21">
        <f>EXP(-LN(2)/25)*CL57+(1-EXP(-LN(2)/25))/(LN(2)/25)*Calculateur!CG58*Calculateur!CI58*VLOOKUP('Données projet'!$B$12,Paramètres!$A$1:$I$89,3,0)*0.475*44/12</f>
        <v>7.1886547989947509</v>
      </c>
      <c r="CM58" s="21">
        <f>EXP(-LN(2)/2)*CM57+(1-EXP(-LN(2)/2))/(LN(2)/2)*CG58*CJ58*VLOOKUP('Données projet'!$B$12,Paramètres!$A$1:$I$89,3,0)*0.475*44/12</f>
        <v>7.7619480810929733E-6</v>
      </c>
      <c r="CN58" s="22">
        <f t="shared" si="12"/>
        <v>82.468767108999103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26.207999999999998</v>
      </c>
      <c r="D59" s="11">
        <f t="shared" si="32"/>
        <v>8.2581019723450986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266.05412048827799</v>
      </c>
      <c r="H59" s="66">
        <f t="shared" si="1"/>
        <v>353.361794268501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10.118749999999999</v>
      </c>
      <c r="N59" s="13">
        <f>IF('Données projet'!$A$36&gt;35,N58+M59-V58,IF(A59&lt;'Données projet'!$A$36,$K$205^A59,IF(A59='Données projet'!$A$36,'Données projet'!$B$36,N58+M59-V58)))</f>
        <v>233.46250000000001</v>
      </c>
      <c r="O59" s="13">
        <f>N59*VLOOKUP('Données projet'!$B$9,Paramètres!$A$1:$I$89,3,0)*VLOOKUP('Données projet'!$B$9,Paramètres!$A$1:$I$89,5,0)</f>
        <v>236.73097500000003</v>
      </c>
      <c r="P59" s="13">
        <f t="shared" si="33"/>
        <v>57.735623411991014</v>
      </c>
      <c r="Q59" s="20">
        <f t="shared" si="53"/>
        <v>512.86265890088441</v>
      </c>
      <c r="R59" s="59">
        <f t="shared" si="0"/>
        <v>806.19599223421778</v>
      </c>
      <c r="S59" s="59">
        <f ca="1">AVERAGE(OFFSET($R$3,0,0,'Données projet'!$E$9+1,1))-AVERAGE(OFFSET($H$3,0,0,'Données projet'!$E$9+1,1))</f>
        <v>561.16051468364344</v>
      </c>
      <c r="T59" s="59">
        <f t="shared" si="34"/>
        <v>137.34523913145267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31.012718447212826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0</v>
      </c>
      <c r="AC59" s="22">
        <f t="shared" si="3"/>
        <v>31.012718447212826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211.23686999999998</v>
      </c>
      <c r="AK59" s="13">
        <f t="shared" si="35"/>
        <v>52.205780463272028</v>
      </c>
      <c r="AL59" s="20">
        <f t="shared" si="4"/>
        <v>458.82928289019873</v>
      </c>
      <c r="AM59" s="59">
        <f t="shared" si="5"/>
        <v>752.16261622353204</v>
      </c>
      <c r="AN59" s="59">
        <f ca="1">AVERAGE(OFFSET($AM$3,0,0,'Données projet'!$E$10+1,1))-AVERAGE(OFFSET($H$3,0,0,'Données projet'!$E$10+1,1))</f>
        <v>491.82493848755047</v>
      </c>
      <c r="AO59" s="59">
        <f t="shared" si="36"/>
        <v>119.46953275458026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27.672887229820688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27.672887229820688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5</v>
      </c>
      <c r="BD59" s="12">
        <f>IF('Données projet'!$A$88&gt;35,BD58+BC59-BL58,IF(A59&lt;'Données projet'!$A$88,$BA$205^A59,IF(A59='Données projet'!$A$88,'Données projet'!$B$88,BD58+BC59-BL58)))</f>
        <v>168.99999999999997</v>
      </c>
      <c r="BE59" s="13">
        <f>BD59*VLOOKUP('Données projet'!$B$11,Paramètres!$A$1:$I$89,3,0)*VLOOKUP('Données projet'!$B$11,Paramètres!$A$1:$I$89,5,0)</f>
        <v>147.63839999999999</v>
      </c>
      <c r="BF59" s="13">
        <f t="shared" si="37"/>
        <v>38.041408878951295</v>
      </c>
      <c r="BG59" s="20">
        <f t="shared" si="7"/>
        <v>323.39233379750681</v>
      </c>
      <c r="BH59" s="59">
        <f t="shared" si="8"/>
        <v>616.72566713084007</v>
      </c>
      <c r="BI59" s="59">
        <f ca="1">AVERAGE(OFFSET($BH$3,0,0,'Données projet'!$E$11+1,1))-AVERAGE(OFFSET($H$3,0,0,'Données projet'!$E$11+1,1))</f>
        <v>216.10252108537389</v>
      </c>
      <c r="BJ59" s="59">
        <f t="shared" si="38"/>
        <v>196.91968622092054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31.43341480785752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0</v>
      </c>
      <c r="BS59" s="22">
        <f t="shared" si="9"/>
        <v>31.43341480785752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>
        <f>BY59*VLOOKUP('Données projet'!$B$12,Paramètres!$A$1:$I$89,3,0)*VLOOKUP('Données projet'!$B$12,Paramètres!$A$1:$I$89,5,0)</f>
        <v>0</v>
      </c>
      <c r="CA59" s="13" t="e">
        <f t="shared" si="39"/>
        <v>#NUM!</v>
      </c>
      <c r="CB59" s="20" t="e">
        <f t="shared" si="10"/>
        <v>#NUM!</v>
      </c>
      <c r="CC59" s="59" t="e">
        <f t="shared" si="11"/>
        <v>#NUM!</v>
      </c>
      <c r="CD59" s="59">
        <f ca="1">AVERAGE(OFFSET($CC$3,0,0,'Données projet'!$E$12+1,1))-AVERAGE(OFFSET($H$3,0,0,'Données projet'!$E$12+1,1))</f>
        <v>152.85416952858094</v>
      </c>
      <c r="CE59" s="59">
        <f t="shared" si="40"/>
        <v>369.87619681979322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73.803907614198806</v>
      </c>
      <c r="CL59" s="21">
        <f>EXP(-LN(2)/25)*CL58+(1-EXP(-LN(2)/25))/(LN(2)/25)*Calculateur!CG59*Calculateur!CI59*VLOOKUP('Données projet'!$B$12,Paramètres!$A$1:$I$89,3,0)*0.475*44/12</f>
        <v>6.9920806554813133</v>
      </c>
      <c r="CM59" s="21">
        <f>EXP(-LN(2)/2)*CM58+(1-EXP(-LN(2)/2))/(LN(2)/2)*CG59*CJ59*VLOOKUP('Données projet'!$B$12,Paramètres!$A$1:$I$89,3,0)*0.475*44/12</f>
        <v>5.4885261233587515E-6</v>
      </c>
      <c r="CN59" s="22">
        <f t="shared" si="12"/>
        <v>80.795993758206251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26.675999999999998</v>
      </c>
      <c r="D60" s="11">
        <f t="shared" si="32"/>
        <v>8.388268495647786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270.67154628219339</v>
      </c>
      <c r="H60" s="66">
        <f t="shared" si="1"/>
        <v>354.40360096325321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10.118749999999999</v>
      </c>
      <c r="N60" s="13">
        <f>IF('Données projet'!$A$36&gt;35,N59+M60-V59,IF(A60&lt;'Données projet'!$A$36,$K$205^A60,IF(A60='Données projet'!$A$36,'Données projet'!$B$36,N59+M60-V59)))</f>
        <v>243.58125000000001</v>
      </c>
      <c r="O60" s="13">
        <f>N60*VLOOKUP('Données projet'!$B$9,Paramètres!$A$1:$I$89,3,0)*VLOOKUP('Données projet'!$B$9,Paramètres!$A$1:$I$89,5,0)</f>
        <v>246.99138750000003</v>
      </c>
      <c r="P60" s="13">
        <f t="shared" si="33"/>
        <v>59.941238497987953</v>
      </c>
      <c r="Q60" s="20">
        <f t="shared" si="53"/>
        <v>534.57432361316239</v>
      </c>
      <c r="R60" s="59">
        <f t="shared" si="0"/>
        <v>827.90765694649576</v>
      </c>
      <c r="S60" s="59">
        <f ca="1">AVERAGE(OFFSET($R$3,0,0,'Données projet'!$E$9+1,1))-AVERAGE(OFFSET($H$3,0,0,'Données projet'!$E$9+1,1))</f>
        <v>561.16051468364344</v>
      </c>
      <c r="T60" s="59">
        <f t="shared" si="34"/>
        <v>137.34523913145267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30.404577954353446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0</v>
      </c>
      <c r="AC60" s="22">
        <f t="shared" si="3"/>
        <v>30.404577954353446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220.392315</v>
      </c>
      <c r="AK60" s="13">
        <f t="shared" si="35"/>
        <v>54.200144603836982</v>
      </c>
      <c r="AL60" s="20">
        <f t="shared" si="4"/>
        <v>478.24853381001611</v>
      </c>
      <c r="AM60" s="59">
        <f t="shared" si="5"/>
        <v>771.58186714334943</v>
      </c>
      <c r="AN60" s="59">
        <f ca="1">AVERAGE(OFFSET($AM$3,0,0,'Données projet'!$E$10+1,1))-AVERAGE(OFFSET($H$3,0,0,'Données projet'!$E$10+1,1))</f>
        <v>491.82493848755047</v>
      </c>
      <c r="AO60" s="59">
        <f t="shared" si="36"/>
        <v>119.46953275458026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27.130238790038472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27.130238790038472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5</v>
      </c>
      <c r="BD60" s="12">
        <f>IF('Données projet'!$A$88&gt;35,BD59+BC60-BL59,IF(A60&lt;'Données projet'!$A$88,$BA$205^A60,IF(A60='Données projet'!$A$88,'Données projet'!$B$88,BD59+BC60-BL59)))</f>
        <v>173.99999999999997</v>
      </c>
      <c r="BE60" s="13">
        <f>BD60*VLOOKUP('Données projet'!$B$11,Paramètres!$A$1:$I$89,3,0)*VLOOKUP('Données projet'!$B$11,Paramètres!$A$1:$I$89,5,0)</f>
        <v>152.00640000000001</v>
      </c>
      <c r="BF60" s="13">
        <f t="shared" si="37"/>
        <v>39.03419401656145</v>
      </c>
      <c r="BG60" s="20">
        <f t="shared" si="7"/>
        <v>332.72903457884451</v>
      </c>
      <c r="BH60" s="59">
        <f t="shared" si="8"/>
        <v>626.06236791217782</v>
      </c>
      <c r="BI60" s="59">
        <f ca="1">AVERAGE(OFFSET($BH$3,0,0,'Données projet'!$E$11+1,1))-AVERAGE(OFFSET($H$3,0,0,'Données projet'!$E$11+1,1))</f>
        <v>216.10252108537389</v>
      </c>
      <c r="BJ60" s="59">
        <f t="shared" si="38"/>
        <v>196.91968622092054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30.817024715965342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0</v>
      </c>
      <c r="BS60" s="22">
        <f t="shared" si="9"/>
        <v>30.817024715965342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>
        <f>BY60*VLOOKUP('Données projet'!$B$12,Paramètres!$A$1:$I$89,3,0)*VLOOKUP('Données projet'!$B$12,Paramètres!$A$1:$I$89,5,0)</f>
        <v>0</v>
      </c>
      <c r="CA60" s="13" t="e">
        <f t="shared" si="39"/>
        <v>#NUM!</v>
      </c>
      <c r="CB60" s="20" t="e">
        <f t="shared" si="10"/>
        <v>#NUM!</v>
      </c>
      <c r="CC60" s="59" t="e">
        <f t="shared" si="11"/>
        <v>#NUM!</v>
      </c>
      <c r="CD60" s="59">
        <f ca="1">AVERAGE(OFFSET($CC$3,0,0,'Données projet'!$E$12+1,1))-AVERAGE(OFFSET($H$3,0,0,'Données projet'!$E$12+1,1))</f>
        <v>152.85416952858094</v>
      </c>
      <c r="CE60" s="59">
        <f t="shared" si="40"/>
        <v>369.87619681979322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72.356658001823064</v>
      </c>
      <c r="CL60" s="21">
        <f>EXP(-LN(2)/25)*CL59+(1-EXP(-LN(2)/25))/(LN(2)/25)*Calculateur!CG60*Calculateur!CI60*VLOOKUP('Données projet'!$B$12,Paramètres!$A$1:$I$89,3,0)*0.475*44/12</f>
        <v>6.8008818422596358</v>
      </c>
      <c r="CM60" s="21">
        <f>EXP(-LN(2)/2)*CM59+(1-EXP(-LN(2)/2))/(LN(2)/2)*CG60*CJ60*VLOOKUP('Données projet'!$B$12,Paramètres!$A$1:$I$89,3,0)*0.475*44/12</f>
        <v>3.8809740405464866E-6</v>
      </c>
      <c r="CN60" s="22">
        <f t="shared" si="12"/>
        <v>79.15754372505674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27.143999999999998</v>
      </c>
      <c r="D61" s="11">
        <f t="shared" si="32"/>
        <v>8.5181694620316346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275.2869221630512</v>
      </c>
      <c r="H61" s="66">
        <f t="shared" si="1"/>
        <v>355.44494514637177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>
        <f>VLOOKUP(A61,'Données projet'!$A$35:$I$55,2,0)</f>
        <v>253.7</v>
      </c>
      <c r="L61" s="12">
        <f>VLOOKUP(A61,'Données projet'!$A$35:$I$55,9,0)</f>
        <v>10.118749999999999</v>
      </c>
      <c r="M61" s="12">
        <f t="array" ref="M61">INDEX(L:L,MIN(IF(ISNUMBER(L61:L257),ROW(L61:L257),"")))</f>
        <v>10.118749999999999</v>
      </c>
      <c r="N61" s="13">
        <f>IF('Données projet'!$A$36&gt;35,N60+M61-V60,IF(A61&lt;'Données projet'!$A$36,$K$205^A61,IF(A61='Données projet'!$A$36,'Données projet'!$B$36,N60+M61-V60)))</f>
        <v>253.70000000000002</v>
      </c>
      <c r="O61" s="13">
        <f>N61*VLOOKUP('Données projet'!$B$9,Paramètres!$A$1:$I$89,3,0)*VLOOKUP('Données projet'!$B$9,Paramètres!$A$1:$I$89,5,0)</f>
        <v>257.25180000000006</v>
      </c>
      <c r="P61" s="13">
        <f t="shared" si="33"/>
        <v>62.136210975836612</v>
      </c>
      <c r="Q61" s="20">
        <f t="shared" si="53"/>
        <v>556.26745244958215</v>
      </c>
      <c r="R61" s="59">
        <f t="shared" si="0"/>
        <v>849.60078578291541</v>
      </c>
      <c r="S61" s="59">
        <f ca="1">AVERAGE(OFFSET($R$3,0,0,'Données projet'!$E$9+1,1))-AVERAGE(OFFSET($H$3,0,0,'Données projet'!$E$9+1,1))</f>
        <v>561.16051468364344</v>
      </c>
      <c r="T61" s="59">
        <f t="shared" si="34"/>
        <v>137.34523913145267</v>
      </c>
      <c r="U61" s="15">
        <f>IF(ISNA(VLOOKUP(A61,'Données projet'!$A$35:$I$55,3,0)),0,VLOOKUP(A61,'Données projet'!$A$35:$I$55,3,0))</f>
        <v>3</v>
      </c>
      <c r="V61" s="15">
        <f>IF(ISNA(VLOOKUP(A61,'Données projet'!$A$35:$I$55,4,0)),0,VLOOKUP(A61,'Données projet'!$A$35:$I$55,4,0))</f>
        <v>44.93</v>
      </c>
      <c r="W61" s="16">
        <f>IF(ISNA(VLOOKUP(A61,'Données projet'!$A$35:$I$55,5,0)),0%,VLOOKUP(A61,'Données projet'!$A$35:$I$55,5,0)*VLOOKUP('Données projet'!$B$9,Paramètres!$A$1:$I$89,7,0))</f>
        <v>0.43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51.46494599176615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0</v>
      </c>
      <c r="AC61" s="22">
        <f t="shared" si="3"/>
        <v>51.46494599176615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229.54775999999998</v>
      </c>
      <c r="AK61" s="13">
        <f t="shared" si="35"/>
        <v>56.184885471425709</v>
      </c>
      <c r="AL61" s="20">
        <f t="shared" si="4"/>
        <v>497.65102419606643</v>
      </c>
      <c r="AM61" s="59">
        <f t="shared" si="5"/>
        <v>790.98435752939974</v>
      </c>
      <c r="AN61" s="59">
        <f ca="1">AVERAGE(OFFSET($AM$3,0,0,'Données projet'!$E$10+1,1))-AVERAGE(OFFSET($H$3,0,0,'Données projet'!$E$10+1,1))</f>
        <v>491.82493848755047</v>
      </c>
      <c r="AO61" s="59">
        <f t="shared" si="36"/>
        <v>119.46953275458026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45.922567192652878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45.922567192652878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5</v>
      </c>
      <c r="BD61" s="12">
        <f>IF('Données projet'!$A$88&gt;35,BD60+BC61-BL60,IF(A61&lt;'Données projet'!$A$88,$BA$205^A61,IF(A61='Données projet'!$A$88,'Données projet'!$B$88,BD60+BC61-BL60)))</f>
        <v>178.99999999999997</v>
      </c>
      <c r="BE61" s="13">
        <f>BD61*VLOOKUP('Données projet'!$B$11,Paramètres!$A$1:$I$89,3,0)*VLOOKUP('Données projet'!$B$11,Paramètres!$A$1:$I$89,5,0)</f>
        <v>156.37440000000001</v>
      </c>
      <c r="BF61" s="13">
        <f t="shared" si="37"/>
        <v>40.023663524293205</v>
      </c>
      <c r="BG61" s="20">
        <f t="shared" si="7"/>
        <v>342.05996063814399</v>
      </c>
      <c r="BH61" s="59">
        <f t="shared" si="8"/>
        <v>635.39329397147731</v>
      </c>
      <c r="BI61" s="59">
        <f ca="1">AVERAGE(OFFSET($BH$3,0,0,'Données projet'!$E$11+1,1))-AVERAGE(OFFSET($H$3,0,0,'Données projet'!$E$11+1,1))</f>
        <v>216.10252108537389</v>
      </c>
      <c r="BJ61" s="59">
        <f t="shared" si="38"/>
        <v>196.91968622092054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30.212721657814335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0</v>
      </c>
      <c r="BS61" s="22">
        <f t="shared" si="9"/>
        <v>30.212721657814335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>
        <f>BY61*VLOOKUP('Données projet'!$B$12,Paramètres!$A$1:$I$89,3,0)*VLOOKUP('Données projet'!$B$12,Paramètres!$A$1:$I$89,5,0)</f>
        <v>0</v>
      </c>
      <c r="CA61" s="13" t="e">
        <f t="shared" si="39"/>
        <v>#NUM!</v>
      </c>
      <c r="CB61" s="20" t="e">
        <f t="shared" si="10"/>
        <v>#NUM!</v>
      </c>
      <c r="CC61" s="59" t="e">
        <f t="shared" si="11"/>
        <v>#NUM!</v>
      </c>
      <c r="CD61" s="59">
        <f ca="1">AVERAGE(OFFSET($CC$3,0,0,'Données projet'!$E$12+1,1))-AVERAGE(OFFSET($H$3,0,0,'Données projet'!$E$12+1,1))</f>
        <v>152.85416952858094</v>
      </c>
      <c r="CE61" s="59">
        <f t="shared" si="40"/>
        <v>369.87619681979322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70.937788071610896</v>
      </c>
      <c r="CL61" s="21">
        <f>EXP(-LN(2)/25)*CL60+(1-EXP(-LN(2)/25))/(LN(2)/25)*Calculateur!CG61*Calculateur!CI61*VLOOKUP('Données projet'!$B$12,Paramètres!$A$1:$I$89,3,0)*0.475*44/12</f>
        <v>6.6149113706402138</v>
      </c>
      <c r="CM61" s="21">
        <f>EXP(-LN(2)/2)*CM60+(1-EXP(-LN(2)/2))/(LN(2)/2)*CG61*CJ61*VLOOKUP('Données projet'!$B$12,Paramètres!$A$1:$I$89,3,0)*0.475*44/12</f>
        <v>2.7442630616793758E-6</v>
      </c>
      <c r="CN61" s="22">
        <f t="shared" si="12"/>
        <v>77.552702186514168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27.611999999999998</v>
      </c>
      <c r="D62" s="11">
        <f t="shared" si="32"/>
        <v>8.6478099783937541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279.90028755251325</v>
      </c>
      <c r="H62" s="66">
        <f t="shared" si="1"/>
        <v>356.48583571236912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9.75</v>
      </c>
      <c r="N62" s="13">
        <f>IF('Données projet'!$A$36&gt;35,N61+M62-V61,IF(A62&lt;'Données projet'!$A$36,$K$205^A62,IF(A62='Données projet'!$A$36,'Données projet'!$B$36,N61+M62-V61)))</f>
        <v>218.52000000000004</v>
      </c>
      <c r="O62" s="13">
        <f>N62*VLOOKUP('Données projet'!$B$9,Paramètres!$A$1:$I$89,3,0)*VLOOKUP('Données projet'!$B$9,Paramètres!$A$1:$I$89,5,0)</f>
        <v>221.57928000000007</v>
      </c>
      <c r="P62" s="13">
        <f t="shared" si="33"/>
        <v>54.457991400985541</v>
      </c>
      <c r="Q62" s="20">
        <f t="shared" si="53"/>
        <v>480.76491435671659</v>
      </c>
      <c r="R62" s="59">
        <f t="shared" si="0"/>
        <v>774.0982476900499</v>
      </c>
      <c r="S62" s="59">
        <f ca="1">AVERAGE(OFFSET($R$3,0,0,'Données projet'!$E$9+1,1))-AVERAGE(OFFSET($H$3,0,0,'Données projet'!$E$9+1,1))</f>
        <v>561.16051468364344</v>
      </c>
      <c r="T62" s="59">
        <f t="shared" si="34"/>
        <v>137.34523913145267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50.455749791385117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0</v>
      </c>
      <c r="AC62" s="22">
        <f t="shared" si="3"/>
        <v>50.455749791385117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197.71689600000005</v>
      </c>
      <c r="AK62" s="13">
        <f t="shared" si="35"/>
        <v>49.242075785054176</v>
      </c>
      <c r="AL62" s="20">
        <f t="shared" si="4"/>
        <v>430.12020919230275</v>
      </c>
      <c r="AM62" s="59">
        <f t="shared" si="5"/>
        <v>723.45354252563607</v>
      </c>
      <c r="AN62" s="59">
        <f ca="1">AVERAGE(OFFSET($AM$3,0,0,'Données projet'!$E$10+1,1))-AVERAGE(OFFSET($H$3,0,0,'Données projet'!$E$10+1,1))</f>
        <v>491.82493848755047</v>
      </c>
      <c r="AO62" s="59">
        <f t="shared" si="36"/>
        <v>119.46953275458026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45.022053660005184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45.022053660005184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5</v>
      </c>
      <c r="BD62" s="12">
        <f>IF('Données projet'!$A$88&gt;35,BD61+BC62-BL61,IF(A62&lt;'Données projet'!$A$88,$BA$205^A62,IF(A62='Données projet'!$A$88,'Données projet'!$B$88,BD61+BC62-BL61)))</f>
        <v>183.99999999999997</v>
      </c>
      <c r="BE62" s="13">
        <f>BD62*VLOOKUP('Données projet'!$B$11,Paramètres!$A$1:$I$89,3,0)*VLOOKUP('Données projet'!$B$11,Paramètres!$A$1:$I$89,5,0)</f>
        <v>160.7424</v>
      </c>
      <c r="BF62" s="13">
        <f t="shared" si="37"/>
        <v>41.009920657227809</v>
      </c>
      <c r="BG62" s="20">
        <f t="shared" si="7"/>
        <v>351.38529181133845</v>
      </c>
      <c r="BH62" s="59">
        <f t="shared" si="8"/>
        <v>644.71862514467171</v>
      </c>
      <c r="BI62" s="59">
        <f ca="1">AVERAGE(OFFSET($BH$3,0,0,'Données projet'!$E$11+1,1))-AVERAGE(OFFSET($H$3,0,0,'Données projet'!$E$11+1,1))</f>
        <v>216.10252108537389</v>
      </c>
      <c r="BJ62" s="59">
        <f t="shared" si="38"/>
        <v>196.91968622092054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29.620268614045198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0</v>
      </c>
      <c r="BS62" s="22">
        <f t="shared" si="9"/>
        <v>29.620268614045198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>
        <f>BY62*VLOOKUP('Données projet'!$B$12,Paramètres!$A$1:$I$89,3,0)*VLOOKUP('Données projet'!$B$12,Paramètres!$A$1:$I$89,5,0)</f>
        <v>0</v>
      </c>
      <c r="CA62" s="13" t="e">
        <f t="shared" si="39"/>
        <v>#NUM!</v>
      </c>
      <c r="CB62" s="20" t="e">
        <f t="shared" si="10"/>
        <v>#NUM!</v>
      </c>
      <c r="CC62" s="59" t="e">
        <f t="shared" si="11"/>
        <v>#NUM!</v>
      </c>
      <c r="CD62" s="59">
        <f ca="1">AVERAGE(OFFSET($CC$3,0,0,'Données projet'!$E$12+1,1))-AVERAGE(OFFSET($H$3,0,0,'Données projet'!$E$12+1,1))</f>
        <v>152.85416952858094</v>
      </c>
      <c r="CE62" s="59">
        <f t="shared" si="40"/>
        <v>369.87619681979322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69.546741315304999</v>
      </c>
      <c r="CL62" s="21">
        <f>EXP(-LN(2)/25)*CL61+(1-EXP(-LN(2)/25))/(LN(2)/25)*Calculateur!CG62*Calculateur!CI62*VLOOKUP('Données projet'!$B$12,Paramètres!$A$1:$I$89,3,0)*0.475*44/12</f>
        <v>6.4340262713469869</v>
      </c>
      <c r="CM62" s="21">
        <f>EXP(-LN(2)/2)*CM61+(1-EXP(-LN(2)/2))/(LN(2)/2)*CG62*CJ62*VLOOKUP('Données projet'!$B$12,Paramètres!$A$1:$I$89,3,0)*0.475*44/12</f>
        <v>1.9404870202732433E-6</v>
      </c>
      <c r="CN62" s="22">
        <f t="shared" si="12"/>
        <v>75.980769527139003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28.08</v>
      </c>
      <c r="D63" s="11">
        <f t="shared" si="32"/>
        <v>8.7771949685951878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284.51168045933133</v>
      </c>
      <c r="H63" s="66">
        <f t="shared" si="1"/>
        <v>357.52628123696991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9.75</v>
      </c>
      <c r="N63" s="13">
        <f>IF('Données projet'!$A$36&gt;35,N62+M63-V62,IF(A63&lt;'Données projet'!$A$36,$K$205^A63,IF(A63='Données projet'!$A$36,'Données projet'!$B$36,N62+M63-V62)))</f>
        <v>228.27000000000004</v>
      </c>
      <c r="O63" s="13">
        <f>N63*VLOOKUP('Données projet'!$B$9,Paramètres!$A$1:$I$89,3,0)*VLOOKUP('Données projet'!$B$9,Paramètres!$A$1:$I$89,5,0)</f>
        <v>231.46578000000002</v>
      </c>
      <c r="P63" s="13">
        <f t="shared" si="33"/>
        <v>56.599500161484286</v>
      </c>
      <c r="Q63" s="20">
        <f t="shared" si="53"/>
        <v>501.71369628125188</v>
      </c>
      <c r="R63" s="59">
        <f t="shared" si="0"/>
        <v>795.0470296145852</v>
      </c>
      <c r="S63" s="59">
        <f ca="1">AVERAGE(OFFSET($R$3,0,0,'Données projet'!$E$9+1,1))-AVERAGE(OFFSET($H$3,0,0,'Données projet'!$E$9+1,1))</f>
        <v>561.16051468364344</v>
      </c>
      <c r="T63" s="59">
        <f t="shared" si="34"/>
        <v>137.34523913145267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49.466343312944652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0</v>
      </c>
      <c r="AC63" s="22">
        <f t="shared" si="3"/>
        <v>49.466343312944652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206.53869600000002</v>
      </c>
      <c r="AK63" s="13">
        <f t="shared" si="35"/>
        <v>51.178473620632914</v>
      </c>
      <c r="AL63" s="20">
        <f t="shared" si="4"/>
        <v>448.85740375593576</v>
      </c>
      <c r="AM63" s="59">
        <f t="shared" si="5"/>
        <v>742.19073708926908</v>
      </c>
      <c r="AN63" s="59">
        <f ca="1">AVERAGE(OFFSET($AM$3,0,0,'Données projet'!$E$10+1,1))-AVERAGE(OFFSET($H$3,0,0,'Données projet'!$E$10+1,1))</f>
        <v>491.82493848755047</v>
      </c>
      <c r="AO63" s="59">
        <f t="shared" si="36"/>
        <v>119.46953275458026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44.139198648473695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44.139198648473695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189</v>
      </c>
      <c r="BB63" s="12">
        <f>VLOOKUP(A63,'Données projet'!$A$87:$I$107,9,0)</f>
        <v>5</v>
      </c>
      <c r="BC63" s="12">
        <f t="array" ref="BC63">INDEX(BB:BB,MIN(IF(ISNUMBER(BB63:BB259),ROW(BB63:BB259),"")))</f>
        <v>5</v>
      </c>
      <c r="BD63" s="12">
        <f>IF('Données projet'!$A$88&gt;35,BD62+BC63-BL62,IF(A63&lt;'Données projet'!$A$88,$BA$205^A63,IF(A63='Données projet'!$A$88,'Données projet'!$B$88,BD62+BC63-BL62)))</f>
        <v>188.99999999999997</v>
      </c>
      <c r="BE63" s="13">
        <f>BD63*VLOOKUP('Données projet'!$B$11,Paramètres!$A$1:$I$89,3,0)*VLOOKUP('Données projet'!$B$11,Paramètres!$A$1:$I$89,5,0)</f>
        <v>165.1104</v>
      </c>
      <c r="BF63" s="13">
        <f t="shared" si="37"/>
        <v>41.993062739333446</v>
      </c>
      <c r="BG63" s="20">
        <f t="shared" si="7"/>
        <v>360.70519760433905</v>
      </c>
      <c r="BH63" s="59">
        <f t="shared" si="8"/>
        <v>654.03853093767236</v>
      </c>
      <c r="BI63" s="59">
        <f ca="1">AVERAGE(OFFSET($BH$3,0,0,'Données projet'!$E$11+1,1))-AVERAGE(OFFSET($H$3,0,0,'Données projet'!$E$11+1,1))</f>
        <v>216.10252108537389</v>
      </c>
      <c r="BJ63" s="59">
        <f t="shared" si="38"/>
        <v>196.91968622092054</v>
      </c>
      <c r="BK63" s="15">
        <f>IF(ISNA(VLOOKUP(A63,'Données projet'!$A$87:$I$107,3,0)),0,VLOOKUP(A63,'Données projet'!$A$87:$I$107,3,0))</f>
        <v>9</v>
      </c>
      <c r="BL63" s="15">
        <f>IF(ISNA(VLOOKUP(A63,'Données projet'!$A$87:$I$107,4,0)),0,VLOOKUP(A63,'Données projet'!$A$87:$I$107,4,0))</f>
        <v>16</v>
      </c>
      <c r="BM63" s="16">
        <f>IF(ISNA(VLOOKUP(A63,'Données projet'!$A$87:$I$107,5,0)),0%,VLOOKUP(A63,'Données projet'!$A$87:$I$107,5,0)*VLOOKUP('Données projet'!$B$11,Paramètres!$A$1:$I$89,7,0))</f>
        <v>0.43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35.6837170071964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0</v>
      </c>
      <c r="BS63" s="22">
        <f t="shared" si="9"/>
        <v>35.6837170071964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>
        <f>BY63*VLOOKUP('Données projet'!$B$12,Paramètres!$A$1:$I$89,3,0)*VLOOKUP('Données projet'!$B$12,Paramètres!$A$1:$I$89,5,0)</f>
        <v>0</v>
      </c>
      <c r="CA63" s="13" t="e">
        <f t="shared" si="39"/>
        <v>#NUM!</v>
      </c>
      <c r="CB63" s="20" t="e">
        <f t="shared" si="10"/>
        <v>#NUM!</v>
      </c>
      <c r="CC63" s="59" t="e">
        <f t="shared" si="11"/>
        <v>#NUM!</v>
      </c>
      <c r="CD63" s="59">
        <f ca="1">AVERAGE(OFFSET($CC$3,0,0,'Données projet'!$E$12+1,1))-AVERAGE(OFFSET($H$3,0,0,'Données projet'!$E$12+1,1))</f>
        <v>152.85416952858094</v>
      </c>
      <c r="CE63" s="59">
        <f t="shared" si="40"/>
        <v>369.87619681979322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68.182972137435513</v>
      </c>
      <c r="CL63" s="21">
        <f>EXP(-LN(2)/25)*CL62+(1-EXP(-LN(2)/25))/(LN(2)/25)*Calculateur!CG63*Calculateur!CI63*VLOOKUP('Données projet'!$B$12,Paramètres!$A$1:$I$89,3,0)*0.475*44/12</f>
        <v>6.2580874846062668</v>
      </c>
      <c r="CM63" s="21">
        <f>EXP(-LN(2)/2)*CM62+(1-EXP(-LN(2)/2))/(LN(2)/2)*CG63*CJ63*VLOOKUP('Données projet'!$B$12,Paramètres!$A$1:$I$89,3,0)*0.475*44/12</f>
        <v>1.3721315308396879E-6</v>
      </c>
      <c r="CN63" s="22">
        <f t="shared" si="12"/>
        <v>74.441060994173313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28.547999999999998</v>
      </c>
      <c r="D64" s="11">
        <f t="shared" si="32"/>
        <v>8.9063291829603237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289.1211375526762</v>
      </c>
      <c r="H64" s="66">
        <f t="shared" si="1"/>
        <v>358.56628999365586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9.75</v>
      </c>
      <c r="N64" s="13">
        <f>IF('Données projet'!$A$36&gt;35,N63+M64-V63,IF(A64&lt;'Données projet'!$A$36,$K$205^A64,IF(A64='Données projet'!$A$36,'Données projet'!$B$36,N63+M64-V63)))</f>
        <v>238.02000000000004</v>
      </c>
      <c r="O64" s="13">
        <f>N64*VLOOKUP('Données projet'!$B$9,Paramètres!$A$1:$I$89,3,0)*VLOOKUP('Données projet'!$B$9,Paramètres!$A$1:$I$89,5,0)</f>
        <v>241.35228000000004</v>
      </c>
      <c r="P64" s="13">
        <f t="shared" si="33"/>
        <v>58.73038490066056</v>
      </c>
      <c r="Q64" s="20">
        <f t="shared" si="53"/>
        <v>522.64397470198389</v>
      </c>
      <c r="R64" s="59">
        <f t="shared" si="0"/>
        <v>815.97730803531726</v>
      </c>
      <c r="S64" s="59">
        <f ca="1">AVERAGE(OFFSET($R$3,0,0,'Données projet'!$E$9+1,1))-AVERAGE(OFFSET($H$3,0,0,'Données projet'!$E$9+1,1))</f>
        <v>561.16051468364344</v>
      </c>
      <c r="T64" s="59">
        <f t="shared" si="34"/>
        <v>137.34523913145267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48.496338492068041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0</v>
      </c>
      <c r="AC64" s="22">
        <f t="shared" si="3"/>
        <v>48.496338492068041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215.36049600000001</v>
      </c>
      <c r="AK64" s="13">
        <f t="shared" si="35"/>
        <v>53.105264989839284</v>
      </c>
      <c r="AL64" s="20">
        <f t="shared" si="4"/>
        <v>467.57786705730337</v>
      </c>
      <c r="AM64" s="59">
        <f t="shared" si="5"/>
        <v>760.91120039063662</v>
      </c>
      <c r="AN64" s="59">
        <f ca="1">AVERAGE(OFFSET($AM$3,0,0,'Données projet'!$E$10+1,1))-AVERAGE(OFFSET($H$3,0,0,'Données projet'!$E$10+1,1))</f>
        <v>491.82493848755047</v>
      </c>
      <c r="AO64" s="59">
        <f t="shared" si="36"/>
        <v>119.46953275458026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43.27365588522995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43.27365588522995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4.4000000000000004</v>
      </c>
      <c r="BD64" s="12">
        <f>IF('Données projet'!$A$88&gt;35,BD63+BC64-BL63,IF(A64&lt;'Données projet'!$A$88,$BA$205^A64,IF(A64='Données projet'!$A$88,'Données projet'!$B$88,BD63+BC64-BL63)))</f>
        <v>177.39999999999998</v>
      </c>
      <c r="BE64" s="13">
        <f>BD64*VLOOKUP('Données projet'!$B$11,Paramètres!$A$1:$I$89,3,0)*VLOOKUP('Données projet'!$B$11,Paramètres!$A$1:$I$89,5,0)</f>
        <v>154.97664</v>
      </c>
      <c r="BF64" s="13">
        <f t="shared" si="37"/>
        <v>39.707387607123913</v>
      </c>
      <c r="BG64" s="20">
        <f t="shared" si="7"/>
        <v>339.07468141574077</v>
      </c>
      <c r="BH64" s="59">
        <f t="shared" si="8"/>
        <v>632.40801474907403</v>
      </c>
      <c r="BI64" s="59">
        <f ca="1">AVERAGE(OFFSET($BH$3,0,0,'Données projet'!$E$11+1,1))-AVERAGE(OFFSET($H$3,0,0,'Données projet'!$E$11+1,1))</f>
        <v>216.10252108537389</v>
      </c>
      <c r="BJ64" s="59">
        <f t="shared" si="38"/>
        <v>196.91968622092054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34.983981081603545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0</v>
      </c>
      <c r="BS64" s="22">
        <f t="shared" si="9"/>
        <v>34.983981081603545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>
        <f>BY64*VLOOKUP('Données projet'!$B$12,Paramètres!$A$1:$I$89,3,0)*VLOOKUP('Données projet'!$B$12,Paramètres!$A$1:$I$89,5,0)</f>
        <v>0</v>
      </c>
      <c r="CA64" s="13" t="e">
        <f t="shared" si="39"/>
        <v>#NUM!</v>
      </c>
      <c r="CB64" s="20" t="e">
        <f t="shared" si="10"/>
        <v>#NUM!</v>
      </c>
      <c r="CC64" s="59" t="e">
        <f t="shared" si="11"/>
        <v>#NUM!</v>
      </c>
      <c r="CD64" s="59">
        <f ca="1">AVERAGE(OFFSET($CC$3,0,0,'Données projet'!$E$12+1,1))-AVERAGE(OFFSET($H$3,0,0,'Données projet'!$E$12+1,1))</f>
        <v>152.85416952858094</v>
      </c>
      <c r="CE64" s="59">
        <f t="shared" si="40"/>
        <v>369.87619681979322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66.845945641326978</v>
      </c>
      <c r="CL64" s="21">
        <f>EXP(-LN(2)/25)*CL63+(1-EXP(-LN(2)/25))/(LN(2)/25)*Calculateur!CG64*Calculateur!CI64*VLOOKUP('Données projet'!$B$12,Paramètres!$A$1:$I$89,3,0)*0.475*44/12</f>
        <v>6.0869597532411905</v>
      </c>
      <c r="CM64" s="21">
        <f>EXP(-LN(2)/2)*CM63+(1-EXP(-LN(2)/2))/(LN(2)/2)*CG64*CJ64*VLOOKUP('Données projet'!$B$12,Paramètres!$A$1:$I$89,3,0)*0.475*44/12</f>
        <v>9.7024351013662166E-7</v>
      </c>
      <c r="CN64" s="22">
        <f t="shared" si="12"/>
        <v>72.932906364811672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29.015999999999998</v>
      </c>
      <c r="D65" s="11">
        <f t="shared" si="32"/>
        <v>9.0352172071357693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293.72869423052168</v>
      </c>
      <c r="H65" s="66">
        <f t="shared" si="1"/>
        <v>359.60586996909478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9.75</v>
      </c>
      <c r="N65" s="13">
        <f>IF('Données projet'!$A$36&gt;35,N64+M65-V64,IF(A65&lt;'Données projet'!$A$36,$K$205^A65,IF(A65='Données projet'!$A$36,'Données projet'!$B$36,N64+M65-V64)))</f>
        <v>247.77000000000004</v>
      </c>
      <c r="O65" s="13">
        <f>N65*VLOOKUP('Données projet'!$B$9,Paramètres!$A$1:$I$89,3,0)*VLOOKUP('Données projet'!$B$9,Paramètres!$A$1:$I$89,5,0)</f>
        <v>251.23878000000005</v>
      </c>
      <c r="P65" s="13">
        <f t="shared" si="33"/>
        <v>60.851130586038913</v>
      </c>
      <c r="Q65" s="20">
        <f t="shared" si="53"/>
        <v>543.55659427068451</v>
      </c>
      <c r="R65" s="59">
        <f t="shared" si="0"/>
        <v>836.88992760401788</v>
      </c>
      <c r="S65" s="59">
        <f ca="1">AVERAGE(OFFSET($R$3,0,0,'Données projet'!$E$9+1,1))-AVERAGE(OFFSET($H$3,0,0,'Données projet'!$E$9+1,1))</f>
        <v>561.16051468364344</v>
      </c>
      <c r="T65" s="59">
        <f t="shared" si="34"/>
        <v>137.34523913145267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47.545354874084303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0</v>
      </c>
      <c r="AC65" s="22">
        <f t="shared" si="3"/>
        <v>47.545354874084303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224.18229600000001</v>
      </c>
      <c r="AK65" s="13">
        <f t="shared" si="35"/>
        <v>55.022888410638771</v>
      </c>
      <c r="AL65" s="20">
        <f t="shared" si="4"/>
        <v>486.28236284852915</v>
      </c>
      <c r="AM65" s="59">
        <f t="shared" si="5"/>
        <v>779.6156961818624</v>
      </c>
      <c r="AN65" s="59">
        <f ca="1">AVERAGE(OFFSET($AM$3,0,0,'Données projet'!$E$10+1,1))-AVERAGE(OFFSET($H$3,0,0,'Données projet'!$E$10+1,1))</f>
        <v>491.82493848755047</v>
      </c>
      <c r="AO65" s="59">
        <f t="shared" si="36"/>
        <v>119.46953275458026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42.425085887644457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42.425085887644457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4.4000000000000004</v>
      </c>
      <c r="BD65" s="12">
        <f>IF('Données projet'!$A$88&gt;35,BD64+BC65-BL64,IF(A65&lt;'Données projet'!$A$88,$BA$205^A65,IF(A65='Données projet'!$A$88,'Données projet'!$B$88,BD64+BC65-BL64)))</f>
        <v>181.79999999999998</v>
      </c>
      <c r="BE65" s="13">
        <f>BD65*VLOOKUP('Données projet'!$B$11,Paramètres!$A$1:$I$89,3,0)*VLOOKUP('Données projet'!$B$11,Paramètres!$A$1:$I$89,5,0)</f>
        <v>158.82048</v>
      </c>
      <c r="BF65" s="13">
        <f t="shared" si="37"/>
        <v>40.57635691759311</v>
      </c>
      <c r="BG65" s="20">
        <f t="shared" si="7"/>
        <v>347.28282429814129</v>
      </c>
      <c r="BH65" s="59">
        <f t="shared" si="8"/>
        <v>640.61615763147461</v>
      </c>
      <c r="BI65" s="59">
        <f ca="1">AVERAGE(OFFSET($BH$3,0,0,'Données projet'!$E$11+1,1))-AVERAGE(OFFSET($H$3,0,0,'Données projet'!$E$11+1,1))</f>
        <v>216.10252108537389</v>
      </c>
      <c r="BJ65" s="59">
        <f t="shared" si="38"/>
        <v>196.91968622092054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34.297966550714797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0</v>
      </c>
      <c r="BS65" s="22">
        <f t="shared" si="9"/>
        <v>34.297966550714797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>
        <f>BY65*VLOOKUP('Données projet'!$B$12,Paramètres!$A$1:$I$89,3,0)*VLOOKUP('Données projet'!$B$12,Paramètres!$A$1:$I$89,5,0)</f>
        <v>0</v>
      </c>
      <c r="CA65" s="13" t="e">
        <f t="shared" si="39"/>
        <v>#NUM!</v>
      </c>
      <c r="CB65" s="20" t="e">
        <f t="shared" si="10"/>
        <v>#NUM!</v>
      </c>
      <c r="CC65" s="59" t="e">
        <f t="shared" si="11"/>
        <v>#NUM!</v>
      </c>
      <c r="CD65" s="59">
        <f ca="1">AVERAGE(OFFSET($CC$3,0,0,'Données projet'!$E$12+1,1))-AVERAGE(OFFSET($H$3,0,0,'Données projet'!$E$12+1,1))</f>
        <v>152.85416952858094</v>
      </c>
      <c r="CE65" s="59">
        <f t="shared" si="40"/>
        <v>369.87619681979322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65.535137419301492</v>
      </c>
      <c r="CL65" s="21">
        <f>EXP(-LN(2)/25)*CL64+(1-EXP(-LN(2)/25))/(LN(2)/25)*Calculateur!CG65*Calculateur!CI65*VLOOKUP('Données projet'!$B$12,Paramètres!$A$1:$I$89,3,0)*0.475*44/12</f>
        <v>5.9205115186895085</v>
      </c>
      <c r="CM65" s="21">
        <f>EXP(-LN(2)/2)*CM64+(1-EXP(-LN(2)/2))/(LN(2)/2)*CG65*CJ65*VLOOKUP('Données projet'!$B$12,Paramètres!$A$1:$I$89,3,0)*0.475*44/12</f>
        <v>6.8606576541984394E-7</v>
      </c>
      <c r="CN65" s="22">
        <f t="shared" si="12"/>
        <v>71.455649624056761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29.483999999999998</v>
      </c>
      <c r="D66" s="11">
        <f t="shared" si="32"/>
        <v>9.1638634703614379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298.33438468349181</v>
      </c>
      <c r="H66" s="66">
        <f t="shared" si="1"/>
        <v>360.64502887754617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9.75</v>
      </c>
      <c r="N66" s="13">
        <f>IF('Données projet'!$A$36&gt;35,N65+M66-V65,IF(A66&lt;'Données projet'!$A$36,$K$205^A66,IF(A66='Données projet'!$A$36,'Données projet'!$B$36,N65+M66-V65)))</f>
        <v>257.52000000000004</v>
      </c>
      <c r="O66" s="13">
        <f>N66*VLOOKUP('Données projet'!$B$9,Paramètres!$A$1:$I$89,3,0)*VLOOKUP('Données projet'!$B$9,Paramètres!$A$1:$I$89,5,0)</f>
        <v>261.12528000000009</v>
      </c>
      <c r="P66" s="13">
        <f t="shared" si="33"/>
        <v>62.962181856353716</v>
      </c>
      <c r="Q66" s="20">
        <f t="shared" si="53"/>
        <v>564.45232939981622</v>
      </c>
      <c r="R66" s="59">
        <f t="shared" si="0"/>
        <v>857.78566273314959</v>
      </c>
      <c r="S66" s="59">
        <f ca="1">AVERAGE(OFFSET($R$3,0,0,'Données projet'!$E$9+1,1))-AVERAGE(OFFSET($H$3,0,0,'Données projet'!$E$9+1,1))</f>
        <v>561.16051468364344</v>
      </c>
      <c r="T66" s="59">
        <f t="shared" si="34"/>
        <v>137.34523913145267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46.613019464806491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0</v>
      </c>
      <c r="AC66" s="22">
        <f t="shared" si="3"/>
        <v>46.613019464806491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233.00409600000003</v>
      </c>
      <c r="AK66" s="13">
        <f t="shared" si="35"/>
        <v>56.931745934845914</v>
      </c>
      <c r="AL66" s="20">
        <f t="shared" si="4"/>
        <v>504.9715913698567</v>
      </c>
      <c r="AM66" s="59">
        <f t="shared" si="5"/>
        <v>798.30492470318995</v>
      </c>
      <c r="AN66" s="59">
        <f ca="1">AVERAGE(OFFSET($AM$3,0,0,'Données projet'!$E$10+1,1))-AVERAGE(OFFSET($H$3,0,0,'Données projet'!$E$10+1,1))</f>
        <v>491.82493848755047</v>
      </c>
      <c r="AO66" s="59">
        <f t="shared" si="36"/>
        <v>119.46953275458026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41.593155830135025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41.593155830135025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4.4000000000000004</v>
      </c>
      <c r="BD66" s="12">
        <f>IF('Données projet'!$A$88&gt;35,BD65+BC66-BL65,IF(A66&lt;'Données projet'!$A$88,$BA$205^A66,IF(A66='Données projet'!$A$88,'Données projet'!$B$88,BD65+BC66-BL65)))</f>
        <v>186.2</v>
      </c>
      <c r="BE66" s="13">
        <f>BD66*VLOOKUP('Données projet'!$B$11,Paramètres!$A$1:$I$89,3,0)*VLOOKUP('Données projet'!$B$11,Paramètres!$A$1:$I$89,5,0)</f>
        <v>162.66432</v>
      </c>
      <c r="BF66" s="13">
        <f t="shared" si="37"/>
        <v>41.442881393745317</v>
      </c>
      <c r="BG66" s="20">
        <f t="shared" si="7"/>
        <v>355.4867090941064</v>
      </c>
      <c r="BH66" s="59">
        <f t="shared" si="8"/>
        <v>648.82004242743972</v>
      </c>
      <c r="BI66" s="59">
        <f ca="1">AVERAGE(OFFSET($BH$3,0,0,'Données projet'!$E$11+1,1))-AVERAGE(OFFSET($H$3,0,0,'Données projet'!$E$11+1,1))</f>
        <v>216.10252108537389</v>
      </c>
      <c r="BJ66" s="59">
        <f t="shared" si="38"/>
        <v>196.91968622092054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33.625404346349228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0</v>
      </c>
      <c r="BS66" s="22">
        <f t="shared" si="9"/>
        <v>33.625404346349228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>
        <f>BY66*VLOOKUP('Données projet'!$B$12,Paramètres!$A$1:$I$89,3,0)*VLOOKUP('Données projet'!$B$12,Paramètres!$A$1:$I$89,5,0)</f>
        <v>0</v>
      </c>
      <c r="CA66" s="13" t="e">
        <f t="shared" si="39"/>
        <v>#NUM!</v>
      </c>
      <c r="CB66" s="20" t="e">
        <f t="shared" si="10"/>
        <v>#NUM!</v>
      </c>
      <c r="CC66" s="59" t="e">
        <f t="shared" si="11"/>
        <v>#NUM!</v>
      </c>
      <c r="CD66" s="59">
        <f ca="1">AVERAGE(OFFSET($CC$3,0,0,'Données projet'!$E$12+1,1))-AVERAGE(OFFSET($H$3,0,0,'Données projet'!$E$12+1,1))</f>
        <v>152.85416952858094</v>
      </c>
      <c r="CE66" s="59">
        <f t="shared" si="40"/>
        <v>369.87619681979322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64.250033346995863</v>
      </c>
      <c r="CL66" s="21">
        <f>EXP(-LN(2)/25)*CL65+(1-EXP(-LN(2)/25))/(LN(2)/25)*Calculateur!CG66*Calculateur!CI66*VLOOKUP('Données projet'!$B$12,Paramètres!$A$1:$I$89,3,0)*0.475*44/12</f>
        <v>5.7586148198647749</v>
      </c>
      <c r="CM66" s="21">
        <f>EXP(-LN(2)/2)*CM65+(1-EXP(-LN(2)/2))/(LN(2)/2)*CG66*CJ66*VLOOKUP('Données projet'!$B$12,Paramètres!$A$1:$I$89,3,0)*0.475*44/12</f>
        <v>4.8512175506831083E-7</v>
      </c>
      <c r="CN66" s="22">
        <f t="shared" si="12"/>
        <v>70.008648651982398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29.951999999999998</v>
      </c>
      <c r="D67" s="11">
        <f t="shared" si="32"/>
        <v>9.2922722532016273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302.93824195453891</v>
      </c>
      <c r="H67" s="66">
        <f t="shared" si="1"/>
        <v>361.68377417432612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9.75</v>
      </c>
      <c r="N67" s="13">
        <f>IF('Données projet'!$A$36&gt;35,N66+M67-V66,IF(A67&lt;'Données projet'!$A$36,$K$205^A67,IF(A67='Données projet'!$A$36,'Données projet'!$B$36,N66+M67-V66)))</f>
        <v>267.27000000000004</v>
      </c>
      <c r="O67" s="13">
        <f>N67*VLOOKUP('Données projet'!$B$9,Paramètres!$A$1:$I$89,3,0)*VLOOKUP('Données projet'!$B$9,Paramètres!$A$1:$I$89,5,0)</f>
        <v>271.01178000000004</v>
      </c>
      <c r="P67" s="13">
        <f t="shared" si="33"/>
        <v>65.063947774167801</v>
      </c>
      <c r="Q67" s="20">
        <f t="shared" ref="Q67:Q98" si="54">(O67+P67)*0.475*44/12</f>
        <v>585.33189254000888</v>
      </c>
      <c r="R67" s="59">
        <f t="shared" ref="R67:R130" si="55">Q67+(I67+J67)*44/12</f>
        <v>878.66522587334225</v>
      </c>
      <c r="S67" s="59">
        <f ca="1">AVERAGE(OFFSET($R$3,0,0,'Données projet'!$E$9+1,1))-AVERAGE(OFFSET($H$3,0,0,'Données projet'!$E$9+1,1))</f>
        <v>561.16051468364344</v>
      </c>
      <c r="T67" s="59">
        <f t="shared" si="34"/>
        <v>137.34523913145267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45.698966584236167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0</v>
      </c>
      <c r="AC67" s="22">
        <f t="shared" si="3"/>
        <v>45.698966584236167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241.82589600000003</v>
      </c>
      <c r="AK67" s="13">
        <f t="shared" si="35"/>
        <v>58.832207445542991</v>
      </c>
      <c r="AL67" s="20">
        <f t="shared" si="4"/>
        <v>523.64619683432079</v>
      </c>
      <c r="AM67" s="59">
        <f t="shared" si="5"/>
        <v>816.97953016765405</v>
      </c>
      <c r="AN67" s="59">
        <f ca="1">AVERAGE(OFFSET($AM$3,0,0,'Données projet'!$E$10+1,1))-AVERAGE(OFFSET($H$3,0,0,'Données projet'!$E$10+1,1))</f>
        <v>491.82493848755047</v>
      </c>
      <c r="AO67" s="59">
        <f t="shared" si="36"/>
        <v>119.46953275458026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40.777539413626123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40.777539413626123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4.4000000000000004</v>
      </c>
      <c r="BD67" s="12">
        <f>IF('Données projet'!$A$88&gt;35,BD66+BC67-BL66,IF(A67&lt;'Données projet'!$A$88,$BA$205^A67,IF(A67='Données projet'!$A$88,'Données projet'!$B$88,BD66+BC67-BL66)))</f>
        <v>190.6</v>
      </c>
      <c r="BE67" s="13">
        <f>BD67*VLOOKUP('Données projet'!$B$11,Paramètres!$A$1:$I$89,3,0)*VLOOKUP('Données projet'!$B$11,Paramètres!$A$1:$I$89,5,0)</f>
        <v>166.50816</v>
      </c>
      <c r="BF67" s="13">
        <f t="shared" si="37"/>
        <v>42.307025456487715</v>
      </c>
      <c r="BG67" s="20">
        <f t="shared" si="7"/>
        <v>363.68644800338274</v>
      </c>
      <c r="BH67" s="59">
        <f t="shared" si="8"/>
        <v>657.01978133671605</v>
      </c>
      <c r="BI67" s="59">
        <f ca="1">AVERAGE(OFFSET($BH$3,0,0,'Données projet'!$E$11+1,1))-AVERAGE(OFFSET($H$3,0,0,'Données projet'!$E$11+1,1))</f>
        <v>216.10252108537389</v>
      </c>
      <c r="BJ67" s="59">
        <f t="shared" si="38"/>
        <v>196.91968622092054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32.966030676588829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0</v>
      </c>
      <c r="BS67" s="22">
        <f t="shared" si="9"/>
        <v>32.966030676588829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>
        <f>BY67*VLOOKUP('Données projet'!$B$12,Paramètres!$A$1:$I$89,3,0)*VLOOKUP('Données projet'!$B$12,Paramètres!$A$1:$I$89,5,0)</f>
        <v>0</v>
      </c>
      <c r="CA67" s="13" t="e">
        <f t="shared" si="39"/>
        <v>#NUM!</v>
      </c>
      <c r="CB67" s="20" t="e">
        <f t="shared" si="10"/>
        <v>#NUM!</v>
      </c>
      <c r="CC67" s="59" t="e">
        <f t="shared" si="11"/>
        <v>#NUM!</v>
      </c>
      <c r="CD67" s="59">
        <f ca="1">AVERAGE(OFFSET($CC$3,0,0,'Données projet'!$E$12+1,1))-AVERAGE(OFFSET($H$3,0,0,'Données projet'!$E$12+1,1))</f>
        <v>152.85416952858094</v>
      </c>
      <c r="CE67" s="59">
        <f t="shared" si="40"/>
        <v>369.87619681979322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62.990129381712059</v>
      </c>
      <c r="CL67" s="21">
        <f>EXP(-LN(2)/25)*CL66+(1-EXP(-LN(2)/25))/(LN(2)/25)*Calculateur!CG67*Calculateur!CI67*VLOOKUP('Données projet'!$B$12,Paramètres!$A$1:$I$89,3,0)*0.475*44/12</f>
        <v>5.6011451947831805</v>
      </c>
      <c r="CM67" s="21">
        <f>EXP(-LN(2)/2)*CM66+(1-EXP(-LN(2)/2))/(LN(2)/2)*CG67*CJ67*VLOOKUP('Données projet'!$B$12,Paramètres!$A$1:$I$89,3,0)*0.475*44/12</f>
        <v>3.4303288270992197E-7</v>
      </c>
      <c r="CN67" s="22">
        <f t="shared" si="12"/>
        <v>68.591274919528118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30.419999999999998</v>
      </c>
      <c r="D68" s="11">
        <f t="shared" si="32"/>
        <v>9.4204476947792024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307.54029799478684</v>
      </c>
      <c r="H68" s="66">
        <f t="shared" ref="H68:H131" si="56">(B68+E68+F68)*44/12+(C68+D68)*0.475*44/12</f>
        <v>362.72211306840711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9.75</v>
      </c>
      <c r="N68" s="13">
        <f>IF('Données projet'!$A$36&gt;35,N67+M68-V67,IF(A68&lt;'Données projet'!$A$36,$K$205^A68,IF(A68='Données projet'!$A$36,'Données projet'!$B$36,N67+M68-V67)))</f>
        <v>277.02000000000004</v>
      </c>
      <c r="O68" s="13">
        <f>N68*VLOOKUP('Données projet'!$B$9,Paramètres!$A$1:$I$89,3,0)*VLOOKUP('Données projet'!$B$9,Paramètres!$A$1:$I$89,5,0)</f>
        <v>280.89828000000006</v>
      </c>
      <c r="P68" s="13">
        <f t="shared" si="33"/>
        <v>67.156805865497589</v>
      </c>
      <c r="Q68" s="20">
        <f t="shared" si="54"/>
        <v>606.19594121574175</v>
      </c>
      <c r="R68" s="59">
        <f t="shared" si="55"/>
        <v>899.52927454907513</v>
      </c>
      <c r="S68" s="59">
        <f ca="1">AVERAGE(OFFSET($R$3,0,0,'Données projet'!$E$9+1,1))-AVERAGE(OFFSET($H$3,0,0,'Données projet'!$E$9+1,1))</f>
        <v>561.16051468364344</v>
      </c>
      <c r="T68" s="59">
        <f t="shared" si="34"/>
        <v>137.34523913145267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44.802837723136619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44.802837723136619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250.64769600000002</v>
      </c>
      <c r="AK68" s="13">
        <f t="shared" si="35"/>
        <v>60.724614309795427</v>
      </c>
      <c r="AL68" s="20">
        <f t="shared" ref="AL68:AL131" si="58">(AJ68+AK68)*0.475*44/12</f>
        <v>542.30677378956045</v>
      </c>
      <c r="AM68" s="59">
        <f t="shared" ref="AM68:AM131" si="59">AL68+(AD68+AE68)*44/12</f>
        <v>835.64010712289382</v>
      </c>
      <c r="AN68" s="59">
        <f ca="1">AVERAGE(OFFSET($AM$3,0,0,'Données projet'!$E$10+1,1))-AVERAGE(OFFSET($H$3,0,0,'Données projet'!$E$10+1,1))</f>
        <v>491.82493848755047</v>
      </c>
      <c r="AO68" s="59">
        <f t="shared" si="36"/>
        <v>119.46953275458026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39.977916737568066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39.977916737568066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>
        <f>VLOOKUP(A68,'Données projet'!$A$87:$I$107,2,0)</f>
        <v>195</v>
      </c>
      <c r="BB68" s="12">
        <f>VLOOKUP(A68,'Données projet'!$A$87:$I$107,9,0)</f>
        <v>4.4000000000000004</v>
      </c>
      <c r="BC68" s="12">
        <f t="array" ref="BC68">INDEX(BB:BB,MIN(IF(ISNUMBER(BB68:BB264),ROW(BB68:BB264),"")))</f>
        <v>4.4000000000000004</v>
      </c>
      <c r="BD68" s="12">
        <f>IF('Données projet'!$A$88&gt;35,BD67+BC68-BL67,IF(A68&lt;'Données projet'!$A$88,$BA$205^A68,IF(A68='Données projet'!$A$88,'Données projet'!$B$88,BD67+BC68-BL67)))</f>
        <v>195</v>
      </c>
      <c r="BE68" s="13">
        <f>BD68*VLOOKUP('Données projet'!$B$11,Paramètres!$A$1:$I$89,3,0)*VLOOKUP('Données projet'!$B$11,Paramètres!$A$1:$I$89,5,0)</f>
        <v>170.35200000000003</v>
      </c>
      <c r="BF68" s="13">
        <f t="shared" si="37"/>
        <v>43.168850382694487</v>
      </c>
      <c r="BG68" s="20">
        <f t="shared" ref="BG68:BG131" si="61">(BE68+BF68)*0.475*44/12</f>
        <v>371.88214774985954</v>
      </c>
      <c r="BH68" s="59">
        <f t="shared" ref="BH68:BH131" si="62">BG68+(AY68+AZ68)*44/12</f>
        <v>665.2154810831928</v>
      </c>
      <c r="BI68" s="59">
        <f ca="1">AVERAGE(OFFSET($BH$3,0,0,'Données projet'!$E$11+1,1))-AVERAGE(OFFSET($H$3,0,0,'Données projet'!$E$11+1,1))</f>
        <v>216.10252108537389</v>
      </c>
      <c r="BJ68" s="59">
        <f t="shared" si="38"/>
        <v>196.91968622092054</v>
      </c>
      <c r="BK68" s="15">
        <f>IF(ISNA(VLOOKUP(A68,'Données projet'!$A$87:$I$107,3,0)),0,VLOOKUP(A68,'Données projet'!$A$87:$I$107,3,0))</f>
        <v>10</v>
      </c>
      <c r="BL68" s="15">
        <f>IF(ISNA(VLOOKUP(A68,'Données projet'!$A$87:$I$107,4,0)),0,VLOOKUP(A68,'Données projet'!$A$87:$I$107,4,0))</f>
        <v>15</v>
      </c>
      <c r="BM68" s="16">
        <f>IF(ISNA(VLOOKUP(A68,'Données projet'!$A$87:$I$107,5,0)),0%,VLOOKUP(A68,'Données projet'!$A$87:$I$107,5,0)*VLOOKUP('Données projet'!$B$11,Paramètres!$A$1:$I$89,7,0))</f>
        <v>0.43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38.548602979276112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0</v>
      </c>
      <c r="BS68" s="22">
        <f t="shared" ref="BS68:BS131" si="63">SUM(BP68:BR68)</f>
        <v>38.548602979276112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>
        <f>BY68*VLOOKUP('Données projet'!$B$12,Paramètres!$A$1:$I$89,3,0)*VLOOKUP('Données projet'!$B$12,Paramètres!$A$1:$I$89,5,0)</f>
        <v>0</v>
      </c>
      <c r="CA68" s="13" t="e">
        <f t="shared" si="39"/>
        <v>#NUM!</v>
      </c>
      <c r="CB68" s="20" t="e">
        <f t="shared" ref="CB68:CB131" si="64">(BZ68+CA68)*0.475*44/12</f>
        <v>#NUM!</v>
      </c>
      <c r="CC68" s="59" t="e">
        <f t="shared" ref="CC68:CC131" si="65">CB68+(BT68+BU68)*44/12</f>
        <v>#NUM!</v>
      </c>
      <c r="CD68" s="59">
        <f ca="1">AVERAGE(OFFSET($CC$3,0,0,'Données projet'!$E$12+1,1))-AVERAGE(OFFSET($H$3,0,0,'Données projet'!$E$12+1,1))</f>
        <v>152.85416952858094</v>
      </c>
      <c r="CE68" s="59">
        <f t="shared" si="40"/>
        <v>369.87619681979322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61.754931364721934</v>
      </c>
      <c r="CL68" s="21">
        <f>EXP(-LN(2)/25)*CL67+(1-EXP(-LN(2)/25))/(LN(2)/25)*Calculateur!CG68*Calculateur!CI68*VLOOKUP('Données projet'!$B$12,Paramètres!$A$1:$I$89,3,0)*0.475*44/12</f>
        <v>5.4479815848804103</v>
      </c>
      <c r="CM68" s="21">
        <f>EXP(-LN(2)/2)*CM67+(1-EXP(-LN(2)/2))/(LN(2)/2)*CG68*CJ68*VLOOKUP('Données projet'!$B$12,Paramètres!$A$1:$I$89,3,0)*0.475*44/12</f>
        <v>2.4256087753415542E-7</v>
      </c>
      <c r="CN68" s="22">
        <f t="shared" ref="CN68:CN131" si="66">SUM(CK68:CM68)</f>
        <v>67.202913192163223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30.887999999999998</v>
      </c>
      <c r="D69" s="11">
        <f t="shared" ref="D69:D132" si="86">IFERROR(EXP(-1.0587+0.8836*LN(C69)+0.284),0)</f>
        <v>9.5483937995519046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312.14058371583923</v>
      </c>
      <c r="H69" s="66">
        <f t="shared" si="56"/>
        <v>363.76005253421954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>
        <f>VLOOKUP(A69,'Données projet'!$A$35:$I$55,2,0)</f>
        <v>286.77</v>
      </c>
      <c r="L69" s="12">
        <f>VLOOKUP(A69,'Données projet'!$A$35:$I$55,9,0)</f>
        <v>9.75</v>
      </c>
      <c r="M69" s="12">
        <f t="array" ref="M69">INDEX(L:L,MIN(IF(ISNUMBER(L69:L265),ROW(L69:L265),"")))</f>
        <v>9.75</v>
      </c>
      <c r="N69" s="13">
        <f>IF('Données projet'!$A$36&gt;35,N68+M69-V68,IF(A69&lt;'Données projet'!$A$36,$K$205^A69,IF(A69='Données projet'!$A$36,'Données projet'!$B$36,N68+M69-V68)))</f>
        <v>286.77000000000004</v>
      </c>
      <c r="O69" s="13">
        <f>N69*VLOOKUP('Données projet'!$B$9,Paramètres!$A$1:$I$89,3,0)*VLOOKUP('Données projet'!$B$9,Paramètres!$A$1:$I$89,5,0)</f>
        <v>290.78478000000007</v>
      </c>
      <c r="P69" s="13">
        <f t="shared" ref="P69:P132" si="87">EXP(-1.0587+0.8836*LN(O69)+0.284)</f>
        <v>69.241105574743671</v>
      </c>
      <c r="Q69" s="20">
        <f t="shared" si="54"/>
        <v>627.0450840426787</v>
      </c>
      <c r="R69" s="59">
        <f t="shared" si="55"/>
        <v>920.37841737601207</v>
      </c>
      <c r="S69" s="59">
        <f ca="1">AVERAGE(OFFSET($R$3,0,0,'Données projet'!$E$9+1,1))-AVERAGE(OFFSET($H$3,0,0,'Données projet'!$E$9+1,1))</f>
        <v>561.16051468364344</v>
      </c>
      <c r="T69" s="59">
        <f t="shared" ref="T69:T132" si="88">$T$3</f>
        <v>137.34523913145267</v>
      </c>
      <c r="U69" s="15">
        <f>IF(ISNA(VLOOKUP(A69,'Données projet'!$A$35:$I$55,3,0)),0,VLOOKUP(A69,'Données projet'!$A$35:$I$55,3,0))</f>
        <v>4</v>
      </c>
      <c r="V69" s="15">
        <f>IF(ISNA(VLOOKUP(A69,'Données projet'!$A$35:$I$55,4,0)),0,VLOOKUP(A69,'Données projet'!$A$35:$I$55,4,0))</f>
        <v>49.91</v>
      </c>
      <c r="W69" s="16">
        <f>IF(ISNA(VLOOKUP(A69,'Données projet'!$A$35:$I$55,5,0)),0%,VLOOKUP(A69,'Données projet'!$A$35:$I$55,5,0)*VLOOKUP('Données projet'!$B$9,Paramètres!$A$1:$I$89,7,0))</f>
        <v>0.43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67.981260499076896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67.981260499076896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259.46949600000005</v>
      </c>
      <c r="AK69" s="13">
        <f t="shared" ref="AK69:AK132" si="89">EXP(-1.0587+0.8836*LN(AJ69)+0.284)</f>
        <v>62.609282502673445</v>
      </c>
      <c r="AL69" s="20">
        <f t="shared" si="58"/>
        <v>560.95387255882304</v>
      </c>
      <c r="AM69" s="59">
        <f t="shared" si="59"/>
        <v>854.28720589215641</v>
      </c>
      <c r="AN69" s="59">
        <f ca="1">AVERAGE(OFFSET($AM$3,0,0,'Données projet'!$E$10+1,1))-AVERAGE(OFFSET($H$3,0,0,'Données projet'!$E$10+1,1))</f>
        <v>491.82493848755047</v>
      </c>
      <c r="AO69" s="59">
        <f t="shared" ref="AO69:AO132" si="90">$AO$3</f>
        <v>119.46953275458026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60.660201676099391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60.660201676099391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4.2</v>
      </c>
      <c r="BD69" s="12">
        <f>IF('Données projet'!$A$88&gt;35,BD68+BC69-BL68,IF(A69&lt;'Données projet'!$A$88,$BA$205^A69,IF(A69='Données projet'!$A$88,'Données projet'!$B$88,BD68+BC69-BL68)))</f>
        <v>184.2</v>
      </c>
      <c r="BE69" s="13">
        <f>BD69*VLOOKUP('Données projet'!$B$11,Paramètres!$A$1:$I$89,3,0)*VLOOKUP('Données projet'!$B$11,Paramètres!$A$1:$I$89,5,0)</f>
        <v>160.91712000000001</v>
      </c>
      <c r="BF69" s="13">
        <f t="shared" ref="BF69:BF132" si="91">EXP(-1.0587+0.8836*LN(BE69)+0.284)</f>
        <v>41.049305520788089</v>
      </c>
      <c r="BG69" s="20">
        <f t="shared" si="61"/>
        <v>351.75819111537254</v>
      </c>
      <c r="BH69" s="59">
        <f t="shared" si="62"/>
        <v>645.09152444870585</v>
      </c>
      <c r="BI69" s="59">
        <f ca="1">AVERAGE(OFFSET($BH$3,0,0,'Données projet'!$E$11+1,1))-AVERAGE(OFFSET($H$3,0,0,'Données projet'!$E$11+1,1))</f>
        <v>216.10252108537389</v>
      </c>
      <c r="BJ69" s="59">
        <f t="shared" ref="BJ69:BJ132" si="92">$BJ$3</f>
        <v>196.91968622092054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37.792688387178679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0</v>
      </c>
      <c r="BS69" s="22">
        <f t="shared" si="63"/>
        <v>37.792688387178679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>
        <f>BY69*VLOOKUP('Données projet'!$B$12,Paramètres!$A$1:$I$89,3,0)*VLOOKUP('Données projet'!$B$12,Paramètres!$A$1:$I$89,5,0)</f>
        <v>0</v>
      </c>
      <c r="CA69" s="13" t="e">
        <f t="shared" ref="CA69:CA132" si="93">EXP(-1.0587+0.8836*LN(BZ69)+0.284)</f>
        <v>#NUM!</v>
      </c>
      <c r="CB69" s="20" t="e">
        <f t="shared" si="64"/>
        <v>#NUM!</v>
      </c>
      <c r="CC69" s="59" t="e">
        <f t="shared" si="65"/>
        <v>#NUM!</v>
      </c>
      <c r="CD69" s="59">
        <f ca="1">AVERAGE(OFFSET($CC$3,0,0,'Données projet'!$E$12+1,1))-AVERAGE(OFFSET($H$3,0,0,'Données projet'!$E$12+1,1))</f>
        <v>152.85416952858094</v>
      </c>
      <c r="CE69" s="59">
        <f t="shared" ref="CE69:CE132" si="94">$CE$3</f>
        <v>369.87619681979322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60.54395482744858</v>
      </c>
      <c r="CL69" s="21">
        <f>EXP(-LN(2)/25)*CL68+(1-EXP(-LN(2)/25))/(LN(2)/25)*Calculateur!CG69*Calculateur!CI69*VLOOKUP('Données projet'!$B$12,Paramètres!$A$1:$I$89,3,0)*0.475*44/12</f>
        <v>5.2990062419449551</v>
      </c>
      <c r="CM69" s="21">
        <f>EXP(-LN(2)/2)*CM68+(1-EXP(-LN(2)/2))/(LN(2)/2)*CG69*CJ69*VLOOKUP('Données projet'!$B$12,Paramètres!$A$1:$I$89,3,0)*0.475*44/12</f>
        <v>1.7151644135496099E-7</v>
      </c>
      <c r="CN69" s="22">
        <f t="shared" si="66"/>
        <v>65.842961240909986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31.355999999999998</v>
      </c>
      <c r="D70" s="11">
        <f t="shared" si="86"/>
        <v>9.6761144436663837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316.73912903882825</v>
      </c>
      <c r="H70" s="66">
        <f t="shared" si="56"/>
        <v>364.79759932271895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9.2624999999999993</v>
      </c>
      <c r="N70" s="13">
        <f>IF('Données projet'!$A$36&gt;35,N69+M70-V69,IF(A70&lt;'Données projet'!$A$36,$K$205^A70,IF(A70='Données projet'!$A$36,'Données projet'!$B$36,N69+M70-V69)))</f>
        <v>246.12250000000003</v>
      </c>
      <c r="O70" s="13">
        <f>N70*VLOOKUP('Données projet'!$B$9,Paramètres!$A$1:$I$89,3,0)*VLOOKUP('Données projet'!$B$9,Paramètres!$A$1:$I$89,5,0)</f>
        <v>249.56821500000004</v>
      </c>
      <c r="P70" s="13">
        <f t="shared" si="87"/>
        <v>60.493471293197871</v>
      </c>
      <c r="Q70" s="20">
        <f t="shared" si="54"/>
        <v>540.02410362731962</v>
      </c>
      <c r="R70" s="59">
        <f t="shared" si="55"/>
        <v>833.35743696065288</v>
      </c>
      <c r="S70" s="59">
        <f ca="1">AVERAGE(OFFSET($R$3,0,0,'Données projet'!$E$9+1,1))-AVERAGE(OFFSET($H$3,0,0,'Données projet'!$E$9+1,1))</f>
        <v>561.16051468364344</v>
      </c>
      <c r="T70" s="59">
        <f t="shared" si="88"/>
        <v>137.34523913145267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66.648189445164633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66.648189445164633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222.69163800000004</v>
      </c>
      <c r="AK70" s="13">
        <f t="shared" si="89"/>
        <v>54.699485259875743</v>
      </c>
      <c r="AL70" s="20">
        <f t="shared" si="58"/>
        <v>483.12287301095034</v>
      </c>
      <c r="AM70" s="59">
        <f t="shared" si="59"/>
        <v>776.4562063442836</v>
      </c>
      <c r="AN70" s="59">
        <f ca="1">AVERAGE(OFFSET($AM$3,0,0,'Données projet'!$E$10+1,1))-AVERAGE(OFFSET($H$3,0,0,'Données projet'!$E$10+1,1))</f>
        <v>491.82493848755047</v>
      </c>
      <c r="AO70" s="59">
        <f t="shared" si="90"/>
        <v>119.46953275458026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59.470692120300747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59.470692120300747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4.2</v>
      </c>
      <c r="BD70" s="12">
        <f>IF('Données projet'!$A$88&gt;35,BD69+BC70-BL69,IF(A70&lt;'Données projet'!$A$88,$BA$205^A70,IF(A70='Données projet'!$A$88,'Données projet'!$B$88,BD69+BC70-BL69)))</f>
        <v>188.39999999999998</v>
      </c>
      <c r="BE70" s="13">
        <f>BD70*VLOOKUP('Données projet'!$B$11,Paramètres!$A$1:$I$89,3,0)*VLOOKUP('Données projet'!$B$11,Paramètres!$A$1:$I$89,5,0)</f>
        <v>164.58624</v>
      </c>
      <c r="BF70" s="13">
        <f t="shared" si="91"/>
        <v>41.875247075991886</v>
      </c>
      <c r="BG70" s="20">
        <f t="shared" si="61"/>
        <v>359.58708999068585</v>
      </c>
      <c r="BH70" s="59">
        <f t="shared" si="62"/>
        <v>652.92042332401911</v>
      </c>
      <c r="BI70" s="59">
        <f ca="1">AVERAGE(OFFSET($BH$3,0,0,'Données projet'!$E$11+1,1))-AVERAGE(OFFSET($H$3,0,0,'Données projet'!$E$11+1,1))</f>
        <v>216.10252108537389</v>
      </c>
      <c r="BJ70" s="59">
        <f t="shared" si="92"/>
        <v>196.91968622092054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37.051596819169895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0</v>
      </c>
      <c r="BS70" s="22">
        <f t="shared" si="63"/>
        <v>37.051596819169895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>
        <f>BY70*VLOOKUP('Données projet'!$B$12,Paramètres!$A$1:$I$89,3,0)*VLOOKUP('Données projet'!$B$12,Paramètres!$A$1:$I$89,5,0)</f>
        <v>0</v>
      </c>
      <c r="CA70" s="13" t="e">
        <f t="shared" si="93"/>
        <v>#NUM!</v>
      </c>
      <c r="CB70" s="20" t="e">
        <f t="shared" si="64"/>
        <v>#NUM!</v>
      </c>
      <c r="CC70" s="59" t="e">
        <f t="shared" si="65"/>
        <v>#NUM!</v>
      </c>
      <c r="CD70" s="59">
        <f ca="1">AVERAGE(OFFSET($CC$3,0,0,'Données projet'!$E$12+1,1))-AVERAGE(OFFSET($H$3,0,0,'Données projet'!$E$12+1,1))</f>
        <v>152.85416952858094</v>
      </c>
      <c r="CE70" s="59">
        <f t="shared" si="94"/>
        <v>369.87619681979322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59.356724801448408</v>
      </c>
      <c r="CL70" s="21">
        <f>EXP(-LN(2)/25)*CL69+(1-EXP(-LN(2)/25))/(LN(2)/25)*Calculateur!CG70*Calculateur!CI70*VLOOKUP('Données projet'!$B$12,Paramètres!$A$1:$I$89,3,0)*0.475*44/12</f>
        <v>5.1541046375963431</v>
      </c>
      <c r="CM70" s="21">
        <f>EXP(-LN(2)/2)*CM69+(1-EXP(-LN(2)/2))/(LN(2)/2)*CG70*CJ70*VLOOKUP('Données projet'!$B$12,Paramètres!$A$1:$I$89,3,0)*0.475*44/12</f>
        <v>1.2128043876707771E-7</v>
      </c>
      <c r="CN70" s="22">
        <f t="shared" si="66"/>
        <v>64.510829560325192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31.823999999999998</v>
      </c>
      <c r="D71" s="11">
        <f t="shared" si="86"/>
        <v>9.8036133809220889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321.33596294045122</v>
      </c>
      <c r="H71" s="66">
        <f t="shared" si="56"/>
        <v>365.8347599717726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9.2624999999999993</v>
      </c>
      <c r="N71" s="13">
        <f>IF('Données projet'!$A$36&gt;35,N70+M71-V70,IF(A71&lt;'Données projet'!$A$36,$K$205^A71,IF(A71='Données projet'!$A$36,'Données projet'!$B$36,N70+M71-V70)))</f>
        <v>255.38500000000002</v>
      </c>
      <c r="O71" s="13">
        <f>N71*VLOOKUP('Données projet'!$B$9,Paramètres!$A$1:$I$89,3,0)*VLOOKUP('Données projet'!$B$9,Paramètres!$A$1:$I$89,5,0)</f>
        <v>258.96039000000002</v>
      </c>
      <c r="P71" s="13">
        <f t="shared" si="87"/>
        <v>62.500723469061533</v>
      </c>
      <c r="Q71" s="20">
        <f t="shared" si="54"/>
        <v>559.87810595861549</v>
      </c>
      <c r="R71" s="59">
        <f t="shared" si="55"/>
        <v>853.21143929194886</v>
      </c>
      <c r="S71" s="59">
        <f ca="1">AVERAGE(OFFSET($R$3,0,0,'Données projet'!$E$9+1,1))-AVERAGE(OFFSET($H$3,0,0,'Données projet'!$E$9+1,1))</f>
        <v>561.16051468364344</v>
      </c>
      <c r="T71" s="59">
        <f t="shared" si="88"/>
        <v>137.34523913145267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65.341259101526532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65.341259101526532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231.07234800000001</v>
      </c>
      <c r="AK71" s="13">
        <f t="shared" si="89"/>
        <v>56.514485431949744</v>
      </c>
      <c r="AL71" s="20">
        <f t="shared" si="58"/>
        <v>500.88040156064579</v>
      </c>
      <c r="AM71" s="59">
        <f t="shared" si="59"/>
        <v>794.21373489397911</v>
      </c>
      <c r="AN71" s="59">
        <f ca="1">AVERAGE(OFFSET($AM$3,0,0,'Données projet'!$E$10+1,1))-AVERAGE(OFFSET($H$3,0,0,'Données projet'!$E$10+1,1))</f>
        <v>491.82493848755047</v>
      </c>
      <c r="AO71" s="59">
        <f t="shared" si="90"/>
        <v>119.46953275458026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58.304508121362126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58.304508121362126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4.2</v>
      </c>
      <c r="BD71" s="12">
        <f>IF('Données projet'!$A$88&gt;35,BD70+BC71-BL70,IF(A71&lt;'Données projet'!$A$88,$BA$205^A71,IF(A71='Données projet'!$A$88,'Données projet'!$B$88,BD70+BC71-BL70)))</f>
        <v>192.59999999999997</v>
      </c>
      <c r="BE71" s="13">
        <f>BD71*VLOOKUP('Données projet'!$B$11,Paramètres!$A$1:$I$89,3,0)*VLOOKUP('Données projet'!$B$11,Paramètres!$A$1:$I$89,5,0)</f>
        <v>168.25536</v>
      </c>
      <c r="BF71" s="13">
        <f t="shared" si="91"/>
        <v>42.699047982710887</v>
      </c>
      <c r="BG71" s="20">
        <f t="shared" si="61"/>
        <v>367.41226056988808</v>
      </c>
      <c r="BH71" s="59">
        <f t="shared" si="62"/>
        <v>660.74559390322133</v>
      </c>
      <c r="BI71" s="59">
        <f ca="1">AVERAGE(OFFSET($BH$3,0,0,'Données projet'!$E$11+1,1))-AVERAGE(OFFSET($H$3,0,0,'Données projet'!$E$11+1,1))</f>
        <v>216.10252108537389</v>
      </c>
      <c r="BJ71" s="59">
        <f t="shared" si="92"/>
        <v>196.91968622092054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36.325037604788541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0</v>
      </c>
      <c r="BS71" s="22">
        <f t="shared" si="63"/>
        <v>36.325037604788541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>
        <f>BY71*VLOOKUP('Données projet'!$B$12,Paramètres!$A$1:$I$89,3,0)*VLOOKUP('Données projet'!$B$12,Paramètres!$A$1:$I$89,5,0)</f>
        <v>0</v>
      </c>
      <c r="CA71" s="13" t="e">
        <f t="shared" si="93"/>
        <v>#NUM!</v>
      </c>
      <c r="CB71" s="20" t="e">
        <f t="shared" si="64"/>
        <v>#NUM!</v>
      </c>
      <c r="CC71" s="59" t="e">
        <f t="shared" si="65"/>
        <v>#NUM!</v>
      </c>
      <c r="CD71" s="59">
        <f ca="1">AVERAGE(OFFSET($CC$3,0,0,'Données projet'!$E$12+1,1))-AVERAGE(OFFSET($H$3,0,0,'Données projet'!$E$12+1,1))</f>
        <v>152.85416952858094</v>
      </c>
      <c r="CE71" s="59">
        <f t="shared" si="94"/>
        <v>369.87619681979322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58.192775632119286</v>
      </c>
      <c r="CL71" s="21">
        <f>EXP(-LN(2)/25)*CL70+(1-EXP(-LN(2)/25))/(LN(2)/25)*Calculateur!CG71*Calculateur!CI71*VLOOKUP('Données projet'!$B$12,Paramètres!$A$1:$I$89,3,0)*0.475*44/12</f>
        <v>5.013165375238688</v>
      </c>
      <c r="CM71" s="21">
        <f>EXP(-LN(2)/2)*CM70+(1-EXP(-LN(2)/2))/(LN(2)/2)*CG71*CJ71*VLOOKUP('Données projet'!$B$12,Paramètres!$A$1:$I$89,3,0)*0.475*44/12</f>
        <v>8.5758220677480493E-8</v>
      </c>
      <c r="CN71" s="22">
        <f t="shared" si="66"/>
        <v>63.205941093116195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32.292000000000002</v>
      </c>
      <c r="D72" s="11">
        <f t="shared" si="86"/>
        <v>9.9308942483743401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325.93111349622302</v>
      </c>
      <c r="H72" s="66">
        <f t="shared" si="56"/>
        <v>366.87154081591865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9.2624999999999993</v>
      </c>
      <c r="N72" s="13">
        <f>IF('Données projet'!$A$36&gt;35,N71+M72-V71,IF(A72&lt;'Données projet'!$A$36,$K$205^A72,IF(A72='Données projet'!$A$36,'Données projet'!$B$36,N71+M72-V71)))</f>
        <v>264.64750000000004</v>
      </c>
      <c r="O72" s="13">
        <f>N72*VLOOKUP('Données projet'!$B$9,Paramètres!$A$1:$I$89,3,0)*VLOOKUP('Données projet'!$B$9,Paramètres!$A$1:$I$89,5,0)</f>
        <v>268.35256500000003</v>
      </c>
      <c r="P72" s="13">
        <f t="shared" si="87"/>
        <v>64.499517562080001</v>
      </c>
      <c r="Q72" s="20">
        <f t="shared" si="54"/>
        <v>579.71737712895595</v>
      </c>
      <c r="R72" s="59">
        <f t="shared" si="55"/>
        <v>873.05071046228932</v>
      </c>
      <c r="S72" s="59">
        <f ca="1">AVERAGE(OFFSET($R$3,0,0,'Données projet'!$E$9+1,1))-AVERAGE(OFFSET($H$3,0,0,'Données projet'!$E$9+1,1))</f>
        <v>561.16051468364344</v>
      </c>
      <c r="T72" s="59">
        <f t="shared" si="88"/>
        <v>137.34523913145267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64.059956864778371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64.059956864778371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239.45305800000003</v>
      </c>
      <c r="AK72" s="13">
        <f t="shared" si="89"/>
        <v>58.321837625357126</v>
      </c>
      <c r="AL72" s="20">
        <f t="shared" si="58"/>
        <v>518.62460988083035</v>
      </c>
      <c r="AM72" s="59">
        <f t="shared" si="59"/>
        <v>811.95794321416361</v>
      </c>
      <c r="AN72" s="59">
        <f ca="1">AVERAGE(OFFSET($AM$3,0,0,'Données projet'!$E$10+1,1))-AVERAGE(OFFSET($H$3,0,0,'Données projet'!$E$10+1,1))</f>
        <v>491.82493848755047</v>
      </c>
      <c r="AO72" s="59">
        <f t="shared" si="90"/>
        <v>119.46953275458026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57.161192279340689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57.161192279340689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4.2</v>
      </c>
      <c r="BD72" s="12">
        <f>IF('Données projet'!$A$88&gt;35,BD71+BC72-BL71,IF(A72&lt;'Données projet'!$A$88,$BA$205^A72,IF(A72='Données projet'!$A$88,'Données projet'!$B$88,BD71+BC72-BL71)))</f>
        <v>196.79999999999995</v>
      </c>
      <c r="BE72" s="13">
        <f>BD72*VLOOKUP('Données projet'!$B$11,Paramètres!$A$1:$I$89,3,0)*VLOOKUP('Données projet'!$B$11,Paramètres!$A$1:$I$89,5,0)</f>
        <v>171.92447999999999</v>
      </c>
      <c r="BF72" s="13">
        <f t="shared" si="91"/>
        <v>43.520760297647755</v>
      </c>
      <c r="BG72" s="20">
        <f t="shared" si="61"/>
        <v>375.23379351840316</v>
      </c>
      <c r="BH72" s="59">
        <f t="shared" si="62"/>
        <v>668.56712685173648</v>
      </c>
      <c r="BI72" s="59">
        <f ca="1">AVERAGE(OFFSET($BH$3,0,0,'Données projet'!$E$11+1,1))-AVERAGE(OFFSET($H$3,0,0,'Données projet'!$E$11+1,1))</f>
        <v>216.10252108537389</v>
      </c>
      <c r="BJ72" s="59">
        <f t="shared" si="92"/>
        <v>196.91968622092054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35.612725773443842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0</v>
      </c>
      <c r="BS72" s="22">
        <f t="shared" si="63"/>
        <v>35.612725773443842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>
        <f>BY72*VLOOKUP('Données projet'!$B$12,Paramètres!$A$1:$I$89,3,0)*VLOOKUP('Données projet'!$B$12,Paramètres!$A$1:$I$89,5,0)</f>
        <v>0</v>
      </c>
      <c r="CA72" s="13" t="e">
        <f t="shared" si="93"/>
        <v>#NUM!</v>
      </c>
      <c r="CB72" s="20" t="e">
        <f t="shared" si="64"/>
        <v>#NUM!</v>
      </c>
      <c r="CC72" s="59" t="e">
        <f t="shared" si="65"/>
        <v>#NUM!</v>
      </c>
      <c r="CD72" s="59">
        <f ca="1">AVERAGE(OFFSET($CC$3,0,0,'Données projet'!$E$12+1,1))-AVERAGE(OFFSET($H$3,0,0,'Données projet'!$E$12+1,1))</f>
        <v>152.85416952858094</v>
      </c>
      <c r="CE72" s="59">
        <f t="shared" si="94"/>
        <v>369.87619681979322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57.051650796061814</v>
      </c>
      <c r="CL72" s="21">
        <f>EXP(-LN(2)/25)*CL71+(1-EXP(-LN(2)/25))/(LN(2)/25)*Calculateur!CG72*Calculateur!CI72*VLOOKUP('Données projet'!$B$12,Paramètres!$A$1:$I$89,3,0)*0.475*44/12</f>
        <v>4.8760801044218764</v>
      </c>
      <c r="CM72" s="21">
        <f>EXP(-LN(2)/2)*CM71+(1-EXP(-LN(2)/2))/(LN(2)/2)*CG72*CJ72*VLOOKUP('Données projet'!$B$12,Paramètres!$A$1:$I$89,3,0)*0.475*44/12</f>
        <v>6.0640219383538854E-8</v>
      </c>
      <c r="CN72" s="22">
        <f t="shared" si="66"/>
        <v>61.927730961123906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32.760000000000005</v>
      </c>
      <c r="D73" s="11">
        <f t="shared" si="86"/>
        <v>10.057960571603429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330.52460792114931</v>
      </c>
      <c r="H73" s="66">
        <f t="shared" si="56"/>
        <v>367.9079479955426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9.2624999999999993</v>
      </c>
      <c r="N73" s="13">
        <f>IF('Données projet'!$A$36&gt;35,N72+M73-V72,IF(A73&lt;'Données projet'!$A$36,$K$205^A73,IF(A73='Données projet'!$A$36,'Données projet'!$B$36,N72+M73-V72)))</f>
        <v>273.91000000000003</v>
      </c>
      <c r="O73" s="13">
        <f>N73*VLOOKUP('Données projet'!$B$9,Paramètres!$A$1:$I$89,3,0)*VLOOKUP('Données projet'!$B$9,Paramètres!$A$1:$I$89,5,0)</f>
        <v>277.74474000000004</v>
      </c>
      <c r="P73" s="13">
        <f t="shared" si="87"/>
        <v>66.490183522246127</v>
      </c>
      <c r="Q73" s="20">
        <f t="shared" si="54"/>
        <v>599.54249180124532</v>
      </c>
      <c r="R73" s="59">
        <f t="shared" si="55"/>
        <v>892.87582513457869</v>
      </c>
      <c r="S73" s="59">
        <f ca="1">AVERAGE(OFFSET($R$3,0,0,'Données projet'!$E$9+1,1))-AVERAGE(OFFSET($H$3,0,0,'Données projet'!$E$9+1,1))</f>
        <v>561.16051468364344</v>
      </c>
      <c r="T73" s="59">
        <f t="shared" si="88"/>
        <v>137.34523913145267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62.803780183375643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62.803780183375643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247.83376800000002</v>
      </c>
      <c r="AK73" s="13">
        <f t="shared" si="89"/>
        <v>60.121840187909477</v>
      </c>
      <c r="AL73" s="20">
        <f t="shared" si="58"/>
        <v>536.3560175939424</v>
      </c>
      <c r="AM73" s="59">
        <f t="shared" si="59"/>
        <v>829.68935092727565</v>
      </c>
      <c r="AN73" s="59">
        <f ca="1">AVERAGE(OFFSET($AM$3,0,0,'Données projet'!$E$10+1,1))-AVERAGE(OFFSET($H$3,0,0,'Données projet'!$E$10+1,1))</f>
        <v>491.82493848755047</v>
      </c>
      <c r="AO73" s="59">
        <f t="shared" si="90"/>
        <v>119.46953275458026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56.040296163627488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56.040296163627488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201</v>
      </c>
      <c r="BB73" s="12">
        <f>VLOOKUP(A73,'Données projet'!$A$87:$I$107,9,0)</f>
        <v>4.2</v>
      </c>
      <c r="BC73" s="12">
        <f t="array" ref="BC73">INDEX(BB:BB,MIN(IF(ISNUMBER(BB73:BB269),ROW(BB73:BB269),"")))</f>
        <v>4.2</v>
      </c>
      <c r="BD73" s="12">
        <f>IF('Données projet'!$A$88&gt;35,BD72+BC73-BL72,IF(A73&lt;'Données projet'!$A$88,$BA$205^A73,IF(A73='Données projet'!$A$88,'Données projet'!$B$88,BD72+BC73-BL72)))</f>
        <v>200.99999999999994</v>
      </c>
      <c r="BE73" s="13">
        <f>BD73*VLOOKUP('Données projet'!$B$11,Paramètres!$A$1:$I$89,3,0)*VLOOKUP('Données projet'!$B$11,Paramètres!$A$1:$I$89,5,0)</f>
        <v>175.59359999999995</v>
      </c>
      <c r="BF73" s="13">
        <f t="shared" si="91"/>
        <v>44.340433728638573</v>
      </c>
      <c r="BG73" s="20">
        <f t="shared" si="61"/>
        <v>383.05177541071203</v>
      </c>
      <c r="BH73" s="59">
        <f t="shared" si="62"/>
        <v>676.38510874404528</v>
      </c>
      <c r="BI73" s="59">
        <f ca="1">AVERAGE(OFFSET($BH$3,0,0,'Données projet'!$E$11+1,1))-AVERAGE(OFFSET($H$3,0,0,'Données projet'!$E$11+1,1))</f>
        <v>216.10252108537389</v>
      </c>
      <c r="BJ73" s="59">
        <f t="shared" si="92"/>
        <v>196.91968622092054</v>
      </c>
      <c r="BK73" s="15">
        <f>IF(ISNA(VLOOKUP(A73,'Données projet'!$A$87:$I$107,3,0)),0,VLOOKUP(A73,'Données projet'!$A$87:$I$107,3,0))</f>
        <v>11</v>
      </c>
      <c r="BL73" s="15">
        <f>IF(ISNA(VLOOKUP(A73,'Données projet'!$A$87:$I$107,4,0)),0,VLOOKUP(A73,'Données projet'!$A$87:$I$107,4,0))</f>
        <v>14</v>
      </c>
      <c r="BM73" s="16">
        <f>IF(ISNA(VLOOKUP(A73,'Données projet'!$A$87:$I$107,5,0)),0%,VLOOKUP(A73,'Données projet'!$A$87:$I$107,5,0)*VLOOKUP('Données projet'!$B$11,Paramètres!$A$1:$I$89,7,0))</f>
        <v>0.43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40.728130262475609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0</v>
      </c>
      <c r="BS73" s="22">
        <f t="shared" si="63"/>
        <v>40.728130262475609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>
        <f>BY73*VLOOKUP('Données projet'!$B$12,Paramètres!$A$1:$I$89,3,0)*VLOOKUP('Données projet'!$B$12,Paramètres!$A$1:$I$89,5,0)</f>
        <v>0</v>
      </c>
      <c r="CA73" s="13" t="e">
        <f t="shared" si="93"/>
        <v>#NUM!</v>
      </c>
      <c r="CB73" s="20" t="e">
        <f t="shared" si="64"/>
        <v>#NUM!</v>
      </c>
      <c r="CC73" s="59" t="e">
        <f t="shared" si="65"/>
        <v>#NUM!</v>
      </c>
      <c r="CD73" s="59">
        <f ca="1">AVERAGE(OFFSET($CC$3,0,0,'Données projet'!$E$12+1,1))-AVERAGE(OFFSET($H$3,0,0,'Données projet'!$E$12+1,1))</f>
        <v>152.85416952858094</v>
      </c>
      <c r="CE73" s="59">
        <f t="shared" si="94"/>
        <v>369.87619681979322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55.932902722022007</v>
      </c>
      <c r="CL73" s="21">
        <f>EXP(-LN(2)/25)*CL72+(1-EXP(-LN(2)/25))/(LN(2)/25)*Calculateur!CG73*Calculateur!CI73*VLOOKUP('Données projet'!$B$12,Paramètres!$A$1:$I$89,3,0)*0.475*44/12</f>
        <v>4.7427434375445516</v>
      </c>
      <c r="CM73" s="21">
        <f>EXP(-LN(2)/2)*CM72+(1-EXP(-LN(2)/2))/(LN(2)/2)*CG73*CJ73*VLOOKUP('Données projet'!$B$12,Paramètres!$A$1:$I$89,3,0)*0.475*44/12</f>
        <v>4.2879110338740246E-8</v>
      </c>
      <c r="CN73" s="22">
        <f t="shared" si="66"/>
        <v>60.67564620244567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33.228000000000009</v>
      </c>
      <c r="D74" s="11">
        <f t="shared" si="86"/>
        <v>10.184815769674017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335.11647260801004</v>
      </c>
      <c r="H74" s="66">
        <f t="shared" si="56"/>
        <v>368.94398746551559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9.2624999999999993</v>
      </c>
      <c r="N74" s="13">
        <f>IF('Données projet'!$A$36&gt;35,N73+M74-V73,IF(A74&lt;'Données projet'!$A$36,$K$205^A74,IF(A74='Données projet'!$A$36,'Données projet'!$B$36,N73+M74-V73)))</f>
        <v>283.17250000000001</v>
      </c>
      <c r="O74" s="13">
        <f>N74*VLOOKUP('Données projet'!$B$9,Paramètres!$A$1:$I$89,3,0)*VLOOKUP('Données projet'!$B$9,Paramètres!$A$1:$I$89,5,0)</f>
        <v>287.13691500000004</v>
      </c>
      <c r="P74" s="13">
        <f t="shared" si="87"/>
        <v>68.473027718475194</v>
      </c>
      <c r="Q74" s="20">
        <f t="shared" si="54"/>
        <v>619.3539835680109</v>
      </c>
      <c r="R74" s="59">
        <f t="shared" si="55"/>
        <v>912.68731690134427</v>
      </c>
      <c r="S74" s="59">
        <f ca="1">AVERAGE(OFFSET($R$3,0,0,'Données projet'!$E$9+1,1))-AVERAGE(OFFSET($H$3,0,0,'Données projet'!$E$9+1,1))</f>
        <v>561.16051468364344</v>
      </c>
      <c r="T74" s="59">
        <f t="shared" si="88"/>
        <v>137.34523913145267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61.572236360503105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61.572236360503105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256.21447799999999</v>
      </c>
      <c r="AK74" s="13">
        <f t="shared" si="89"/>
        <v>61.914770144905688</v>
      </c>
      <c r="AL74" s="20">
        <f t="shared" si="58"/>
        <v>554.07510718571075</v>
      </c>
      <c r="AM74" s="59">
        <f t="shared" si="59"/>
        <v>847.40844051904401</v>
      </c>
      <c r="AN74" s="59">
        <f ca="1">AVERAGE(OFFSET($AM$3,0,0,'Données projet'!$E$10+1,1))-AVERAGE(OFFSET($H$3,0,0,'Données projet'!$E$10+1,1))</f>
        <v>491.82493848755047</v>
      </c>
      <c r="AO74" s="59">
        <f t="shared" si="90"/>
        <v>119.46953275458026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54.9413801370643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54.9413801370643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3.4</v>
      </c>
      <c r="BD74" s="12">
        <f>IF('Données projet'!$A$88&gt;35,BD73+BC74-BL73,IF(A74&lt;'Données projet'!$A$88,$BA$205^A74,IF(A74='Données projet'!$A$88,'Données projet'!$B$88,BD73+BC74-BL73)))</f>
        <v>190.39999999999995</v>
      </c>
      <c r="BE74" s="13">
        <f>BD74*VLOOKUP('Données projet'!$B$11,Paramètres!$A$1:$I$89,3,0)*VLOOKUP('Données projet'!$B$11,Paramètres!$A$1:$I$89,5,0)</f>
        <v>166.33343999999997</v>
      </c>
      <c r="BF74" s="13">
        <f t="shared" si="91"/>
        <v>42.267796944897761</v>
      </c>
      <c r="BG74" s="20">
        <f t="shared" si="61"/>
        <v>363.31382101236346</v>
      </c>
      <c r="BH74" s="59">
        <f t="shared" si="62"/>
        <v>656.64715434569678</v>
      </c>
      <c r="BI74" s="59">
        <f ca="1">AVERAGE(OFFSET($BH$3,0,0,'Données projet'!$E$11+1,1))-AVERAGE(OFFSET($H$3,0,0,'Données projet'!$E$11+1,1))</f>
        <v>216.10252108537389</v>
      </c>
      <c r="BJ74" s="59">
        <f t="shared" si="92"/>
        <v>196.91968622092054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39.929476469735008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0</v>
      </c>
      <c r="BS74" s="22">
        <f t="shared" si="63"/>
        <v>39.929476469735008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>
        <f>BY74*VLOOKUP('Données projet'!$B$12,Paramètres!$A$1:$I$89,3,0)*VLOOKUP('Données projet'!$B$12,Paramètres!$A$1:$I$89,5,0)</f>
        <v>0</v>
      </c>
      <c r="CA74" s="13" t="e">
        <f t="shared" si="93"/>
        <v>#NUM!</v>
      </c>
      <c r="CB74" s="20" t="e">
        <f t="shared" si="64"/>
        <v>#NUM!</v>
      </c>
      <c r="CC74" s="59" t="e">
        <f t="shared" si="65"/>
        <v>#NUM!</v>
      </c>
      <c r="CD74" s="59">
        <f ca="1">AVERAGE(OFFSET($CC$3,0,0,'Données projet'!$E$12+1,1))-AVERAGE(OFFSET($H$3,0,0,'Données projet'!$E$12+1,1))</f>
        <v>152.85416952858094</v>
      </c>
      <c r="CE74" s="59">
        <f t="shared" si="94"/>
        <v>369.87619681979322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54.836092615345173</v>
      </c>
      <c r="CL74" s="21">
        <f>EXP(-LN(2)/25)*CL73+(1-EXP(-LN(2)/25))/(LN(2)/25)*Calculateur!CG74*Calculateur!CI74*VLOOKUP('Données projet'!$B$12,Paramètres!$A$1:$I$89,3,0)*0.475*44/12</f>
        <v>4.613052868834858</v>
      </c>
      <c r="CM74" s="21">
        <f>EXP(-LN(2)/2)*CM73+(1-EXP(-LN(2)/2))/(LN(2)/2)*CG74*CJ74*VLOOKUP('Données projet'!$B$12,Paramètres!$A$1:$I$89,3,0)*0.475*44/12</f>
        <v>3.0320109691769427E-8</v>
      </c>
      <c r="CN74" s="22">
        <f t="shared" si="66"/>
        <v>59.449145514500138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33.696000000000012</v>
      </c>
      <c r="D75" s="11">
        <f t="shared" si="86"/>
        <v>10.311463159807191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339.70673316342402</v>
      </c>
      <c r="H75" s="66">
        <f t="shared" si="56"/>
        <v>369.97966500333087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9.2624999999999993</v>
      </c>
      <c r="N75" s="13">
        <f>IF('Données projet'!$A$36&gt;35,N74+M75-V74,IF(A75&lt;'Données projet'!$A$36,$K$205^A75,IF(A75='Données projet'!$A$36,'Données projet'!$B$36,N74+M75-V74)))</f>
        <v>292.435</v>
      </c>
      <c r="O75" s="13">
        <f>N75*VLOOKUP('Données projet'!$B$9,Paramètres!$A$1:$I$89,3,0)*VLOOKUP('Données projet'!$B$9,Paramètres!$A$1:$I$89,5,0)</f>
        <v>296.52909</v>
      </c>
      <c r="P75" s="13">
        <f t="shared" si="87"/>
        <v>70.448335339558668</v>
      </c>
      <c r="Q75" s="20">
        <f t="shared" si="54"/>
        <v>639.1523491330646</v>
      </c>
      <c r="R75" s="59">
        <f t="shared" si="55"/>
        <v>932.48568246639798</v>
      </c>
      <c r="S75" s="59">
        <f ca="1">AVERAGE(OFFSET($R$3,0,0,'Données projet'!$E$9+1,1))-AVERAGE(OFFSET($H$3,0,0,'Données projet'!$E$9+1,1))</f>
        <v>561.16051468364344</v>
      </c>
      <c r="T75" s="59">
        <f t="shared" si="88"/>
        <v>137.34523913145267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60.364842360829535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60.364842360829535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264.59518799999995</v>
      </c>
      <c r="AK75" s="13">
        <f t="shared" si="89"/>
        <v>63.700885370125405</v>
      </c>
      <c r="AL75" s="20">
        <f t="shared" si="58"/>
        <v>571.78232778630161</v>
      </c>
      <c r="AM75" s="59">
        <f t="shared" si="59"/>
        <v>865.11566111963498</v>
      </c>
      <c r="AN75" s="59">
        <f ca="1">AVERAGE(OFFSET($AM$3,0,0,'Données projet'!$E$10+1,1))-AVERAGE(OFFSET($H$3,0,0,'Données projet'!$E$10+1,1))</f>
        <v>491.82493848755047</v>
      </c>
      <c r="AO75" s="59">
        <f t="shared" si="90"/>
        <v>119.46953275458026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53.864013183509421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53.864013183509421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3.4</v>
      </c>
      <c r="BD75" s="12">
        <f>IF('Données projet'!$A$88&gt;35,BD74+BC75-BL74,IF(A75&lt;'Données projet'!$A$88,$BA$205^A75,IF(A75='Données projet'!$A$88,'Données projet'!$B$88,BD74+BC75-BL74)))</f>
        <v>193.79999999999995</v>
      </c>
      <c r="BE75" s="13">
        <f>BD75*VLOOKUP('Données projet'!$B$11,Paramètres!$A$1:$I$89,3,0)*VLOOKUP('Données projet'!$B$11,Paramètres!$A$1:$I$89,5,0)</f>
        <v>169.30367999999999</v>
      </c>
      <c r="BF75" s="13">
        <f t="shared" si="91"/>
        <v>42.934033834973214</v>
      </c>
      <c r="BG75" s="20">
        <f t="shared" si="61"/>
        <v>369.64735159591163</v>
      </c>
      <c r="BH75" s="59">
        <f t="shared" si="62"/>
        <v>662.98068492924494</v>
      </c>
      <c r="BI75" s="59">
        <f ca="1">AVERAGE(OFFSET($BH$3,0,0,'Données projet'!$E$11+1,1))-AVERAGE(OFFSET($H$3,0,0,'Données projet'!$E$11+1,1))</f>
        <v>216.10252108537389</v>
      </c>
      <c r="BJ75" s="59">
        <f t="shared" si="92"/>
        <v>196.91968622092054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39.146483790739339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0</v>
      </c>
      <c r="BS75" s="22">
        <f t="shared" si="63"/>
        <v>39.146483790739339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>
        <f>BY75*VLOOKUP('Données projet'!$B$12,Paramètres!$A$1:$I$89,3,0)*VLOOKUP('Données projet'!$B$12,Paramètres!$A$1:$I$89,5,0)</f>
        <v>0</v>
      </c>
      <c r="CA75" s="13" t="e">
        <f t="shared" si="93"/>
        <v>#NUM!</v>
      </c>
      <c r="CB75" s="20" t="e">
        <f t="shared" si="64"/>
        <v>#NUM!</v>
      </c>
      <c r="CC75" s="59" t="e">
        <f t="shared" si="65"/>
        <v>#NUM!</v>
      </c>
      <c r="CD75" s="59">
        <f ca="1">AVERAGE(OFFSET($CC$3,0,0,'Données projet'!$E$12+1,1))-AVERAGE(OFFSET($H$3,0,0,'Données projet'!$E$12+1,1))</f>
        <v>152.85416952858094</v>
      </c>
      <c r="CE75" s="59">
        <f t="shared" si="94"/>
        <v>369.87619681979322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53.760790285872162</v>
      </c>
      <c r="CL75" s="21">
        <f>EXP(-LN(2)/25)*CL74+(1-EXP(-LN(2)/25))/(LN(2)/25)*Calculateur!CG75*Calculateur!CI75*VLOOKUP('Données projet'!$B$12,Paramètres!$A$1:$I$89,3,0)*0.475*44/12</f>
        <v>4.4869086955466617</v>
      </c>
      <c r="CM75" s="21">
        <f>EXP(-LN(2)/2)*CM74+(1-EXP(-LN(2)/2))/(LN(2)/2)*CG75*CJ75*VLOOKUP('Données projet'!$B$12,Paramètres!$A$1:$I$89,3,0)*0.475*44/12</f>
        <v>2.1439555169370123E-8</v>
      </c>
      <c r="CN75" s="22">
        <f t="shared" si="66"/>
        <v>58.247699002858376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34.164000000000016</v>
      </c>
      <c r="D76" s="11">
        <f t="shared" si="86"/>
        <v>10.437905961785614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344.29541444185406</v>
      </c>
      <c r="H76" s="66">
        <f t="shared" si="56"/>
        <v>371.01498621677661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9.2624999999999993</v>
      </c>
      <c r="N76" s="13">
        <f>IF('Données projet'!$A$36&gt;35,N75+M76-V75,IF(A76&lt;'Données projet'!$A$36,$K$205^A76,IF(A76='Données projet'!$A$36,'Données projet'!$B$36,N75+M76-V75)))</f>
        <v>301.69749999999999</v>
      </c>
      <c r="O76" s="13">
        <f>N76*VLOOKUP('Données projet'!$B$9,Paramètres!$A$1:$I$89,3,0)*VLOOKUP('Données projet'!$B$9,Paramètres!$A$1:$I$89,5,0)</f>
        <v>305.92126500000001</v>
      </c>
      <c r="P76" s="13">
        <f t="shared" si="87"/>
        <v>72.416372482384858</v>
      </c>
      <c r="Q76" s="20">
        <f t="shared" si="54"/>
        <v>658.93805194848699</v>
      </c>
      <c r="R76" s="59">
        <f t="shared" si="55"/>
        <v>952.27138528182036</v>
      </c>
      <c r="S76" s="59">
        <f ca="1">AVERAGE(OFFSET($R$3,0,0,'Données projet'!$E$9+1,1))-AVERAGE(OFFSET($H$3,0,0,'Données projet'!$E$9+1,1))</f>
        <v>561.16051468364344</v>
      </c>
      <c r="T76" s="59">
        <f t="shared" si="88"/>
        <v>137.34523913145267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59.181124621051943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59.181124621051943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272.97589799999997</v>
      </c>
      <c r="AK76" s="13">
        <f t="shared" si="89"/>
        <v>65.480426474043128</v>
      </c>
      <c r="AL76" s="20">
        <f t="shared" si="58"/>
        <v>589.47809845895836</v>
      </c>
      <c r="AM76" s="59">
        <f t="shared" si="59"/>
        <v>882.81143179229161</v>
      </c>
      <c r="AN76" s="59">
        <f ca="1">AVERAGE(OFFSET($AM$3,0,0,'Données projet'!$E$10+1,1))-AVERAGE(OFFSET($H$3,0,0,'Données projet'!$E$10+1,1))</f>
        <v>491.82493848755047</v>
      </c>
      <c r="AO76" s="59">
        <f t="shared" si="90"/>
        <v>119.46953275458026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52.807772738784799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52.807772738784799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3.4</v>
      </c>
      <c r="BD76" s="12">
        <f>IF('Données projet'!$A$88&gt;35,BD75+BC76-BL75,IF(A76&lt;'Données projet'!$A$88,$BA$205^A76,IF(A76='Données projet'!$A$88,'Données projet'!$B$88,BD75+BC76-BL75)))</f>
        <v>197.19999999999996</v>
      </c>
      <c r="BE76" s="13">
        <f>BD76*VLOOKUP('Données projet'!$B$11,Paramètres!$A$1:$I$89,3,0)*VLOOKUP('Données projet'!$B$11,Paramètres!$A$1:$I$89,5,0)</f>
        <v>172.27391999999998</v>
      </c>
      <c r="BF76" s="13">
        <f t="shared" si="91"/>
        <v>43.598911513699605</v>
      </c>
      <c r="BG76" s="20">
        <f t="shared" si="61"/>
        <v>375.97851488636002</v>
      </c>
      <c r="BH76" s="59">
        <f t="shared" si="62"/>
        <v>669.31184821969327</v>
      </c>
      <c r="BI76" s="59">
        <f ca="1">AVERAGE(OFFSET($BH$3,0,0,'Données projet'!$E$11+1,1))-AVERAGE(OFFSET($H$3,0,0,'Données projet'!$E$11+1,1))</f>
        <v>216.10252108537389</v>
      </c>
      <c r="BJ76" s="59">
        <f t="shared" si="92"/>
        <v>196.91968622092054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38.378845120600396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0</v>
      </c>
      <c r="BS76" s="22">
        <f t="shared" si="63"/>
        <v>38.378845120600396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>
        <f>BY76*VLOOKUP('Données projet'!$B$12,Paramètres!$A$1:$I$89,3,0)*VLOOKUP('Données projet'!$B$12,Paramètres!$A$1:$I$89,5,0)</f>
        <v>0</v>
      </c>
      <c r="CA76" s="13" t="e">
        <f t="shared" si="93"/>
        <v>#NUM!</v>
      </c>
      <c r="CB76" s="20" t="e">
        <f t="shared" si="64"/>
        <v>#NUM!</v>
      </c>
      <c r="CC76" s="59" t="e">
        <f t="shared" si="65"/>
        <v>#NUM!</v>
      </c>
      <c r="CD76" s="59">
        <f ca="1">AVERAGE(OFFSET($CC$3,0,0,'Données projet'!$E$12+1,1))-AVERAGE(OFFSET($H$3,0,0,'Données projet'!$E$12+1,1))</f>
        <v>152.85416952858094</v>
      </c>
      <c r="CE76" s="59">
        <f t="shared" si="94"/>
        <v>369.87619681979322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52.706573979210454</v>
      </c>
      <c r="CL76" s="21">
        <f>EXP(-LN(2)/25)*CL75+(1-EXP(-LN(2)/25))/(LN(2)/25)*Calculateur!CG76*Calculateur!CI76*VLOOKUP('Données projet'!$B$12,Paramètres!$A$1:$I$89,3,0)*0.475*44/12</f>
        <v>4.3642139413106653</v>
      </c>
      <c r="CM76" s="21">
        <f>EXP(-LN(2)/2)*CM75+(1-EXP(-LN(2)/2))/(LN(2)/2)*CG76*CJ76*VLOOKUP('Données projet'!$B$12,Paramètres!$A$1:$I$89,3,0)*0.475*44/12</f>
        <v>1.5160054845884713E-8</v>
      </c>
      <c r="CN76" s="22">
        <f t="shared" si="66"/>
        <v>57.070787935681174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34.632000000000019</v>
      </c>
      <c r="D77" s="11">
        <f t="shared" si="86"/>
        <v>10.564147302110397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348.88254057769444</v>
      </c>
      <c r="H77" s="66">
        <f t="shared" si="56"/>
        <v>372.04995655117563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>
        <f>VLOOKUP(A77,'Données projet'!$A$35:$I$55,2,0)</f>
        <v>310.95999999999998</v>
      </c>
      <c r="L77" s="12">
        <f>VLOOKUP(A77,'Données projet'!$A$35:$I$55,9,0)</f>
        <v>9.2624999999999993</v>
      </c>
      <c r="M77" s="12">
        <f t="array" ref="M77">INDEX(L:L,MIN(IF(ISNUMBER(L77:L273),ROW(L77:L273),"")))</f>
        <v>9.2624999999999993</v>
      </c>
      <c r="N77" s="13">
        <f>IF('Données projet'!$A$36&gt;35,N76+M77-V76,IF(A77&lt;'Données projet'!$A$36,$K$205^A77,IF(A77='Données projet'!$A$36,'Données projet'!$B$36,N76+M77-V76)))</f>
        <v>310.95999999999998</v>
      </c>
      <c r="O77" s="13">
        <f>N77*VLOOKUP('Données projet'!$B$9,Paramètres!$A$1:$I$89,3,0)*VLOOKUP('Données projet'!$B$9,Paramètres!$A$1:$I$89,5,0)</f>
        <v>315.31344000000001</v>
      </c>
      <c r="P77" s="13">
        <f t="shared" si="87"/>
        <v>74.377387976510789</v>
      </c>
      <c r="Q77" s="20">
        <f t="shared" si="54"/>
        <v>678.71152539242291</v>
      </c>
      <c r="R77" s="59">
        <f t="shared" si="55"/>
        <v>972.04485872575628</v>
      </c>
      <c r="S77" s="59">
        <f ca="1">AVERAGE(OFFSET($R$3,0,0,'Données projet'!$E$9+1,1))-AVERAGE(OFFSET($H$3,0,0,'Données projet'!$E$9+1,1))</f>
        <v>561.16051468364344</v>
      </c>
      <c r="T77" s="59">
        <f t="shared" si="88"/>
        <v>137.34523913145267</v>
      </c>
      <c r="U77" s="15">
        <f>IF(ISNA(VLOOKUP(A77,'Données projet'!$A$35:$I$55,3,0)),0,VLOOKUP(A77,'Données projet'!$A$35:$I$55,3,0))</f>
        <v>5</v>
      </c>
      <c r="V77" s="15">
        <f>IF(ISNA(VLOOKUP(A77,'Données projet'!$A$35:$I$55,4,0)),0,VLOOKUP(A77,'Données projet'!$A$35:$I$55,4,0))</f>
        <v>47.4</v>
      </c>
      <c r="W77" s="16">
        <f>IF(ISNA(VLOOKUP(A77,'Données projet'!$A$35:$I$55,5,0)),0%,VLOOKUP(A77,'Données projet'!$A$35:$I$55,5,0)*VLOOKUP('Données projet'!$B$9,Paramètres!$A$1:$I$89,7,0))</f>
        <v>0.43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80.867759901654409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80.867759901654409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281.35660799999994</v>
      </c>
      <c r="AK77" s="13">
        <f t="shared" si="89"/>
        <v>67.253618453644194</v>
      </c>
      <c r="AL77" s="20">
        <f t="shared" si="58"/>
        <v>607.16281107343025</v>
      </c>
      <c r="AM77" s="59">
        <f t="shared" si="59"/>
        <v>900.49614440676351</v>
      </c>
      <c r="AN77" s="59">
        <f ca="1">AVERAGE(OFFSET($AM$3,0,0,'Données projet'!$E$10+1,1))-AVERAGE(OFFSET($H$3,0,0,'Données projet'!$E$10+1,1))</f>
        <v>491.82493848755047</v>
      </c>
      <c r="AO77" s="59">
        <f t="shared" si="90"/>
        <v>119.46953275458026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72.158924219937774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72.158924219937774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3.4</v>
      </c>
      <c r="BD77" s="12">
        <f>IF('Données projet'!$A$88&gt;35,BD76+BC77-BL76,IF(A77&lt;'Données projet'!$A$88,$BA$205^A77,IF(A77='Données projet'!$A$88,'Données projet'!$B$88,BD76+BC77-BL76)))</f>
        <v>200.59999999999997</v>
      </c>
      <c r="BE77" s="13">
        <f>BD77*VLOOKUP('Données projet'!$B$11,Paramètres!$A$1:$I$89,3,0)*VLOOKUP('Données projet'!$B$11,Paramètres!$A$1:$I$89,5,0)</f>
        <v>175.24415999999999</v>
      </c>
      <c r="BF77" s="13">
        <f t="shared" si="91"/>
        <v>44.262456119927037</v>
      </c>
      <c r="BG77" s="20">
        <f t="shared" si="61"/>
        <v>382.30735640887292</v>
      </c>
      <c r="BH77" s="59">
        <f t="shared" si="62"/>
        <v>675.64068974220618</v>
      </c>
      <c r="BI77" s="59">
        <f ca="1">AVERAGE(OFFSET($BH$3,0,0,'Données projet'!$E$11+1,1))-AVERAGE(OFFSET($H$3,0,0,'Données projet'!$E$11+1,1))</f>
        <v>216.10252108537389</v>
      </c>
      <c r="BJ77" s="59">
        <f t="shared" si="92"/>
        <v>196.91968622092054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37.626259376569521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0</v>
      </c>
      <c r="BS77" s="22">
        <f t="shared" si="63"/>
        <v>37.626259376569521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>
        <f>BY77*VLOOKUP('Données projet'!$B$12,Paramètres!$A$1:$I$89,3,0)*VLOOKUP('Données projet'!$B$12,Paramètres!$A$1:$I$89,5,0)</f>
        <v>0</v>
      </c>
      <c r="CA77" s="13" t="e">
        <f t="shared" si="93"/>
        <v>#NUM!</v>
      </c>
      <c r="CB77" s="20" t="e">
        <f t="shared" si="64"/>
        <v>#NUM!</v>
      </c>
      <c r="CC77" s="59" t="e">
        <f t="shared" si="65"/>
        <v>#NUM!</v>
      </c>
      <c r="CD77" s="59">
        <f ca="1">AVERAGE(OFFSET($CC$3,0,0,'Données projet'!$E$12+1,1))-AVERAGE(OFFSET($H$3,0,0,'Données projet'!$E$12+1,1))</f>
        <v>152.85416952858094</v>
      </c>
      <c r="CE77" s="59">
        <f t="shared" si="94"/>
        <v>369.87619681979322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51.673030211313929</v>
      </c>
      <c r="CL77" s="21">
        <f>EXP(-LN(2)/25)*CL76+(1-EXP(-LN(2)/25))/(LN(2)/25)*Calculateur!CG77*Calculateur!CI77*VLOOKUP('Données projet'!$B$12,Paramètres!$A$1:$I$89,3,0)*0.475*44/12</f>
        <v>4.2448742815814882</v>
      </c>
      <c r="CM77" s="21">
        <f>EXP(-LN(2)/2)*CM76+(1-EXP(-LN(2)/2))/(LN(2)/2)*CG77*CJ77*VLOOKUP('Données projet'!$B$12,Paramètres!$A$1:$I$89,3,0)*0.475*44/12</f>
        <v>1.0719777584685062E-8</v>
      </c>
      <c r="CN77" s="22">
        <f t="shared" si="66"/>
        <v>55.917904503615198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35.100000000000023</v>
      </c>
      <c r="D78" s="11">
        <f t="shared" si="86"/>
        <v>10.690190217926903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353.46813501557631</v>
      </c>
      <c r="H78" s="66">
        <f t="shared" si="56"/>
        <v>373.08458129622272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9.1529999999999969</v>
      </c>
      <c r="N78" s="13">
        <f>IF('Données projet'!$A$36&gt;35,N77+M78-V77,IF(A78&lt;'Données projet'!$A$36,$K$205^A78,IF(A78='Données projet'!$A$36,'Données projet'!$B$36,N77+M78-V77)))</f>
        <v>272.71300000000002</v>
      </c>
      <c r="O78" s="13">
        <f>N78*VLOOKUP('Données projet'!$B$9,Paramètres!$A$1:$I$89,3,0)*VLOOKUP('Données projet'!$B$9,Paramètres!$A$1:$I$89,5,0)</f>
        <v>276.53098200000005</v>
      </c>
      <c r="P78" s="13">
        <f t="shared" si="87"/>
        <v>66.233374590447823</v>
      </c>
      <c r="Q78" s="20">
        <f t="shared" si="54"/>
        <v>596.98125439502985</v>
      </c>
      <c r="R78" s="59">
        <f t="shared" si="55"/>
        <v>890.31458772836322</v>
      </c>
      <c r="S78" s="59">
        <f ca="1">AVERAGE(OFFSET($R$3,0,0,'Données projet'!$E$9+1,1))-AVERAGE(OFFSET($H$3,0,0,'Données projet'!$E$9+1,1))</f>
        <v>561.16051468364344</v>
      </c>
      <c r="T78" s="59">
        <f t="shared" si="88"/>
        <v>137.34523913145267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79.281992454446126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79.281992454446126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246.7507224</v>
      </c>
      <c r="AK78" s="13">
        <f t="shared" si="89"/>
        <v>59.889628081723359</v>
      </c>
      <c r="AL78" s="20">
        <f t="shared" si="58"/>
        <v>534.0652770890016</v>
      </c>
      <c r="AM78" s="59">
        <f t="shared" si="59"/>
        <v>827.39861042233497</v>
      </c>
      <c r="AN78" s="59">
        <f ca="1">AVERAGE(OFFSET($AM$3,0,0,'Données projet'!$E$10+1,1))-AVERAGE(OFFSET($H$3,0,0,'Données projet'!$E$10+1,1))</f>
        <v>491.82493848755047</v>
      </c>
      <c r="AO78" s="59">
        <f t="shared" si="90"/>
        <v>119.46953275458026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70.74393172858268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70.74393172858268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>
        <f>VLOOKUP(A78,'Données projet'!$A$87:$I$107,2,0)</f>
        <v>204</v>
      </c>
      <c r="BB78" s="12">
        <f>VLOOKUP(A78,'Données projet'!$A$87:$I$107,9,0)</f>
        <v>3.4</v>
      </c>
      <c r="BC78" s="12">
        <f t="array" ref="BC78">INDEX(BB:BB,MIN(IF(ISNUMBER(BB78:BB274),ROW(BB78:BB274),"")))</f>
        <v>3.4</v>
      </c>
      <c r="BD78" s="12">
        <f>IF('Données projet'!$A$88&gt;35,BD77+BC78-BL77,IF(A78&lt;'Données projet'!$A$88,$BA$205^A78,IF(A78='Données projet'!$A$88,'Données projet'!$B$88,BD77+BC78-BL77)))</f>
        <v>203.99999999999997</v>
      </c>
      <c r="BE78" s="13">
        <f>BD78*VLOOKUP('Données projet'!$B$11,Paramètres!$A$1:$I$89,3,0)*VLOOKUP('Données projet'!$B$11,Paramètres!$A$1:$I$89,5,0)</f>
        <v>178.21440000000001</v>
      </c>
      <c r="BF78" s="13">
        <f t="shared" si="91"/>
        <v>44.924692855664368</v>
      </c>
      <c r="BG78" s="20">
        <f t="shared" si="61"/>
        <v>388.63392005694874</v>
      </c>
      <c r="BH78" s="59">
        <f t="shared" si="62"/>
        <v>681.96725339028205</v>
      </c>
      <c r="BI78" s="59">
        <f ca="1">AVERAGE(OFFSET($BH$3,0,0,'Données projet'!$E$11+1,1))-AVERAGE(OFFSET($H$3,0,0,'Données projet'!$E$11+1,1))</f>
        <v>216.10252108537389</v>
      </c>
      <c r="BJ78" s="59">
        <f t="shared" si="92"/>
        <v>196.91968622092054</v>
      </c>
      <c r="BK78" s="15">
        <f>IF(ISNA(VLOOKUP(A78,'Données projet'!$A$87:$I$107,3,0)),0,VLOOKUP(A78,'Données projet'!$A$87:$I$107,3,0))</f>
        <v>12</v>
      </c>
      <c r="BL78" s="15">
        <f>IF(ISNA(VLOOKUP(A78,'Données projet'!$A$87:$I$107,4,0)),0,VLOOKUP(A78,'Données projet'!$A$87:$I$107,4,0))</f>
        <v>12</v>
      </c>
      <c r="BM78" s="16">
        <f>IF(ISNA(VLOOKUP(A78,'Données projet'!$A$87:$I$107,5,0)),0%,VLOOKUP(A78,'Données projet'!$A$87:$I$107,5,0)*VLOOKUP('Données projet'!$B$11,Paramètres!$A$1:$I$89,7,0))</f>
        <v>0.43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41.87164422551664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0</v>
      </c>
      <c r="BS78" s="22">
        <f t="shared" si="63"/>
        <v>41.87164422551664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>
        <f>BY78*VLOOKUP('Données projet'!$B$12,Paramètres!$A$1:$I$89,3,0)*VLOOKUP('Données projet'!$B$12,Paramètres!$A$1:$I$89,5,0)</f>
        <v>0</v>
      </c>
      <c r="CA78" s="13" t="e">
        <f t="shared" si="93"/>
        <v>#NUM!</v>
      </c>
      <c r="CB78" s="20" t="e">
        <f t="shared" si="64"/>
        <v>#NUM!</v>
      </c>
      <c r="CC78" s="59" t="e">
        <f t="shared" si="65"/>
        <v>#NUM!</v>
      </c>
      <c r="CD78" s="59">
        <f ca="1">AVERAGE(OFFSET($CC$3,0,0,'Données projet'!$E$12+1,1))-AVERAGE(OFFSET($H$3,0,0,'Données projet'!$E$12+1,1))</f>
        <v>152.85416952858094</v>
      </c>
      <c r="CE78" s="59">
        <f t="shared" si="94"/>
        <v>369.87619681979322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50.659753606306403</v>
      </c>
      <c r="CL78" s="21">
        <f>EXP(-LN(2)/25)*CL77+(1-EXP(-LN(2)/25))/(LN(2)/25)*Calculateur!CG78*Calculateur!CI78*VLOOKUP('Données projet'!$B$12,Paramètres!$A$1:$I$89,3,0)*0.475*44/12</f>
        <v>4.1287979711234053</v>
      </c>
      <c r="CM78" s="21">
        <f>EXP(-LN(2)/2)*CM77+(1-EXP(-LN(2)/2))/(LN(2)/2)*CG78*CJ78*VLOOKUP('Données projet'!$B$12,Paramètres!$A$1:$I$89,3,0)*0.475*44/12</f>
        <v>7.5800274229423567E-9</v>
      </c>
      <c r="CN78" s="22">
        <f t="shared" si="66"/>
        <v>54.788551585009834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35.568000000000026</v>
      </c>
      <c r="D79" s="11">
        <f t="shared" si="86"/>
        <v>10.816037660735214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358.05222053900889</v>
      </c>
      <c r="H79" s="66">
        <f t="shared" si="56"/>
        <v>374.11886559244721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9.1529999999999969</v>
      </c>
      <c r="N79" s="13">
        <f>IF('Données projet'!$A$36&gt;35,N78+M79-V78,IF(A79&lt;'Données projet'!$A$36,$K$205^A79,IF(A79='Données projet'!$A$36,'Données projet'!$B$36,N78+M79-V78)))</f>
        <v>281.86600000000004</v>
      </c>
      <c r="O79" s="13">
        <f>N79*VLOOKUP('Données projet'!$B$9,Paramètres!$A$1:$I$89,3,0)*VLOOKUP('Données projet'!$B$9,Paramètres!$A$1:$I$89,5,0)</f>
        <v>285.8121240000001</v>
      </c>
      <c r="P79" s="13">
        <f t="shared" si="87"/>
        <v>68.193805237855372</v>
      </c>
      <c r="Q79" s="20">
        <f t="shared" si="54"/>
        <v>616.56032675593167</v>
      </c>
      <c r="R79" s="59">
        <f t="shared" si="55"/>
        <v>909.89366008926504</v>
      </c>
      <c r="S79" s="59">
        <f ca="1">AVERAGE(OFFSET($R$3,0,0,'Données projet'!$E$9+1,1))-AVERAGE(OFFSET($H$3,0,0,'Données projet'!$E$9+1,1))</f>
        <v>561.16051468364344</v>
      </c>
      <c r="T79" s="59">
        <f t="shared" si="88"/>
        <v>137.34523913145267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77.727320939654959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77.727320939654959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255.0323568</v>
      </c>
      <c r="AK79" s="13">
        <f t="shared" si="89"/>
        <v>61.662291230464433</v>
      </c>
      <c r="AL79" s="20">
        <f t="shared" si="58"/>
        <v>551.57651198639223</v>
      </c>
      <c r="AM79" s="59">
        <f t="shared" si="59"/>
        <v>844.90984531972549</v>
      </c>
      <c r="AN79" s="59">
        <f ca="1">AVERAGE(OFFSET($AM$3,0,0,'Données projet'!$E$10+1,1))-AVERAGE(OFFSET($H$3,0,0,'Données projet'!$E$10+1,1))</f>
        <v>491.82493848755047</v>
      </c>
      <c r="AO79" s="59">
        <f t="shared" si="90"/>
        <v>119.46953275458026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69.356686376922866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69.356686376922866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3.2</v>
      </c>
      <c r="BD79" s="12">
        <f>IF('Données projet'!$A$88&gt;35,BD78+BC79-BL78,IF(A79&lt;'Données projet'!$A$88,$BA$205^A79,IF(A79='Données projet'!$A$88,'Données projet'!$B$88,BD78+BC79-BL78)))</f>
        <v>195.19999999999996</v>
      </c>
      <c r="BE79" s="13">
        <f>BD79*VLOOKUP('Données projet'!$B$11,Paramètres!$A$1:$I$89,3,0)*VLOOKUP('Données projet'!$B$11,Paramètres!$A$1:$I$89,5,0)</f>
        <v>170.52671999999998</v>
      </c>
      <c r="BF79" s="13">
        <f t="shared" si="91"/>
        <v>43.207970095682747</v>
      </c>
      <c r="BG79" s="20">
        <f t="shared" si="61"/>
        <v>372.25458524998072</v>
      </c>
      <c r="BH79" s="59">
        <f t="shared" si="62"/>
        <v>665.58791858331404</v>
      </c>
      <c r="BI79" s="59">
        <f ca="1">AVERAGE(OFFSET($BH$3,0,0,'Données projet'!$E$11+1,1))-AVERAGE(OFFSET($H$3,0,0,'Données projet'!$E$11+1,1))</f>
        <v>216.10252108537389</v>
      </c>
      <c r="BJ79" s="59">
        <f t="shared" si="92"/>
        <v>196.91968622092054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41.050566821435453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0</v>
      </c>
      <c r="BS79" s="22">
        <f t="shared" si="63"/>
        <v>41.050566821435453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>
        <f>BY79*VLOOKUP('Données projet'!$B$12,Paramètres!$A$1:$I$89,3,0)*VLOOKUP('Données projet'!$B$12,Paramètres!$A$1:$I$89,5,0)</f>
        <v>0</v>
      </c>
      <c r="CA79" s="13" t="e">
        <f t="shared" si="93"/>
        <v>#NUM!</v>
      </c>
      <c r="CB79" s="20" t="e">
        <f t="shared" si="64"/>
        <v>#NUM!</v>
      </c>
      <c r="CC79" s="59" t="e">
        <f t="shared" si="65"/>
        <v>#NUM!</v>
      </c>
      <c r="CD79" s="59">
        <f ca="1">AVERAGE(OFFSET($CC$3,0,0,'Données projet'!$E$12+1,1))-AVERAGE(OFFSET($H$3,0,0,'Données projet'!$E$12+1,1))</f>
        <v>152.85416952858094</v>
      </c>
      <c r="CE79" s="59">
        <f t="shared" si="94"/>
        <v>369.87619681979322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49.66634673748537</v>
      </c>
      <c r="CL79" s="21">
        <f>EXP(-LN(2)/25)*CL78+(1-EXP(-LN(2)/25))/(LN(2)/25)*Calculateur!CG79*Calculateur!CI79*VLOOKUP('Données projet'!$B$12,Paramètres!$A$1:$I$89,3,0)*0.475*44/12</f>
        <v>4.0158957734789871</v>
      </c>
      <c r="CM79" s="21">
        <f>EXP(-LN(2)/2)*CM78+(1-EXP(-LN(2)/2))/(LN(2)/2)*CG79*CJ79*VLOOKUP('Données projet'!$B$12,Paramètres!$A$1:$I$89,3,0)*0.475*44/12</f>
        <v>5.3598887923425308E-9</v>
      </c>
      <c r="CN79" s="22">
        <f t="shared" si="66"/>
        <v>53.682242516324244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36.03600000000003</v>
      </c>
      <c r="D80" s="11">
        <f t="shared" si="86"/>
        <v>10.941692499899752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362.63481929747201</v>
      </c>
      <c r="H80" s="66">
        <f t="shared" si="56"/>
        <v>375.15281443732545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9.1529999999999969</v>
      </c>
      <c r="N80" s="13">
        <f>IF('Données projet'!$A$36&gt;35,N79+M80-V79,IF(A80&lt;'Données projet'!$A$36,$K$205^A80,IF(A80='Données projet'!$A$36,'Données projet'!$B$36,N79+M80-V79)))</f>
        <v>291.01900000000006</v>
      </c>
      <c r="O80" s="13">
        <f>N80*VLOOKUP('Données projet'!$B$9,Paramètres!$A$1:$I$89,3,0)*VLOOKUP('Données projet'!$B$9,Paramètres!$A$1:$I$89,5,0)</f>
        <v>295.09326600000009</v>
      </c>
      <c r="P80" s="13">
        <f t="shared" si="87"/>
        <v>70.146838378792609</v>
      </c>
      <c r="Q80" s="20">
        <f t="shared" si="54"/>
        <v>636.12651512639729</v>
      </c>
      <c r="R80" s="59">
        <f t="shared" si="55"/>
        <v>929.45984845973067</v>
      </c>
      <c r="S80" s="59">
        <f ca="1">AVERAGE(OFFSET($R$3,0,0,'Données projet'!$E$9+1,1))-AVERAGE(OFFSET($H$3,0,0,'Données projet'!$E$9+1,1))</f>
        <v>561.16051468364344</v>
      </c>
      <c r="T80" s="59">
        <f t="shared" si="88"/>
        <v>137.34523913145267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76.203135585012845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76.203135585012845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263.31399120000003</v>
      </c>
      <c r="AK80" s="13">
        <f t="shared" si="89"/>
        <v>63.428265396287479</v>
      </c>
      <c r="AL80" s="20">
        <f t="shared" si="58"/>
        <v>569.07609690520076</v>
      </c>
      <c r="AM80" s="59">
        <f t="shared" si="59"/>
        <v>862.40943023853401</v>
      </c>
      <c r="AN80" s="59">
        <f ca="1">AVERAGE(OFFSET($AM$3,0,0,'Données projet'!$E$10+1,1))-AVERAGE(OFFSET($H$3,0,0,'Données projet'!$E$10+1,1))</f>
        <v>491.82493848755047</v>
      </c>
      <c r="AO80" s="59">
        <f t="shared" si="90"/>
        <v>119.46953275458026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67.996644060472988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67.996644060472988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3.2</v>
      </c>
      <c r="BD80" s="12">
        <f>IF('Données projet'!$A$88&gt;35,BD79+BC80-BL79,IF(A80&lt;'Données projet'!$A$88,$BA$205^A80,IF(A80='Données projet'!$A$88,'Données projet'!$B$88,BD79+BC80-BL79)))</f>
        <v>198.39999999999995</v>
      </c>
      <c r="BE80" s="13">
        <f>BD80*VLOOKUP('Données projet'!$B$11,Paramètres!$A$1:$I$89,3,0)*VLOOKUP('Données projet'!$B$11,Paramètres!$A$1:$I$89,5,0)</f>
        <v>173.32223999999999</v>
      </c>
      <c r="BF80" s="13">
        <f t="shared" si="91"/>
        <v>43.833254629845122</v>
      </c>
      <c r="BG80" s="20">
        <f t="shared" si="61"/>
        <v>378.2124864803136</v>
      </c>
      <c r="BH80" s="59">
        <f t="shared" si="62"/>
        <v>671.54581981364686</v>
      </c>
      <c r="BI80" s="59">
        <f ca="1">AVERAGE(OFFSET($BH$3,0,0,'Données projet'!$E$11+1,1))-AVERAGE(OFFSET($H$3,0,0,'Données projet'!$E$11+1,1))</f>
        <v>216.10252108537389</v>
      </c>
      <c r="BJ80" s="59">
        <f t="shared" si="92"/>
        <v>196.91968622092054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40.245590244440528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0</v>
      </c>
      <c r="BS80" s="22">
        <f t="shared" si="63"/>
        <v>40.245590244440528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>
        <f>BY80*VLOOKUP('Données projet'!$B$12,Paramètres!$A$1:$I$89,3,0)*VLOOKUP('Données projet'!$B$12,Paramètres!$A$1:$I$89,5,0)</f>
        <v>0</v>
      </c>
      <c r="CA80" s="13" t="e">
        <f t="shared" si="93"/>
        <v>#NUM!</v>
      </c>
      <c r="CB80" s="20" t="e">
        <f t="shared" si="64"/>
        <v>#NUM!</v>
      </c>
      <c r="CC80" s="59" t="e">
        <f t="shared" si="65"/>
        <v>#NUM!</v>
      </c>
      <c r="CD80" s="59">
        <f ca="1">AVERAGE(OFFSET($CC$3,0,0,'Données projet'!$E$12+1,1))-AVERAGE(OFFSET($H$3,0,0,'Données projet'!$E$12+1,1))</f>
        <v>152.85416952858094</v>
      </c>
      <c r="CE80" s="59">
        <f t="shared" si="94"/>
        <v>369.87619681979322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48.692419971443556</v>
      </c>
      <c r="CL80" s="21">
        <f>EXP(-LN(2)/25)*CL79+(1-EXP(-LN(2)/25))/(LN(2)/25)*Calculateur!CG80*Calculateur!CI80*VLOOKUP('Données projet'!$B$12,Paramètres!$A$1:$I$89,3,0)*0.475*44/12</f>
        <v>3.9060808923664241</v>
      </c>
      <c r="CM80" s="21">
        <f>EXP(-LN(2)/2)*CM79+(1-EXP(-LN(2)/2))/(LN(2)/2)*CG80*CJ80*VLOOKUP('Données projet'!$B$12,Paramètres!$A$1:$I$89,3,0)*0.475*44/12</f>
        <v>3.7900137114711784E-9</v>
      </c>
      <c r="CN80" s="22">
        <f t="shared" si="66"/>
        <v>52.598500867599995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36.504000000000033</v>
      </c>
      <c r="D81" s="11">
        <f t="shared" si="86"/>
        <v>11.067157525971385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367.21595283206005</v>
      </c>
      <c r="H81" s="66">
        <f t="shared" si="56"/>
        <v>376.18643269106684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9.1529999999999969</v>
      </c>
      <c r="N81" s="13">
        <f>IF('Données projet'!$A$36&gt;35,N80+M81-V80,IF(A81&lt;'Données projet'!$A$36,$K$205^A81,IF(A81='Données projet'!$A$36,'Données projet'!$B$36,N80+M81-V80)))</f>
        <v>300.17200000000008</v>
      </c>
      <c r="O81" s="13">
        <f>N81*VLOOKUP('Données projet'!$B$9,Paramètres!$A$1:$I$89,3,0)*VLOOKUP('Données projet'!$B$9,Paramètres!$A$1:$I$89,5,0)</f>
        <v>304.37440800000013</v>
      </c>
      <c r="P81" s="13">
        <f t="shared" si="87"/>
        <v>72.09273337021429</v>
      </c>
      <c r="Q81" s="20">
        <f t="shared" si="54"/>
        <v>655.68027121979014</v>
      </c>
      <c r="R81" s="59">
        <f t="shared" si="55"/>
        <v>949.01360455312351</v>
      </c>
      <c r="S81" s="59">
        <f ca="1">AVERAGE(OFFSET($R$3,0,0,'Données projet'!$E$9+1,1))-AVERAGE(OFFSET($H$3,0,0,'Données projet'!$E$9+1,1))</f>
        <v>561.16051468364344</v>
      </c>
      <c r="T81" s="59">
        <f t="shared" si="88"/>
        <v>137.34523913145267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74.708838575513994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74.708838575513994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271.59562560000006</v>
      </c>
      <c r="AK81" s="13">
        <f t="shared" si="89"/>
        <v>65.187785095275302</v>
      </c>
      <c r="AL81" s="20">
        <f t="shared" si="58"/>
        <v>586.56444029427121</v>
      </c>
      <c r="AM81" s="59">
        <f t="shared" si="59"/>
        <v>879.89777362760447</v>
      </c>
      <c r="AN81" s="59">
        <f ca="1">AVERAGE(OFFSET($AM$3,0,0,'Données projet'!$E$10+1,1))-AVERAGE(OFFSET($H$3,0,0,'Données projet'!$E$10+1,1))</f>
        <v>491.82493848755047</v>
      </c>
      <c r="AO81" s="59">
        <f t="shared" si="90"/>
        <v>119.46953275458026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66.663271344304789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66.663271344304789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3.2</v>
      </c>
      <c r="BD81" s="12">
        <f>IF('Données projet'!$A$88&gt;35,BD80+BC81-BL80,IF(A81&lt;'Données projet'!$A$88,$BA$205^A81,IF(A81='Données projet'!$A$88,'Données projet'!$B$88,BD80+BC81-BL80)))</f>
        <v>201.59999999999994</v>
      </c>
      <c r="BE81" s="13">
        <f>BD81*VLOOKUP('Données projet'!$B$11,Paramètres!$A$1:$I$89,3,0)*VLOOKUP('Données projet'!$B$11,Paramètres!$A$1:$I$89,5,0)</f>
        <v>176.11775999999998</v>
      </c>
      <c r="BF81" s="13">
        <f t="shared" si="91"/>
        <v>44.457366290237204</v>
      </c>
      <c r="BG81" s="20">
        <f t="shared" si="61"/>
        <v>384.16834495549637</v>
      </c>
      <c r="BH81" s="59">
        <f t="shared" si="62"/>
        <v>677.50167828882968</v>
      </c>
      <c r="BI81" s="59">
        <f ca="1">AVERAGE(OFFSET($BH$3,0,0,'Données projet'!$E$11+1,1))-AVERAGE(OFFSET($H$3,0,0,'Données projet'!$E$11+1,1))</f>
        <v>216.10252108537389</v>
      </c>
      <c r="BJ81" s="59">
        <f t="shared" si="92"/>
        <v>196.91968622092054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39.456398767133244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0</v>
      </c>
      <c r="BS81" s="22">
        <f t="shared" si="63"/>
        <v>39.456398767133244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>
        <f>BY81*VLOOKUP('Données projet'!$B$12,Paramètres!$A$1:$I$89,3,0)*VLOOKUP('Données projet'!$B$12,Paramètres!$A$1:$I$89,5,0)</f>
        <v>0</v>
      </c>
      <c r="CA81" s="13" t="e">
        <f t="shared" si="93"/>
        <v>#NUM!</v>
      </c>
      <c r="CB81" s="20" t="e">
        <f t="shared" si="64"/>
        <v>#NUM!</v>
      </c>
      <c r="CC81" s="59" t="e">
        <f t="shared" si="65"/>
        <v>#NUM!</v>
      </c>
      <c r="CD81" s="59">
        <f ca="1">AVERAGE(OFFSET($CC$3,0,0,'Données projet'!$E$12+1,1))-AVERAGE(OFFSET($H$3,0,0,'Données projet'!$E$12+1,1))</f>
        <v>152.85416952858094</v>
      </c>
      <c r="CE81" s="59">
        <f t="shared" si="94"/>
        <v>369.87619681979322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47.737591315247151</v>
      </c>
      <c r="CL81" s="21">
        <f>EXP(-LN(2)/25)*CL80+(1-EXP(-LN(2)/25))/(LN(2)/25)*Calculateur!CG81*Calculateur!CI81*VLOOKUP('Données projet'!$B$12,Paramètres!$A$1:$I$89,3,0)*0.475*44/12</f>
        <v>3.7992689049527977</v>
      </c>
      <c r="CM81" s="21">
        <f>EXP(-LN(2)/2)*CM80+(1-EXP(-LN(2)/2))/(LN(2)/2)*CG81*CJ81*VLOOKUP('Données projet'!$B$12,Paramètres!$A$1:$I$89,3,0)*0.475*44/12</f>
        <v>2.6799443961712654E-9</v>
      </c>
      <c r="CN81" s="22">
        <f t="shared" si="66"/>
        <v>51.536860222879895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36.972000000000037</v>
      </c>
      <c r="D82" s="11">
        <f t="shared" si="86"/>
        <v>11.192435453834337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371.79564209977411</v>
      </c>
      <c r="H82" s="66">
        <f t="shared" si="56"/>
        <v>377.21972508209484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9.1529999999999969</v>
      </c>
      <c r="N82" s="13">
        <f>IF('Données projet'!$A$36&gt;35,N81+M82-V81,IF(A82&lt;'Données projet'!$A$36,$K$205^A82,IF(A82='Données projet'!$A$36,'Données projet'!$B$36,N81+M82-V81)))</f>
        <v>309.3250000000001</v>
      </c>
      <c r="O82" s="13">
        <f>N82*VLOOKUP('Données projet'!$B$9,Paramètres!$A$1:$I$89,3,0)*VLOOKUP('Données projet'!$B$9,Paramètres!$A$1:$I$89,5,0)</f>
        <v>313.65555000000012</v>
      </c>
      <c r="P82" s="13">
        <f t="shared" si="87"/>
        <v>74.031732853453846</v>
      </c>
      <c r="Q82" s="20">
        <f t="shared" si="54"/>
        <v>675.22201763643227</v>
      </c>
      <c r="R82" s="59">
        <f t="shared" si="55"/>
        <v>968.55535096976564</v>
      </c>
      <c r="S82" s="59">
        <f ca="1">AVERAGE(OFFSET($R$3,0,0,'Données projet'!$E$9+1,1))-AVERAGE(OFFSET($H$3,0,0,'Données projet'!$E$9+1,1))</f>
        <v>561.16051468364344</v>
      </c>
      <c r="T82" s="59">
        <f t="shared" si="88"/>
        <v>137.34523913145267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73.243843818940235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73.243843818940235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279.87726000000009</v>
      </c>
      <c r="AK82" s="13">
        <f t="shared" si="89"/>
        <v>66.941069728889886</v>
      </c>
      <c r="AL82" s="20">
        <f t="shared" si="58"/>
        <v>604.04192427781663</v>
      </c>
      <c r="AM82" s="59">
        <f t="shared" si="59"/>
        <v>897.37525761114989</v>
      </c>
      <c r="AN82" s="59">
        <f ca="1">AVERAGE(OFFSET($AM$3,0,0,'Données projet'!$E$10+1,1))-AVERAGE(OFFSET($H$3,0,0,'Données projet'!$E$10+1,1))</f>
        <v>491.82493848755047</v>
      </c>
      <c r="AO82" s="59">
        <f t="shared" si="90"/>
        <v>119.46953275458026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65.356045253823595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65.356045253823595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3.2</v>
      </c>
      <c r="BD82" s="12">
        <f>IF('Données projet'!$A$88&gt;35,BD81+BC82-BL81,IF(A82&lt;'Données projet'!$A$88,$BA$205^A82,IF(A82='Données projet'!$A$88,'Données projet'!$B$88,BD81+BC82-BL81)))</f>
        <v>204.79999999999993</v>
      </c>
      <c r="BE82" s="13">
        <f>BD82*VLOOKUP('Données projet'!$B$11,Paramètres!$A$1:$I$89,3,0)*VLOOKUP('Données projet'!$B$11,Paramètres!$A$1:$I$89,5,0)</f>
        <v>178.91327999999996</v>
      </c>
      <c r="BF82" s="13">
        <f t="shared" si="91"/>
        <v>45.080325843494805</v>
      </c>
      <c r="BG82" s="20">
        <f t="shared" si="61"/>
        <v>390.12219684408677</v>
      </c>
      <c r="BH82" s="59">
        <f t="shared" si="62"/>
        <v>683.45553017742009</v>
      </c>
      <c r="BI82" s="59">
        <f ca="1">AVERAGE(OFFSET($BH$3,0,0,'Données projet'!$E$11+1,1))-AVERAGE(OFFSET($H$3,0,0,'Données projet'!$E$11+1,1))</f>
        <v>216.10252108537389</v>
      </c>
      <c r="BJ82" s="59">
        <f t="shared" si="92"/>
        <v>196.91968622092054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38.682682853336686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0</v>
      </c>
      <c r="BS82" s="22">
        <f t="shared" si="63"/>
        <v>38.682682853336686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>
        <f>BY82*VLOOKUP('Données projet'!$B$12,Paramètres!$A$1:$I$89,3,0)*VLOOKUP('Données projet'!$B$12,Paramètres!$A$1:$I$89,5,0)</f>
        <v>0</v>
      </c>
      <c r="CA82" s="13" t="e">
        <f t="shared" si="93"/>
        <v>#NUM!</v>
      </c>
      <c r="CB82" s="20" t="e">
        <f t="shared" si="64"/>
        <v>#NUM!</v>
      </c>
      <c r="CC82" s="59" t="e">
        <f t="shared" si="65"/>
        <v>#NUM!</v>
      </c>
      <c r="CD82" s="59">
        <f ca="1">AVERAGE(OFFSET($CC$3,0,0,'Données projet'!$E$12+1,1))-AVERAGE(OFFSET($H$3,0,0,'Données projet'!$E$12+1,1))</f>
        <v>152.85416952858094</v>
      </c>
      <c r="CE82" s="59">
        <f t="shared" si="94"/>
        <v>369.87619681979322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46.801486266610787</v>
      </c>
      <c r="CL82" s="21">
        <f>EXP(-LN(2)/25)*CL81+(1-EXP(-LN(2)/25))/(LN(2)/25)*Calculateur!CG82*Calculateur!CI82*VLOOKUP('Données projet'!$B$12,Paramètres!$A$1:$I$89,3,0)*0.475*44/12</f>
        <v>3.6953776969519949</v>
      </c>
      <c r="CM82" s="21">
        <f>EXP(-LN(2)/2)*CM81+(1-EXP(-LN(2)/2))/(LN(2)/2)*CG82*CJ82*VLOOKUP('Données projet'!$B$12,Paramètres!$A$1:$I$89,3,0)*0.475*44/12</f>
        <v>1.8950068557355892E-9</v>
      </c>
      <c r="CN82" s="22">
        <f t="shared" si="66"/>
        <v>50.496863965457791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37.44000000000004</v>
      </c>
      <c r="D83" s="11">
        <f t="shared" si="86"/>
        <v>11.317528925689196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376.37390749654855</v>
      </c>
      <c r="H83" s="66">
        <f t="shared" si="56"/>
        <v>378.25269621224209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9.1529999999999969</v>
      </c>
      <c r="N83" s="13">
        <f>IF('Données projet'!$A$36&gt;35,N82+M83-V82,IF(A83&lt;'Données projet'!$A$36,$K$205^A83,IF(A83='Données projet'!$A$36,'Données projet'!$B$36,N82+M83-V82)))</f>
        <v>318.47800000000012</v>
      </c>
      <c r="O83" s="13">
        <f>N83*VLOOKUP('Données projet'!$B$9,Paramètres!$A$1:$I$89,3,0)*VLOOKUP('Données projet'!$B$9,Paramètres!$A$1:$I$89,5,0)</f>
        <v>322.93669200000016</v>
      </c>
      <c r="P83" s="13">
        <f t="shared" si="87"/>
        <v>75.964064293915996</v>
      </c>
      <c r="Q83" s="20">
        <f t="shared" si="54"/>
        <v>694.75215054523733</v>
      </c>
      <c r="R83" s="59">
        <f t="shared" si="55"/>
        <v>988.08548387857059</v>
      </c>
      <c r="S83" s="59">
        <f ca="1">AVERAGE(OFFSET($R$3,0,0,'Données projet'!$E$9+1,1))-AVERAGE(OFFSET($H$3,0,0,'Données projet'!$E$9+1,1))</f>
        <v>561.16051468364344</v>
      </c>
      <c r="T83" s="59">
        <f t="shared" si="88"/>
        <v>137.34523913145267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71.807576715984325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71.807576715984325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288.15889440000012</v>
      </c>
      <c r="AK83" s="13">
        <f t="shared" si="89"/>
        <v>68.688324976195204</v>
      </c>
      <c r="AL83" s="20">
        <f t="shared" si="58"/>
        <v>621.50890708020677</v>
      </c>
      <c r="AM83" s="59">
        <f t="shared" si="59"/>
        <v>914.84224041354014</v>
      </c>
      <c r="AN83" s="59">
        <f ca="1">AVERAGE(OFFSET($AM$3,0,0,'Données projet'!$E$10+1,1))-AVERAGE(OFFSET($H$3,0,0,'Données projet'!$E$10+1,1))</f>
        <v>491.82493848755047</v>
      </c>
      <c r="AO83" s="59">
        <f t="shared" si="90"/>
        <v>119.46953275458026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64.074453069647546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64.074453069647546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208</v>
      </c>
      <c r="BB83" s="12">
        <f>VLOOKUP(A83,'Données projet'!$A$87:$I$107,9,0)</f>
        <v>3.2</v>
      </c>
      <c r="BC83" s="12">
        <f t="array" ref="BC83">INDEX(BB:BB,MIN(IF(ISNUMBER(BB83:BB279),ROW(BB83:BB279),"")))</f>
        <v>3.2</v>
      </c>
      <c r="BD83" s="12">
        <f>IF('Données projet'!$A$88&gt;35,BD82+BC83-BL82,IF(A83&lt;'Données projet'!$A$88,$BA$205^A83,IF(A83='Données projet'!$A$88,'Données projet'!$B$88,BD82+BC83-BL82)))</f>
        <v>207.99999999999991</v>
      </c>
      <c r="BE83" s="13">
        <f>BD83*VLOOKUP('Données projet'!$B$11,Paramètres!$A$1:$I$89,3,0)*VLOOKUP('Données projet'!$B$11,Paramètres!$A$1:$I$89,5,0)</f>
        <v>181.70879999999994</v>
      </c>
      <c r="BF83" s="13">
        <f t="shared" si="91"/>
        <v>45.702153370067769</v>
      </c>
      <c r="BG83" s="20">
        <f t="shared" si="61"/>
        <v>396.07407711953459</v>
      </c>
      <c r="BH83" s="59">
        <f t="shared" si="62"/>
        <v>689.40741045286791</v>
      </c>
      <c r="BI83" s="59">
        <f ca="1">AVERAGE(OFFSET($BH$3,0,0,'Données projet'!$E$11+1,1))-AVERAGE(OFFSET($H$3,0,0,'Données projet'!$E$11+1,1))</f>
        <v>216.10252108537389</v>
      </c>
      <c r="BJ83" s="59">
        <f t="shared" si="92"/>
        <v>196.91968622092054</v>
      </c>
      <c r="BK83" s="15">
        <f>IF(ISNA(VLOOKUP(A83,'Données projet'!$A$87:$I$107,3,0)),0,VLOOKUP(A83,'Données projet'!$A$87:$I$107,3,0))</f>
        <v>13</v>
      </c>
      <c r="BL83" s="21">
        <f>IF(ISNA(VLOOKUP(A83,'Données projet'!$A$87:$I$107,4,0)),0,VLOOKUP(A83,'Données projet'!$A$87:$I$107,4,0))</f>
        <v>11</v>
      </c>
      <c r="BM83" s="16">
        <f>IF(ISNA(VLOOKUP(A83,'Données projet'!$A$87:$I$107,5,0)),0%,VLOOKUP(A83,'Données projet'!$A$87:$I$107,5,0)*VLOOKUP('Données projet'!$B$11,Paramètres!$A$1:$I$89,7,0))</f>
        <v>0.43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42.492084145128302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0</v>
      </c>
      <c r="BS83" s="22">
        <f t="shared" si="63"/>
        <v>42.492084145128302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>
        <f>BY83*VLOOKUP('Données projet'!$B$12,Paramètres!$A$1:$I$89,3,0)*VLOOKUP('Données projet'!$B$12,Paramètres!$A$1:$I$89,5,0)</f>
        <v>0</v>
      </c>
      <c r="CA83" s="13" t="e">
        <f t="shared" si="93"/>
        <v>#NUM!</v>
      </c>
      <c r="CB83" s="20" t="e">
        <f t="shared" si="64"/>
        <v>#NUM!</v>
      </c>
      <c r="CC83" s="59" t="e">
        <f t="shared" si="65"/>
        <v>#NUM!</v>
      </c>
      <c r="CD83" s="59">
        <f ca="1">AVERAGE(OFFSET($CC$3,0,0,'Données projet'!$E$12+1,1))-AVERAGE(OFFSET($H$3,0,0,'Données projet'!$E$12+1,1))</f>
        <v>152.85416952858094</v>
      </c>
      <c r="CE83" s="59">
        <f t="shared" si="94"/>
        <v>369.87619681979322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45.883737667010479</v>
      </c>
      <c r="CL83" s="21">
        <f>EXP(-LN(2)/25)*CL82+(1-EXP(-LN(2)/25))/(LN(2)/25)*Calculateur!CG83*Calculateur!CI83*VLOOKUP('Données projet'!$B$12,Paramètres!$A$1:$I$89,3,0)*0.475*44/12</f>
        <v>3.5943273994973755</v>
      </c>
      <c r="CM83" s="21">
        <f>EXP(-LN(2)/2)*CM82+(1-EXP(-LN(2)/2))/(LN(2)/2)*CG83*CJ83*VLOOKUP('Données projet'!$B$12,Paramètres!$A$1:$I$89,3,0)*0.475*44/12</f>
        <v>1.3399721980856327E-9</v>
      </c>
      <c r="CN83" s="22">
        <f t="shared" si="66"/>
        <v>49.478065067847822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37.908000000000044</v>
      </c>
      <c r="D84" s="11">
        <f t="shared" si="86"/>
        <v>11.442440513882541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380.95076887909363</v>
      </c>
      <c r="H84" s="66">
        <f t="shared" si="56"/>
        <v>379.2853505616788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9.1529999999999969</v>
      </c>
      <c r="N84" s="13">
        <f>IF('Données projet'!$A$36&gt;35,N83+M84-V83,IF(A84&lt;'Données projet'!$A$36,$K$205^A84,IF(A84='Données projet'!$A$36,'Données projet'!$B$36,N83+M84-V83)))</f>
        <v>327.63100000000014</v>
      </c>
      <c r="O84" s="13">
        <f>N84*VLOOKUP('Données projet'!$B$9,Paramètres!$A$1:$I$89,3,0)*VLOOKUP('Données projet'!$B$9,Paramètres!$A$1:$I$89,5,0)</f>
        <v>332.21783400000021</v>
      </c>
      <c r="P84" s="13">
        <f t="shared" si="87"/>
        <v>77.889941338792568</v>
      </c>
      <c r="Q84" s="20">
        <f t="shared" si="54"/>
        <v>714.27104204839736</v>
      </c>
      <c r="R84" s="59">
        <f t="shared" si="55"/>
        <v>1007.6043753817307</v>
      </c>
      <c r="S84" s="59">
        <f ca="1">AVERAGE(OFFSET($R$3,0,0,'Données projet'!$E$9+1,1))-AVERAGE(OFFSET($H$3,0,0,'Données projet'!$E$9+1,1))</f>
        <v>561.16051468364344</v>
      </c>
      <c r="T84" s="59">
        <f t="shared" si="88"/>
        <v>137.34523913145267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70.399473934880945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70.399473934880945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296.4405288000001</v>
      </c>
      <c r="AK84" s="13">
        <f t="shared" si="89"/>
        <v>70.42974402153277</v>
      </c>
      <c r="AL84" s="20">
        <f t="shared" si="58"/>
        <v>638.96572516416973</v>
      </c>
      <c r="AM84" s="59">
        <f t="shared" si="59"/>
        <v>932.29905849750298</v>
      </c>
      <c r="AN84" s="59">
        <f ca="1">AVERAGE(OFFSET($AM$3,0,0,'Données projet'!$E$10+1,1))-AVERAGE(OFFSET($H$3,0,0,'Données projet'!$E$10+1,1))</f>
        <v>491.82493848755047</v>
      </c>
      <c r="AO84" s="59">
        <f t="shared" si="90"/>
        <v>119.46953275458026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62.817992126509147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62.817992126509147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2.8</v>
      </c>
      <c r="BD84" s="12">
        <f>IF('Données projet'!$A$88&gt;35,BD83+BC84-BL83,IF(A84&lt;'Données projet'!$A$88,$BA$205^A84,IF(A84='Données projet'!$A$88,'Données projet'!$B$88,BD83+BC84-BL83)))</f>
        <v>199.79999999999993</v>
      </c>
      <c r="BE84" s="13">
        <f>BD84*VLOOKUP('Données projet'!$B$11,Paramètres!$A$1:$I$89,3,0)*VLOOKUP('Données projet'!$B$11,Paramètres!$A$1:$I$89,5,0)</f>
        <v>174.54527999999993</v>
      </c>
      <c r="BF84" s="13">
        <f t="shared" si="91"/>
        <v>44.106446559111959</v>
      </c>
      <c r="BG84" s="20">
        <f t="shared" si="61"/>
        <v>380.81842375711989</v>
      </c>
      <c r="BH84" s="59">
        <f t="shared" si="62"/>
        <v>674.1517570904532</v>
      </c>
      <c r="BI84" s="59">
        <f ca="1">AVERAGE(OFFSET($BH$3,0,0,'Données projet'!$E$11+1,1))-AVERAGE(OFFSET($H$3,0,0,'Données projet'!$E$11+1,1))</f>
        <v>216.10252108537389</v>
      </c>
      <c r="BJ84" s="59">
        <f t="shared" si="92"/>
        <v>196.91968622092054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41.65884029265451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0</v>
      </c>
      <c r="BS84" s="22">
        <f t="shared" si="63"/>
        <v>41.65884029265451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>
        <f>BY84*VLOOKUP('Données projet'!$B$12,Paramètres!$A$1:$I$89,3,0)*VLOOKUP('Données projet'!$B$12,Paramètres!$A$1:$I$89,5,0)</f>
        <v>0</v>
      </c>
      <c r="CA84" s="13" t="e">
        <f t="shared" si="93"/>
        <v>#NUM!</v>
      </c>
      <c r="CB84" s="20" t="e">
        <f t="shared" si="64"/>
        <v>#NUM!</v>
      </c>
      <c r="CC84" s="59" t="e">
        <f t="shared" si="65"/>
        <v>#NUM!</v>
      </c>
      <c r="CD84" s="59">
        <f ca="1">AVERAGE(OFFSET($CC$3,0,0,'Données projet'!$E$12+1,1))-AVERAGE(OFFSET($H$3,0,0,'Données projet'!$E$12+1,1))</f>
        <v>152.85416952858094</v>
      </c>
      <c r="CE84" s="59">
        <f t="shared" si="94"/>
        <v>369.87619681979322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44.983985557676959</v>
      </c>
      <c r="CL84" s="21">
        <f>EXP(-LN(2)/25)*CL83+(1-EXP(-LN(2)/25))/(LN(2)/25)*Calculateur!CG84*Calculateur!CI84*VLOOKUP('Données projet'!$B$12,Paramètres!$A$1:$I$89,3,0)*0.475*44/12</f>
        <v>3.4960403277406567</v>
      </c>
      <c r="CM84" s="21">
        <f>EXP(-LN(2)/2)*CM83+(1-EXP(-LN(2)/2))/(LN(2)/2)*CG84*CJ84*VLOOKUP('Données projet'!$B$12,Paramètres!$A$1:$I$89,3,0)*0.475*44/12</f>
        <v>9.4750342786779459E-10</v>
      </c>
      <c r="CN84" s="22">
        <f t="shared" si="66"/>
        <v>48.480025886365119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38.376000000000047</v>
      </c>
      <c r="D85" s="11">
        <f t="shared" si="86"/>
        <v>11.567172723592876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385.52624558562957</v>
      </c>
      <c r="H85" s="66">
        <f t="shared" si="56"/>
        <v>380.31769249359098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9.1529999999999969</v>
      </c>
      <c r="N85" s="13">
        <f>IF('Données projet'!$A$36&gt;35,N84+M85-V84,IF(A85&lt;'Données projet'!$A$36,$K$205^A85,IF(A85='Données projet'!$A$36,'Données projet'!$B$36,N84+M85-V84)))</f>
        <v>336.78400000000016</v>
      </c>
      <c r="O85" s="13">
        <f>N85*VLOOKUP('Données projet'!$B$9,Paramètres!$A$1:$I$89,3,0)*VLOOKUP('Données projet'!$B$9,Paramètres!$A$1:$I$89,5,0)</f>
        <v>341.4989760000002</v>
      </c>
      <c r="P85" s="13">
        <f t="shared" si="87"/>
        <v>79.80956501879173</v>
      </c>
      <c r="Q85" s="20">
        <f t="shared" si="54"/>
        <v>733.77904227439592</v>
      </c>
      <c r="R85" s="59">
        <f t="shared" si="55"/>
        <v>1027.1123756077293</v>
      </c>
      <c r="S85" s="59">
        <f ca="1">AVERAGE(OFFSET($R$3,0,0,'Données projet'!$E$9+1,1))-AVERAGE(OFFSET($H$3,0,0,'Données projet'!$E$9+1,1))</f>
        <v>561.16051468364344</v>
      </c>
      <c r="T85" s="59">
        <f t="shared" si="88"/>
        <v>137.34523913145267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69.018983190457107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69.018983190457107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304.72216320000013</v>
      </c>
      <c r="AK85" s="13">
        <f t="shared" si="89"/>
        <v>72.165508641151035</v>
      </c>
      <c r="AL85" s="20">
        <f t="shared" si="58"/>
        <v>656.41269512333827</v>
      </c>
      <c r="AM85" s="59">
        <f t="shared" si="59"/>
        <v>949.74602845667164</v>
      </c>
      <c r="AN85" s="59">
        <f ca="1">AVERAGE(OFFSET($AM$3,0,0,'Données projet'!$E$10+1,1))-AVERAGE(OFFSET($H$3,0,0,'Données projet'!$E$10+1,1))</f>
        <v>491.82493848755047</v>
      </c>
      <c r="AO85" s="59">
        <f t="shared" si="90"/>
        <v>119.46953275458026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61.586169616100186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61.586169616100186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2.8</v>
      </c>
      <c r="BD85" s="12">
        <f>IF('Données projet'!$A$88&gt;35,BD84+BC85-BL84,IF(A85&lt;'Données projet'!$A$88,$BA$205^A85,IF(A85='Données projet'!$A$88,'Données projet'!$B$88,BD84+BC85-BL84)))</f>
        <v>202.59999999999994</v>
      </c>
      <c r="BE85" s="13">
        <f>BD85*VLOOKUP('Données projet'!$B$11,Paramètres!$A$1:$I$89,3,0)*VLOOKUP('Données projet'!$B$11,Paramètres!$A$1:$I$89,5,0)</f>
        <v>176.99135999999996</v>
      </c>
      <c r="BF85" s="13">
        <f t="shared" si="91"/>
        <v>44.65216395512175</v>
      </c>
      <c r="BG85" s="20">
        <f t="shared" si="61"/>
        <v>386.02913755517028</v>
      </c>
      <c r="BH85" s="59">
        <f t="shared" si="62"/>
        <v>679.36247088850359</v>
      </c>
      <c r="BI85" s="59">
        <f ca="1">AVERAGE(OFFSET($BH$3,0,0,'Données projet'!$E$11+1,1))-AVERAGE(OFFSET($H$3,0,0,'Données projet'!$E$11+1,1))</f>
        <v>216.10252108537389</v>
      </c>
      <c r="BJ85" s="59">
        <f t="shared" si="92"/>
        <v>196.91968622092054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40.841935843899165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0</v>
      </c>
      <c r="BS85" s="22">
        <f t="shared" si="63"/>
        <v>40.841935843899165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>
        <f>BY85*VLOOKUP('Données projet'!$B$12,Paramètres!$A$1:$I$89,3,0)*VLOOKUP('Données projet'!$B$12,Paramètres!$A$1:$I$89,5,0)</f>
        <v>0</v>
      </c>
      <c r="CA85" s="13" t="e">
        <f t="shared" si="93"/>
        <v>#NUM!</v>
      </c>
      <c r="CB85" s="20" t="e">
        <f t="shared" si="64"/>
        <v>#NUM!</v>
      </c>
      <c r="CC85" s="59" t="e">
        <f t="shared" si="65"/>
        <v>#NUM!</v>
      </c>
      <c r="CD85" s="59">
        <f ca="1">AVERAGE(OFFSET($CC$3,0,0,'Données projet'!$E$12+1,1))-AVERAGE(OFFSET($H$3,0,0,'Données projet'!$E$12+1,1))</f>
        <v>152.85416952858094</v>
      </c>
      <c r="CE85" s="59">
        <f t="shared" si="94"/>
        <v>369.87619681979322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44.101877038412873</v>
      </c>
      <c r="CL85" s="21">
        <f>EXP(-LN(2)/25)*CL84+(1-EXP(-LN(2)/25))/(LN(2)/25)*Calculateur!CG85*Calculateur!CI85*VLOOKUP('Données projet'!$B$12,Paramètres!$A$1:$I$89,3,0)*0.475*44/12</f>
        <v>3.4004409211298179</v>
      </c>
      <c r="CM85" s="21">
        <f>EXP(-LN(2)/2)*CM84+(1-EXP(-LN(2)/2))/(LN(2)/2)*CG85*CJ85*VLOOKUP('Données projet'!$B$12,Paramètres!$A$1:$I$89,3,0)*0.475*44/12</f>
        <v>6.6998609904281635E-10</v>
      </c>
      <c r="CN85" s="22">
        <f t="shared" si="66"/>
        <v>47.502317960212679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38.844000000000051</v>
      </c>
      <c r="D86" s="11">
        <f t="shared" si="86"/>
        <v>11.691727995381735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390.10035645557872</v>
      </c>
      <c r="H86" s="66">
        <f t="shared" si="56"/>
        <v>381.34972625862326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9.1529999999999969</v>
      </c>
      <c r="N86" s="13">
        <f>IF('Données projet'!$A$36&gt;35,N85+M86-V85,IF(A86&lt;'Données projet'!$A$36,$K$205^A86,IF(A86='Données projet'!$A$36,'Données projet'!$B$36,N85+M86-V85)))</f>
        <v>345.93700000000018</v>
      </c>
      <c r="O86" s="13">
        <f>N86*VLOOKUP('Données projet'!$B$9,Paramètres!$A$1:$I$89,3,0)*VLOOKUP('Données projet'!$B$9,Paramètres!$A$1:$I$89,5,0)</f>
        <v>350.78011800000024</v>
      </c>
      <c r="P86" s="13">
        <f t="shared" si="87"/>
        <v>81.723124815552865</v>
      </c>
      <c r="Q86" s="20">
        <f t="shared" si="54"/>
        <v>753.27648123708832</v>
      </c>
      <c r="R86" s="59">
        <f t="shared" si="55"/>
        <v>1046.6098145704216</v>
      </c>
      <c r="S86" s="59">
        <f ca="1">AVERAGE(OFFSET($R$3,0,0,'Données projet'!$E$9+1,1))-AVERAGE(OFFSET($H$3,0,0,'Données projet'!$E$9+1,1))</f>
        <v>561.16051468364344</v>
      </c>
      <c r="T86" s="59">
        <f t="shared" si="88"/>
        <v>137.34523913145267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67.665563027515219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67.665563027515219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313.00379760000015</v>
      </c>
      <c r="AK86" s="13">
        <f t="shared" si="89"/>
        <v>73.895790168384082</v>
      </c>
      <c r="AL86" s="20">
        <f t="shared" si="58"/>
        <v>673.85011536326908</v>
      </c>
      <c r="AM86" s="59">
        <f t="shared" si="59"/>
        <v>967.18344869660245</v>
      </c>
      <c r="AN86" s="59">
        <f ca="1">AVERAGE(OFFSET($AM$3,0,0,'Données projet'!$E$10+1,1))-AVERAGE(OFFSET($H$3,0,0,'Données projet'!$E$10+1,1))</f>
        <v>491.82493848755047</v>
      </c>
      <c r="AO86" s="59">
        <f t="shared" si="90"/>
        <v>119.46953275458026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60.378502393782803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60.378502393782803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2.8</v>
      </c>
      <c r="BD86" s="12">
        <f>IF('Données projet'!$A$88&gt;35,BD85+BC86-BL85,IF(A86&lt;'Données projet'!$A$88,$BA$205^A86,IF(A86='Données projet'!$A$88,'Données projet'!$B$88,BD85+BC86-BL85)))</f>
        <v>205.39999999999995</v>
      </c>
      <c r="BE86" s="13">
        <f>BD86*VLOOKUP('Données projet'!$B$11,Paramètres!$A$1:$I$89,3,0)*VLOOKUP('Données projet'!$B$11,Paramètres!$A$1:$I$89,5,0)</f>
        <v>179.43743999999998</v>
      </c>
      <c r="BF86" s="13">
        <f t="shared" si="91"/>
        <v>45.197004138831623</v>
      </c>
      <c r="BG86" s="20">
        <f t="shared" si="61"/>
        <v>391.23832354179837</v>
      </c>
      <c r="BH86" s="59">
        <f t="shared" si="62"/>
        <v>684.57165687513168</v>
      </c>
      <c r="BI86" s="59">
        <f ca="1">AVERAGE(OFFSET($BH$3,0,0,'Données projet'!$E$11+1,1))-AVERAGE(OFFSET($H$3,0,0,'Données projet'!$E$11+1,1))</f>
        <v>216.10252108537389</v>
      </c>
      <c r="BJ86" s="59">
        <f t="shared" si="92"/>
        <v>196.91968622092054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40.041050393121395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0</v>
      </c>
      <c r="BS86" s="22">
        <f t="shared" si="63"/>
        <v>40.041050393121395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>
        <f>BY86*VLOOKUP('Données projet'!$B$12,Paramètres!$A$1:$I$89,3,0)*VLOOKUP('Données projet'!$B$12,Paramètres!$A$1:$I$89,5,0)</f>
        <v>0</v>
      </c>
      <c r="CA86" s="13" t="e">
        <f t="shared" si="93"/>
        <v>#NUM!</v>
      </c>
      <c r="CB86" s="20" t="e">
        <f t="shared" si="64"/>
        <v>#NUM!</v>
      </c>
      <c r="CC86" s="59" t="e">
        <f t="shared" si="65"/>
        <v>#NUM!</v>
      </c>
      <c r="CD86" s="59">
        <f ca="1">AVERAGE(OFFSET($CC$3,0,0,'Données projet'!$E$12+1,1))-AVERAGE(OFFSET($H$3,0,0,'Données projet'!$E$12+1,1))</f>
        <v>152.85416952858094</v>
      </c>
      <c r="CE86" s="59">
        <f t="shared" si="94"/>
        <v>369.87619681979322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43.237066129178487</v>
      </c>
      <c r="CL86" s="21">
        <f>EXP(-LN(2)/25)*CL85+(1-EXP(-LN(2)/25))/(LN(2)/25)*Calculateur!CG86*Calculateur!CI86*VLOOKUP('Données projet'!$B$12,Paramètres!$A$1:$I$89,3,0)*0.475*44/12</f>
        <v>3.3074556853201069</v>
      </c>
      <c r="CM86" s="21">
        <f>EXP(-LN(2)/2)*CM85+(1-EXP(-LN(2)/2))/(LN(2)/2)*CG86*CJ86*VLOOKUP('Données projet'!$B$12,Paramètres!$A$1:$I$89,3,0)*0.475*44/12</f>
        <v>4.737517139338973E-10</v>
      </c>
      <c r="CN86" s="22">
        <f t="shared" si="66"/>
        <v>46.544521814972349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39.312000000000054</v>
      </c>
      <c r="D87" s="11">
        <f t="shared" si="86"/>
        <v>11.816108707618415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394.67311984828297</v>
      </c>
      <c r="H87" s="66">
        <f t="shared" si="56"/>
        <v>382.38145599910212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>
        <f>VLOOKUP(A87,'Données projet'!$A$35:$I$55,2,0)</f>
        <v>355.09</v>
      </c>
      <c r="L87" s="12">
        <f>VLOOKUP(A87,'Données projet'!$A$35:$I$55,9,0)</f>
        <v>9.1529999999999969</v>
      </c>
      <c r="M87" s="12">
        <f t="array" ref="M87">INDEX(L:L,MIN(IF(ISNUMBER(L87:L283),ROW(L87:L283),"")))</f>
        <v>9.1529999999999969</v>
      </c>
      <c r="N87" s="13">
        <f>IF('Données projet'!$A$36&gt;35,N86+M87-V86,IF(A87&lt;'Données projet'!$A$36,$K$205^A87,IF(A87='Données projet'!$A$36,'Données projet'!$B$36,N86+M87-V86)))</f>
        <v>355.0900000000002</v>
      </c>
      <c r="O87" s="13">
        <f>N87*VLOOKUP('Données projet'!$B$9,Paramètres!$A$1:$I$89,3,0)*VLOOKUP('Données projet'!$B$9,Paramètres!$A$1:$I$89,5,0)</f>
        <v>360.06126000000023</v>
      </c>
      <c r="P87" s="13">
        <f t="shared" si="87"/>
        <v>83.630799612914231</v>
      </c>
      <c r="Q87" s="20">
        <f t="shared" si="54"/>
        <v>772.76367049249257</v>
      </c>
      <c r="R87" s="59">
        <f t="shared" si="55"/>
        <v>1066.0970038258258</v>
      </c>
      <c r="S87" s="59">
        <f ca="1">AVERAGE(OFFSET($R$3,0,0,'Données projet'!$E$9+1,1))-AVERAGE(OFFSET($H$3,0,0,'Données projet'!$E$9+1,1))</f>
        <v>561.16051468364344</v>
      </c>
      <c r="T87" s="59">
        <f t="shared" si="88"/>
        <v>137.34523913145267</v>
      </c>
      <c r="U87" s="15">
        <f>IF(ISNA(VLOOKUP(A87,'Données projet'!$A$35:$I$55,3,0)),0,VLOOKUP(A87,'Données projet'!$A$35:$I$55,3,0))</f>
        <v>6</v>
      </c>
      <c r="V87" s="15">
        <f>IF(ISNA(VLOOKUP(A87,'Données projet'!$A$35:$I$55,4,0)),0,VLOOKUP(A87,'Données projet'!$A$35:$I$55,4,0))</f>
        <v>61.47</v>
      </c>
      <c r="W87" s="16">
        <f>IF(ISNA(VLOOKUP(A87,'Données projet'!$A$35:$I$55,5,0)),0%,VLOOKUP(A87,'Données projet'!$A$35:$I$55,5,0)*VLOOKUP('Données projet'!$B$9,Paramètres!$A$1:$I$89,7,0))</f>
        <v>0.43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95.967664877980653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95.967664877980653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321.28543200000013</v>
      </c>
      <c r="AK87" s="13">
        <f t="shared" si="89"/>
        <v>75.620750353808873</v>
      </c>
      <c r="AL87" s="20">
        <f t="shared" si="58"/>
        <v>691.27826759955076</v>
      </c>
      <c r="AM87" s="59">
        <f t="shared" si="59"/>
        <v>984.61160093288413</v>
      </c>
      <c r="AN87" s="59">
        <f ca="1">AVERAGE(OFFSET($AM$3,0,0,'Données projet'!$E$10+1,1))-AVERAGE(OFFSET($H$3,0,0,'Données projet'!$E$10+1,1))</f>
        <v>491.82493848755047</v>
      </c>
      <c r="AO87" s="59">
        <f t="shared" si="90"/>
        <v>119.46953275458026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85.632685583428881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85.632685583428881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2.8</v>
      </c>
      <c r="BD87" s="12">
        <f>IF('Données projet'!$A$88&gt;35,BD86+BC87-BL86,IF(A87&lt;'Données projet'!$A$88,$BA$205^A87,IF(A87='Données projet'!$A$88,'Données projet'!$B$88,BD86+BC87-BL86)))</f>
        <v>208.19999999999996</v>
      </c>
      <c r="BE87" s="13">
        <f>BD87*VLOOKUP('Données projet'!$B$11,Paramètres!$A$1:$I$89,3,0)*VLOOKUP('Données projet'!$B$11,Paramètres!$A$1:$I$89,5,0)</f>
        <v>181.88351999999998</v>
      </c>
      <c r="BF87" s="13">
        <f t="shared" si="91"/>
        <v>45.740980450513447</v>
      </c>
      <c r="BG87" s="20">
        <f t="shared" si="61"/>
        <v>396.4460049513109</v>
      </c>
      <c r="BH87" s="59">
        <f t="shared" si="62"/>
        <v>689.77933828464415</v>
      </c>
      <c r="BI87" s="59">
        <f ca="1">AVERAGE(OFFSET($BH$3,0,0,'Données projet'!$E$11+1,1))-AVERAGE(OFFSET($H$3,0,0,'Données projet'!$E$11+1,1))</f>
        <v>216.10252108537389</v>
      </c>
      <c r="BJ87" s="59">
        <f t="shared" si="92"/>
        <v>196.91968622092054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39.255869817541488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0</v>
      </c>
      <c r="BS87" s="22">
        <f t="shared" si="63"/>
        <v>39.255869817541488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>
        <f>BY87*VLOOKUP('Données projet'!$B$12,Paramètres!$A$1:$I$89,3,0)*VLOOKUP('Données projet'!$B$12,Paramètres!$A$1:$I$89,5,0)</f>
        <v>0</v>
      </c>
      <c r="CA87" s="13" t="e">
        <f t="shared" si="93"/>
        <v>#NUM!</v>
      </c>
      <c r="CB87" s="20" t="e">
        <f t="shared" si="64"/>
        <v>#NUM!</v>
      </c>
      <c r="CC87" s="59" t="e">
        <f t="shared" si="65"/>
        <v>#NUM!</v>
      </c>
      <c r="CD87" s="59">
        <f ca="1">AVERAGE(OFFSET($CC$3,0,0,'Données projet'!$E$12+1,1))-AVERAGE(OFFSET($H$3,0,0,'Données projet'!$E$12+1,1))</f>
        <v>152.85416952858094</v>
      </c>
      <c r="CE87" s="59">
        <f t="shared" si="94"/>
        <v>369.87619681979322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42.389213634391616</v>
      </c>
      <c r="CL87" s="21">
        <f>EXP(-LN(2)/25)*CL86+(1-EXP(-LN(2)/25))/(LN(2)/25)*Calculateur!CG87*Calculateur!CI87*VLOOKUP('Données projet'!$B$12,Paramètres!$A$1:$I$89,3,0)*0.475*44/12</f>
        <v>3.2170131356734935</v>
      </c>
      <c r="CM87" s="21">
        <f>EXP(-LN(2)/2)*CM86+(1-EXP(-LN(2)/2))/(LN(2)/2)*CG87*CJ87*VLOOKUP('Données projet'!$B$12,Paramètres!$A$1:$I$89,3,0)*0.475*44/12</f>
        <v>3.3499304952140817E-10</v>
      </c>
      <c r="CN87" s="22">
        <f t="shared" si="66"/>
        <v>45.606226770400099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39.780000000000058</v>
      </c>
      <c r="D88" s="11">
        <f t="shared" si="86"/>
        <v>11.940317178785941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399.24455366080423</v>
      </c>
      <c r="H88" s="66">
        <f t="shared" si="56"/>
        <v>383.41288575305225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8.6509999999999998</v>
      </c>
      <c r="N88" s="13">
        <f>IF('Données projet'!$A$36&gt;35,N87+M88-V87,IF(A88&lt;'Données projet'!$A$36,$K$205^A88,IF(A88='Données projet'!$A$36,'Données projet'!$B$36,N87+M88-V87)))</f>
        <v>302.27100000000019</v>
      </c>
      <c r="O88" s="13">
        <f>N88*VLOOKUP('Données projet'!$B$9,Paramètres!$A$1:$I$89,3,0)*VLOOKUP('Données projet'!$B$9,Paramètres!$A$1:$I$89,5,0)</f>
        <v>306.50279400000022</v>
      </c>
      <c r="P88" s="13">
        <f t="shared" si="87"/>
        <v>72.537992809767246</v>
      </c>
      <c r="Q88" s="20">
        <f t="shared" si="54"/>
        <v>660.16270369367828</v>
      </c>
      <c r="R88" s="59">
        <f t="shared" si="55"/>
        <v>953.49603702701165</v>
      </c>
      <c r="S88" s="59">
        <f ca="1">AVERAGE(OFFSET($R$3,0,0,'Données projet'!$E$9+1,1))-AVERAGE(OFFSET($H$3,0,0,'Données projet'!$E$9+1,1))</f>
        <v>561.16051468364344</v>
      </c>
      <c r="T88" s="59">
        <f t="shared" si="88"/>
        <v>137.34523913145267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94.085797504219229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94.085797504219229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273.49480080000018</v>
      </c>
      <c r="AK88" s="13">
        <f t="shared" si="89"/>
        <v>65.590398164586517</v>
      </c>
      <c r="AL88" s="20">
        <f t="shared" si="58"/>
        <v>590.57338819665517</v>
      </c>
      <c r="AM88" s="59">
        <f t="shared" si="59"/>
        <v>883.90672152998854</v>
      </c>
      <c r="AN88" s="59">
        <f ca="1">AVERAGE(OFFSET($AM$3,0,0,'Données projet'!$E$10+1,1))-AVERAGE(OFFSET($H$3,0,0,'Données projet'!$E$10+1,1))</f>
        <v>491.82493848755047</v>
      </c>
      <c r="AO88" s="59">
        <f t="shared" si="90"/>
        <v>119.46953275458026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83.953480849918691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83.953480849918691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>
        <f>VLOOKUP(A88,'Données projet'!$A$87:$I$107,2,0)</f>
        <v>211</v>
      </c>
      <c r="BB88" s="12">
        <f>VLOOKUP(A88,'Données projet'!$A$87:$I$107,9,0)</f>
        <v>2.8</v>
      </c>
      <c r="BC88" s="12">
        <f t="array" ref="BC88">INDEX(BB:BB,MIN(IF(ISNUMBER(BB88:BB284),ROW(BB88:BB284),"")))</f>
        <v>2.8</v>
      </c>
      <c r="BD88" s="12">
        <f>IF('Données projet'!$A$88&gt;35,BD87+BC88-BL87,IF(A88&lt;'Données projet'!$A$88,$BA$205^A88,IF(A88='Données projet'!$A$88,'Données projet'!$B$88,BD87+BC88-BL87)))</f>
        <v>210.99999999999997</v>
      </c>
      <c r="BE88" s="13">
        <f>BD88*VLOOKUP('Données projet'!$B$11,Paramètres!$A$1:$I$89,3,0)*VLOOKUP('Données projet'!$B$11,Paramètres!$A$1:$I$89,5,0)</f>
        <v>184.3296</v>
      </c>
      <c r="BF88" s="13">
        <f t="shared" si="91"/>
        <v>46.284105851003062</v>
      </c>
      <c r="BG88" s="20">
        <f t="shared" si="61"/>
        <v>401.65220435716361</v>
      </c>
      <c r="BH88" s="59">
        <f t="shared" si="62"/>
        <v>694.98553769049693</v>
      </c>
      <c r="BI88" s="59">
        <f ca="1">AVERAGE(OFFSET($BH$3,0,0,'Données projet'!$E$11+1,1))-AVERAGE(OFFSET($H$3,0,0,'Données projet'!$E$11+1,1))</f>
        <v>216.10252108537389</v>
      </c>
      <c r="BJ88" s="59">
        <f t="shared" si="92"/>
        <v>196.91968622092054</v>
      </c>
      <c r="BK88" s="15">
        <f>IF(ISNA(VLOOKUP(A88,'Données projet'!$A$87:$I$107,3,0)),0,VLOOKUP(A88,'Données projet'!$A$87:$I$107,3,0))</f>
        <v>14</v>
      </c>
      <c r="BL88" s="15">
        <f>IF(ISNA(VLOOKUP(A88,'Données projet'!$A$87:$I$107,4,0)),0,VLOOKUP(A88,'Données projet'!$A$87:$I$107,4,0))</f>
        <v>10</v>
      </c>
      <c r="BM88" s="16">
        <f>IF(ISNA(VLOOKUP(A88,'Données projet'!$A$87:$I$107,5,0)),0%,VLOOKUP(A88,'Données projet'!$A$87:$I$107,5,0)*VLOOKUP('Données projet'!$B$11,Paramètres!$A$1:$I$89,7,0))</f>
        <v>0.43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42.638763525443778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0</v>
      </c>
      <c r="BS88" s="22">
        <f t="shared" si="63"/>
        <v>42.638763525443778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>
        <f>BY88*VLOOKUP('Données projet'!$B$12,Paramètres!$A$1:$I$89,3,0)*VLOOKUP('Données projet'!$B$12,Paramètres!$A$1:$I$89,5,0)</f>
        <v>0</v>
      </c>
      <c r="CA88" s="13" t="e">
        <f t="shared" si="93"/>
        <v>#NUM!</v>
      </c>
      <c r="CB88" s="20" t="e">
        <f t="shared" si="64"/>
        <v>#NUM!</v>
      </c>
      <c r="CC88" s="59" t="e">
        <f t="shared" si="65"/>
        <v>#NUM!</v>
      </c>
      <c r="CD88" s="59">
        <f ca="1">AVERAGE(OFFSET($CC$3,0,0,'Données projet'!$E$12+1,1))-AVERAGE(OFFSET($H$3,0,0,'Données projet'!$E$12+1,1))</f>
        <v>152.85416952858094</v>
      </c>
      <c r="CE88" s="59">
        <f t="shared" si="94"/>
        <v>369.87619681979322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41.557987009888556</v>
      </c>
      <c r="CL88" s="21">
        <f>EXP(-LN(2)/25)*CL87+(1-EXP(-LN(2)/25))/(LN(2)/25)*Calculateur!CG88*Calculateur!CI88*VLOOKUP('Données projet'!$B$12,Paramètres!$A$1:$I$89,3,0)*0.475*44/12</f>
        <v>3.1290437423031334</v>
      </c>
      <c r="CM88" s="21">
        <f>EXP(-LN(2)/2)*CM87+(1-EXP(-LN(2)/2))/(LN(2)/2)*CG88*CJ88*VLOOKUP('Données projet'!$B$12,Paramètres!$A$1:$I$89,3,0)*0.475*44/12</f>
        <v>2.3687585696694865E-10</v>
      </c>
      <c r="CN88" s="22">
        <f t="shared" si="66"/>
        <v>44.687030752428562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40.248000000000062</v>
      </c>
      <c r="D89" s="11">
        <f t="shared" si="86"/>
        <v>12.064355669675374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403.81467534486302</v>
      </c>
      <c r="H89" s="66">
        <f t="shared" si="56"/>
        <v>384.44401945801803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8.6509999999999998</v>
      </c>
      <c r="N89" s="13">
        <f>IF('Données projet'!$A$36&gt;35,N88+M89-V88,IF(A89&lt;'Données projet'!$A$36,$K$205^A89,IF(A89='Données projet'!$A$36,'Données projet'!$B$36,N88+M89-V88)))</f>
        <v>310.9220000000002</v>
      </c>
      <c r="O89" s="13">
        <f>N89*VLOOKUP('Données projet'!$B$9,Paramètres!$A$1:$I$89,3,0)*VLOOKUP('Données projet'!$B$9,Paramètres!$A$1:$I$89,5,0)</f>
        <v>315.27490800000021</v>
      </c>
      <c r="P89" s="13">
        <f t="shared" si="87"/>
        <v>74.369356807090227</v>
      </c>
      <c r="Q89" s="20">
        <f t="shared" si="54"/>
        <v>678.63042787234917</v>
      </c>
      <c r="R89" s="59">
        <f t="shared" si="55"/>
        <v>971.96376120568243</v>
      </c>
      <c r="S89" s="59">
        <f ca="1">AVERAGE(OFFSET($R$3,0,0,'Données projet'!$E$9+1,1))-AVERAGE(OFFSET($H$3,0,0,'Données projet'!$E$9+1,1))</f>
        <v>561.16051468364344</v>
      </c>
      <c r="T89" s="59">
        <f t="shared" si="88"/>
        <v>137.34523913145267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92.240832401831511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92.240832401831511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281.32222560000019</v>
      </c>
      <c r="AK89" s="13">
        <f t="shared" si="89"/>
        <v>67.246356499189531</v>
      </c>
      <c r="AL89" s="20">
        <f t="shared" si="58"/>
        <v>607.09028048942207</v>
      </c>
      <c r="AM89" s="59">
        <f t="shared" si="59"/>
        <v>900.42361382275544</v>
      </c>
      <c r="AN89" s="59">
        <f ca="1">AVERAGE(OFFSET($AM$3,0,0,'Données projet'!$E$10+1,1))-AVERAGE(OFFSET($H$3,0,0,'Données projet'!$E$10+1,1))</f>
        <v>491.82493848755047</v>
      </c>
      <c r="AO89" s="59">
        <f t="shared" si="90"/>
        <v>119.46953275458026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82.30720429701887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82.30720429701887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2.8</v>
      </c>
      <c r="BD89" s="12">
        <f>IF('Données projet'!$A$88&gt;35,BD88+BC89-BL88,IF(A89&lt;'Données projet'!$A$88,$BA$205^A89,IF(A89='Données projet'!$A$88,'Données projet'!$B$88,BD88+BC89-BL88)))</f>
        <v>203.79999999999998</v>
      </c>
      <c r="BE89" s="13">
        <f>BD89*VLOOKUP('Données projet'!$B$11,Paramètres!$A$1:$I$89,3,0)*VLOOKUP('Données projet'!$B$11,Paramètres!$A$1:$I$89,5,0)</f>
        <v>178.03968</v>
      </c>
      <c r="BF89" s="13">
        <f t="shared" si="91"/>
        <v>44.885773518007284</v>
      </c>
      <c r="BG89" s="20">
        <f t="shared" si="61"/>
        <v>388.26183154386268</v>
      </c>
      <c r="BH89" s="59">
        <f t="shared" si="62"/>
        <v>681.595164877196</v>
      </c>
      <c r="BI89" s="59">
        <f ca="1">AVERAGE(OFFSET($BH$3,0,0,'Données projet'!$E$11+1,1))-AVERAGE(OFFSET($H$3,0,0,'Données projet'!$E$11+1,1))</f>
        <v>216.10252108537389</v>
      </c>
      <c r="BJ89" s="59">
        <f t="shared" si="92"/>
        <v>196.91968622092054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41.80264337978759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0</v>
      </c>
      <c r="BS89" s="22">
        <f t="shared" si="63"/>
        <v>41.80264337978759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>
        <f>BY89*VLOOKUP('Données projet'!$B$12,Paramètres!$A$1:$I$89,3,0)*VLOOKUP('Données projet'!$B$12,Paramètres!$A$1:$I$89,5,0)</f>
        <v>0</v>
      </c>
      <c r="CA89" s="13" t="e">
        <f t="shared" si="93"/>
        <v>#NUM!</v>
      </c>
      <c r="CB89" s="20" t="e">
        <f t="shared" si="64"/>
        <v>#NUM!</v>
      </c>
      <c r="CC89" s="59" t="e">
        <f t="shared" si="65"/>
        <v>#NUM!</v>
      </c>
      <c r="CD89" s="59">
        <f ca="1">AVERAGE(OFFSET($CC$3,0,0,'Données projet'!$E$12+1,1))-AVERAGE(OFFSET($H$3,0,0,'Données projet'!$E$12+1,1))</f>
        <v>152.85416952858094</v>
      </c>
      <c r="CE89" s="59">
        <f t="shared" si="94"/>
        <v>369.87619681979322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40.743060232493825</v>
      </c>
      <c r="CL89" s="21">
        <f>EXP(-LN(2)/25)*CL88+(1-EXP(-LN(2)/25))/(LN(2)/25)*Calculateur!CG89*Calculateur!CI89*VLOOKUP('Données projet'!$B$12,Paramètres!$A$1:$I$89,3,0)*0.475*44/12</f>
        <v>3.0434798766205953</v>
      </c>
      <c r="CM89" s="21">
        <f>EXP(-LN(2)/2)*CM88+(1-EXP(-LN(2)/2))/(LN(2)/2)*CG89*CJ89*VLOOKUP('Données projet'!$B$12,Paramètres!$A$1:$I$89,3,0)*0.475*44/12</f>
        <v>1.6749652476070409E-10</v>
      </c>
      <c r="CN89" s="22">
        <f t="shared" si="66"/>
        <v>43.786540109281916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40.716000000000065</v>
      </c>
      <c r="D90" s="11">
        <f t="shared" si="86"/>
        <v>12.188226385475193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408.38350192296684</v>
      </c>
      <c r="H90" s="66">
        <f t="shared" si="56"/>
        <v>385.47486095470271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8.6509999999999998</v>
      </c>
      <c r="N90" s="13">
        <f>IF('Données projet'!$A$36&gt;35,N89+M90-V89,IF(A90&lt;'Données projet'!$A$36,$K$205^A90,IF(A90='Données projet'!$A$36,'Données projet'!$B$36,N89+M90-V89)))</f>
        <v>319.57300000000021</v>
      </c>
      <c r="O90" s="13">
        <f>N90*VLOOKUP('Données projet'!$B$9,Paramètres!$A$1:$I$89,3,0)*VLOOKUP('Données projet'!$B$9,Paramètres!$A$1:$I$89,5,0)</f>
        <v>324.04702200000025</v>
      </c>
      <c r="P90" s="13">
        <f t="shared" si="87"/>
        <v>76.194798391989053</v>
      </c>
      <c r="Q90" s="20">
        <f t="shared" si="54"/>
        <v>697.08783718271468</v>
      </c>
      <c r="R90" s="59">
        <f t="shared" si="55"/>
        <v>990.42117051604805</v>
      </c>
      <c r="S90" s="59">
        <f ca="1">AVERAGE(OFFSET($R$3,0,0,'Données projet'!$E$9+1,1))-AVERAGE(OFFSET($H$3,0,0,'Données projet'!$E$9+1,1))</f>
        <v>561.16051468364344</v>
      </c>
      <c r="T90" s="59">
        <f t="shared" si="88"/>
        <v>137.34523913145267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90.432045939784018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90.432045939784018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289.14965040000021</v>
      </c>
      <c r="AK90" s="13">
        <f t="shared" si="89"/>
        <v>68.896959662330573</v>
      </c>
      <c r="AL90" s="20">
        <f t="shared" si="58"/>
        <v>623.59784585855948</v>
      </c>
      <c r="AM90" s="59">
        <f t="shared" si="59"/>
        <v>916.93117919189285</v>
      </c>
      <c r="AN90" s="59">
        <f ca="1">AVERAGE(OFFSET($AM$3,0,0,'Données projet'!$E$10+1,1))-AVERAGE(OFFSET($H$3,0,0,'Données projet'!$E$10+1,1))</f>
        <v>491.82493848755047</v>
      </c>
      <c r="AO90" s="59">
        <f t="shared" si="90"/>
        <v>119.46953275458026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80.693210223191869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80.693210223191869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2.8</v>
      </c>
      <c r="BD90" s="12">
        <f>IF('Données projet'!$A$88&gt;35,BD89+BC90-BL89,IF(A90&lt;'Données projet'!$A$88,$BA$205^A90,IF(A90='Données projet'!$A$88,'Données projet'!$B$88,BD89+BC90-BL89)))</f>
        <v>206.6</v>
      </c>
      <c r="BE90" s="13">
        <f>BD90*VLOOKUP('Données projet'!$B$11,Paramètres!$A$1:$I$89,3,0)*VLOOKUP('Données projet'!$B$11,Paramètres!$A$1:$I$89,5,0)</f>
        <v>180.48576000000003</v>
      </c>
      <c r="BF90" s="13">
        <f t="shared" si="91"/>
        <v>45.430241859839441</v>
      </c>
      <c r="BG90" s="20">
        <f t="shared" si="61"/>
        <v>393.47036990588708</v>
      </c>
      <c r="BH90" s="59">
        <f t="shared" si="62"/>
        <v>686.80370323922034</v>
      </c>
      <c r="BI90" s="59">
        <f ca="1">AVERAGE(OFFSET($BH$3,0,0,'Données projet'!$E$11+1,1))-AVERAGE(OFFSET($H$3,0,0,'Données projet'!$E$11+1,1))</f>
        <v>216.10252108537389</v>
      </c>
      <c r="BJ90" s="59">
        <f t="shared" si="92"/>
        <v>196.91968622092054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40.982919040204784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0</v>
      </c>
      <c r="BS90" s="22">
        <f t="shared" si="63"/>
        <v>40.982919040204784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>
        <f>BY90*VLOOKUP('Données projet'!$B$12,Paramètres!$A$1:$I$89,3,0)*VLOOKUP('Données projet'!$B$12,Paramètres!$A$1:$I$89,5,0)</f>
        <v>0</v>
      </c>
      <c r="CA90" s="13" t="e">
        <f t="shared" si="93"/>
        <v>#NUM!</v>
      </c>
      <c r="CB90" s="20" t="e">
        <f t="shared" si="64"/>
        <v>#NUM!</v>
      </c>
      <c r="CC90" s="59" t="e">
        <f t="shared" si="65"/>
        <v>#NUM!</v>
      </c>
      <c r="CD90" s="59">
        <f ca="1">AVERAGE(OFFSET($CC$3,0,0,'Données projet'!$E$12+1,1))-AVERAGE(OFFSET($H$3,0,0,'Données projet'!$E$12+1,1))</f>
        <v>152.85416952858094</v>
      </c>
      <c r="CE90" s="59">
        <f t="shared" si="94"/>
        <v>369.87619681979322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39.944113672147552</v>
      </c>
      <c r="CL90" s="21">
        <f>EXP(-LN(2)/25)*CL89+(1-EXP(-LN(2)/25))/(LN(2)/25)*Calculateur!CG90*Calculateur!CI90*VLOOKUP('Données projet'!$B$12,Paramètres!$A$1:$I$89,3,0)*0.475*44/12</f>
        <v>2.9602557593447543</v>
      </c>
      <c r="CM90" s="21">
        <f>EXP(-LN(2)/2)*CM89+(1-EXP(-LN(2)/2))/(LN(2)/2)*CG90*CJ90*VLOOKUP('Données projet'!$B$12,Paramètres!$A$1:$I$89,3,0)*0.475*44/12</f>
        <v>1.1843792848347432E-10</v>
      </c>
      <c r="CN90" s="22">
        <f t="shared" si="66"/>
        <v>42.904369431610746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41.184000000000069</v>
      </c>
      <c r="D91" s="11">
        <f t="shared" si="86"/>
        <v>12.311931477761863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412.95105000377634</v>
      </c>
      <c r="H91" s="66">
        <f t="shared" si="56"/>
        <v>386.50541399043533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8.6509999999999998</v>
      </c>
      <c r="N91" s="13">
        <f>IF('Données projet'!$A$36&gt;35,N90+M91-V90,IF(A91&lt;'Données projet'!$A$36,$K$205^A91,IF(A91='Données projet'!$A$36,'Données projet'!$B$36,N90+M91-V90)))</f>
        <v>328.22400000000022</v>
      </c>
      <c r="O91" s="13">
        <f>N91*VLOOKUP('Données projet'!$B$9,Paramètres!$A$1:$I$89,3,0)*VLOOKUP('Données projet'!$B$9,Paramètres!$A$1:$I$89,5,0)</f>
        <v>332.81913600000024</v>
      </c>
      <c r="P91" s="13">
        <f t="shared" si="87"/>
        <v>78.014496311183535</v>
      </c>
      <c r="Q91" s="20">
        <f t="shared" si="54"/>
        <v>715.53524294197848</v>
      </c>
      <c r="R91" s="59">
        <f t="shared" si="55"/>
        <v>1008.8685762753119</v>
      </c>
      <c r="S91" s="59">
        <f ca="1">AVERAGE(OFFSET($R$3,0,0,'Données projet'!$E$9+1,1))-AVERAGE(OFFSET($H$3,0,0,'Données projet'!$E$9+1,1))</f>
        <v>561.16051468364344</v>
      </c>
      <c r="T91" s="59">
        <f t="shared" si="88"/>
        <v>137.34523913145267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88.658728677006465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88.658728677006465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296.97707520000017</v>
      </c>
      <c r="AK91" s="13">
        <f t="shared" si="89"/>
        <v>70.542369280601235</v>
      </c>
      <c r="AL91" s="20">
        <f t="shared" si="58"/>
        <v>640.09636580371409</v>
      </c>
      <c r="AM91" s="59">
        <f t="shared" si="59"/>
        <v>933.42969913704746</v>
      </c>
      <c r="AN91" s="59">
        <f ca="1">AVERAGE(OFFSET($AM$3,0,0,'Données projet'!$E$10+1,1))-AVERAGE(OFFSET($H$3,0,0,'Données projet'!$E$10+1,1))</f>
        <v>491.82493848755047</v>
      </c>
      <c r="AO91" s="59">
        <f t="shared" si="90"/>
        <v>119.46953275458026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79.110865588713438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79.110865588713438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2.8</v>
      </c>
      <c r="BD91" s="12">
        <f>IF('Données projet'!$A$88&gt;35,BD90+BC91-BL90,IF(A91&lt;'Données projet'!$A$88,$BA$205^A91,IF(A91='Données projet'!$A$88,'Données projet'!$B$88,BD90+BC91-BL90)))</f>
        <v>209.4</v>
      </c>
      <c r="BE91" s="13">
        <f>BD91*VLOOKUP('Données projet'!$B$11,Paramètres!$A$1:$I$89,3,0)*VLOOKUP('Données projet'!$B$11,Paramètres!$A$1:$I$89,5,0)</f>
        <v>182.93184000000002</v>
      </c>
      <c r="BF91" s="13">
        <f t="shared" si="91"/>
        <v>45.973851929814685</v>
      </c>
      <c r="BG91" s="20">
        <f t="shared" si="61"/>
        <v>398.67741344442726</v>
      </c>
      <c r="BH91" s="59">
        <f t="shared" si="62"/>
        <v>692.01074677776057</v>
      </c>
      <c r="BI91" s="59">
        <f ca="1">AVERAGE(OFFSET($BH$3,0,0,'Données projet'!$E$11+1,1))-AVERAGE(OFFSET($H$3,0,0,'Données projet'!$E$11+1,1))</f>
        <v>216.10252108537389</v>
      </c>
      <c r="BJ91" s="59">
        <f t="shared" si="92"/>
        <v>196.91968622092054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40.179268994938724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0</v>
      </c>
      <c r="BS91" s="22">
        <f t="shared" si="63"/>
        <v>40.179268994938724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>
        <f>BY91*VLOOKUP('Données projet'!$B$12,Paramètres!$A$1:$I$89,3,0)*VLOOKUP('Données projet'!$B$12,Paramètres!$A$1:$I$89,5,0)</f>
        <v>0</v>
      </c>
      <c r="CA91" s="13" t="e">
        <f t="shared" si="93"/>
        <v>#NUM!</v>
      </c>
      <c r="CB91" s="20" t="e">
        <f t="shared" si="64"/>
        <v>#NUM!</v>
      </c>
      <c r="CC91" s="59" t="e">
        <f t="shared" si="65"/>
        <v>#NUM!</v>
      </c>
      <c r="CD91" s="59">
        <f ca="1">AVERAGE(OFFSET($CC$3,0,0,'Données projet'!$E$12+1,1))-AVERAGE(OFFSET($H$3,0,0,'Données projet'!$E$12+1,1))</f>
        <v>152.85416952858094</v>
      </c>
      <c r="CE91" s="59">
        <f t="shared" si="94"/>
        <v>369.87619681979322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39.16083396654038</v>
      </c>
      <c r="CL91" s="21">
        <f>EXP(-LN(2)/25)*CL90+(1-EXP(-LN(2)/25))/(LN(2)/25)*Calculateur!CG91*Calculateur!CI91*VLOOKUP('Données projet'!$B$12,Paramètres!$A$1:$I$89,3,0)*0.475*44/12</f>
        <v>2.8793074099323874</v>
      </c>
      <c r="CM91" s="21">
        <f>EXP(-LN(2)/2)*CM90+(1-EXP(-LN(2)/2))/(LN(2)/2)*CG91*CJ91*VLOOKUP('Données projet'!$B$12,Paramètres!$A$1:$I$89,3,0)*0.475*44/12</f>
        <v>8.3748262380352044E-11</v>
      </c>
      <c r="CN91" s="22">
        <f t="shared" si="66"/>
        <v>42.04014137655652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41.652000000000072</v>
      </c>
      <c r="D92" s="11">
        <f t="shared" si="86"/>
        <v>12.435473046397316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417.51733579675187</v>
      </c>
      <c r="H92" s="66">
        <f t="shared" si="56"/>
        <v>387.53568222247543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8.6509999999999998</v>
      </c>
      <c r="N92" s="13">
        <f>IF('Données projet'!$A$36&gt;35,N91+M92-V91,IF(A92&lt;'Données projet'!$A$36,$K$205^A92,IF(A92='Données projet'!$A$36,'Données projet'!$B$36,N91+M92-V91)))</f>
        <v>336.87500000000023</v>
      </c>
      <c r="O92" s="13">
        <f>N92*VLOOKUP('Données projet'!$B$9,Paramètres!$A$1:$I$89,3,0)*VLOOKUP('Données projet'!$B$9,Paramètres!$A$1:$I$89,5,0)</f>
        <v>341.59125000000023</v>
      </c>
      <c r="P92" s="13">
        <f t="shared" si="87"/>
        <v>79.828619352350373</v>
      </c>
      <c r="Q92" s="20">
        <f t="shared" si="54"/>
        <v>733.97293912201064</v>
      </c>
      <c r="R92" s="59">
        <f t="shared" si="55"/>
        <v>1027.306272455344</v>
      </c>
      <c r="S92" s="59">
        <f ca="1">AVERAGE(OFFSET($R$3,0,0,'Données projet'!$E$9+1,1))-AVERAGE(OFFSET($H$3,0,0,'Données projet'!$E$9+1,1))</f>
        <v>561.16051468364344</v>
      </c>
      <c r="T92" s="59">
        <f t="shared" si="88"/>
        <v>137.34523913145267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86.920185084135255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86.920185084135255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304.80450000000019</v>
      </c>
      <c r="AK92" s="13">
        <f t="shared" si="89"/>
        <v>72.182737975413843</v>
      </c>
      <c r="AL92" s="20">
        <f t="shared" si="58"/>
        <v>656.5861061405127</v>
      </c>
      <c r="AM92" s="59">
        <f t="shared" si="59"/>
        <v>949.91943947384607</v>
      </c>
      <c r="AN92" s="59">
        <f ca="1">AVERAGE(OFFSET($AM$3,0,0,'Données projet'!$E$10+1,1))-AVERAGE(OFFSET($H$3,0,0,'Données projet'!$E$10+1,1))</f>
        <v>491.82493848755047</v>
      </c>
      <c r="AO92" s="59">
        <f t="shared" si="90"/>
        <v>119.46953275458026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77.559549767382208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77.559549767382208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2.8</v>
      </c>
      <c r="BD92" s="12">
        <f>IF('Données projet'!$A$88&gt;35,BD91+BC92-BL91,IF(A92&lt;'Données projet'!$A$88,$BA$205^A92,IF(A92='Données projet'!$A$88,'Données projet'!$B$88,BD91+BC92-BL91)))</f>
        <v>212.20000000000002</v>
      </c>
      <c r="BE92" s="13">
        <f>BD92*VLOOKUP('Données projet'!$B$11,Paramètres!$A$1:$I$89,3,0)*VLOOKUP('Données projet'!$B$11,Paramètres!$A$1:$I$89,5,0)</f>
        <v>185.37792000000005</v>
      </c>
      <c r="BF92" s="13">
        <f t="shared" si="91"/>
        <v>46.516616531004161</v>
      </c>
      <c r="BG92" s="20">
        <f t="shared" si="61"/>
        <v>403.88298445816571</v>
      </c>
      <c r="BH92" s="59">
        <f t="shared" si="62"/>
        <v>697.21631779149902</v>
      </c>
      <c r="BI92" s="59">
        <f ca="1">AVERAGE(OFFSET($BH$3,0,0,'Données projet'!$E$11+1,1))-AVERAGE(OFFSET($H$3,0,0,'Données projet'!$E$11+1,1))</f>
        <v>216.10252108537389</v>
      </c>
      <c r="BJ92" s="59">
        <f t="shared" si="92"/>
        <v>196.91968622092054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39.391378036882202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0</v>
      </c>
      <c r="BS92" s="22">
        <f t="shared" si="63"/>
        <v>39.391378036882202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>
        <f>BY92*VLOOKUP('Données projet'!$B$12,Paramètres!$A$1:$I$89,3,0)*VLOOKUP('Données projet'!$B$12,Paramètres!$A$1:$I$89,5,0)</f>
        <v>0</v>
      </c>
      <c r="CA92" s="13" t="e">
        <f t="shared" si="93"/>
        <v>#NUM!</v>
      </c>
      <c r="CB92" s="20" t="e">
        <f t="shared" si="64"/>
        <v>#NUM!</v>
      </c>
      <c r="CC92" s="59" t="e">
        <f t="shared" si="65"/>
        <v>#NUM!</v>
      </c>
      <c r="CD92" s="59">
        <f ca="1">AVERAGE(OFFSET($CC$3,0,0,'Données projet'!$E$12+1,1))-AVERAGE(OFFSET($H$3,0,0,'Données projet'!$E$12+1,1))</f>
        <v>152.85416952858094</v>
      </c>
      <c r="CE92" s="59">
        <f t="shared" si="94"/>
        <v>369.87619681979322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38.392913898206722</v>
      </c>
      <c r="CL92" s="21">
        <f>EXP(-LN(2)/25)*CL91+(1-EXP(-LN(2)/25))/(LN(2)/25)*Calculateur!CG92*Calculateur!CI92*VLOOKUP('Données projet'!$B$12,Paramètres!$A$1:$I$89,3,0)*0.475*44/12</f>
        <v>2.8005725973915903</v>
      </c>
      <c r="CM92" s="21">
        <f>EXP(-LN(2)/2)*CM91+(1-EXP(-LN(2)/2))/(LN(2)/2)*CG92*CJ92*VLOOKUP('Données projet'!$B$12,Paramètres!$A$1:$I$89,3,0)*0.475*44/12</f>
        <v>5.9218964241737162E-11</v>
      </c>
      <c r="CN92" s="22">
        <f t="shared" si="66"/>
        <v>41.193486495657531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42.120000000000076</v>
      </c>
      <c r="D93" s="11">
        <f t="shared" si="86"/>
        <v>12.558853141338776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422.08237512612442</v>
      </c>
      <c r="H93" s="66">
        <f t="shared" si="56"/>
        <v>388.56566922116514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8.6509999999999998</v>
      </c>
      <c r="N93" s="13">
        <f>IF('Données projet'!$A$36&gt;35,N92+M93-V92,IF(A93&lt;'Données projet'!$A$36,$K$205^A93,IF(A93='Données projet'!$A$36,'Données projet'!$B$36,N92+M93-V92)))</f>
        <v>345.52600000000024</v>
      </c>
      <c r="O93" s="13">
        <f>N93*VLOOKUP('Données projet'!$B$9,Paramètres!$A$1:$I$89,3,0)*VLOOKUP('Données projet'!$B$9,Paramètres!$A$1:$I$89,5,0)</f>
        <v>350.36336400000027</v>
      </c>
      <c r="P93" s="13">
        <f t="shared" si="87"/>
        <v>81.637327140304933</v>
      </c>
      <c r="Q93" s="20">
        <f t="shared" si="54"/>
        <v>752.40120373603156</v>
      </c>
      <c r="R93" s="59">
        <f t="shared" si="55"/>
        <v>1045.7345370693649</v>
      </c>
      <c r="S93" s="59">
        <f ca="1">AVERAGE(OFFSET($R$3,0,0,'Données projet'!$E$9+1,1))-AVERAGE(OFFSET($H$3,0,0,'Données projet'!$E$9+1,1))</f>
        <v>561.16051468364344</v>
      </c>
      <c r="T93" s="59">
        <f t="shared" si="88"/>
        <v>137.34523913145267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85.215733270713358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85.215733270713358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312.63192480000021</v>
      </c>
      <c r="AK93" s="13">
        <f t="shared" si="89"/>
        <v>73.818210082926498</v>
      </c>
      <c r="AL93" s="20">
        <f t="shared" si="58"/>
        <v>673.06731825443057</v>
      </c>
      <c r="AM93" s="59">
        <f t="shared" si="59"/>
        <v>966.40065158776383</v>
      </c>
      <c r="AN93" s="59">
        <f ca="1">AVERAGE(OFFSET($AM$3,0,0,'Données projet'!$E$10+1,1))-AVERAGE(OFFSET($H$3,0,0,'Données projet'!$E$10+1,1))</f>
        <v>491.82493848755047</v>
      </c>
      <c r="AO93" s="59">
        <f t="shared" si="90"/>
        <v>119.46953275458026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76.038654303098056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76.038654303098056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>
        <f>VLOOKUP(A93,'Données projet'!$A$87:$I$107,2,0)</f>
        <v>215</v>
      </c>
      <c r="BB93" s="12">
        <f>VLOOKUP(A93,'Données projet'!$A$87:$I$107,9,0)</f>
        <v>2.8</v>
      </c>
      <c r="BC93" s="12">
        <f t="array" ref="BC93">INDEX(BB:BB,MIN(IF(ISNUMBER(BB93:BB289),ROW(BB93:BB289),"")))</f>
        <v>2.8</v>
      </c>
      <c r="BD93" s="12">
        <f>IF('Données projet'!$A$88&gt;35,BD92+BC93-BL92,IF(A93&lt;'Données projet'!$A$88,$BA$205^A93,IF(A93='Données projet'!$A$88,'Données projet'!$B$88,BD92+BC93-BL92)))</f>
        <v>215.00000000000003</v>
      </c>
      <c r="BE93" s="13">
        <f>BD93*VLOOKUP('Données projet'!$B$11,Paramètres!$A$1:$I$89,3,0)*VLOOKUP('Données projet'!$B$11,Paramètres!$A$1:$I$89,5,0)</f>
        <v>187.82400000000007</v>
      </c>
      <c r="BF93" s="13">
        <f t="shared" si="91"/>
        <v>47.05854810918273</v>
      </c>
      <c r="BG93" s="20">
        <f t="shared" si="61"/>
        <v>409.08710462349336</v>
      </c>
      <c r="BH93" s="59">
        <f t="shared" si="62"/>
        <v>702.42043795682662</v>
      </c>
      <c r="BI93" s="59">
        <f ca="1">AVERAGE(OFFSET($BH$3,0,0,'Données projet'!$E$11+1,1))-AVERAGE(OFFSET($H$3,0,0,'Données projet'!$E$11+1,1))</f>
        <v>216.10252108537389</v>
      </c>
      <c r="BJ93" s="59">
        <f t="shared" si="92"/>
        <v>196.91968622092054</v>
      </c>
      <c r="BK93" s="15">
        <f>IF(ISNA(VLOOKUP(A93,'Données projet'!$A$87:$I$107,3,0)),0,VLOOKUP(A93,'Données projet'!$A$87:$I$107,3,0))</f>
        <v>15</v>
      </c>
      <c r="BL93" s="15">
        <f>IF(ISNA(VLOOKUP(A93,'Données projet'!$A$87:$I$107,4,0)),0,VLOOKUP(A93,'Données projet'!$A$87:$I$107,4,0))</f>
        <v>10</v>
      </c>
      <c r="BM93" s="16">
        <f>IF(ISNA(VLOOKUP(A93,'Données projet'!$A$87:$I$107,5,0)),0%,VLOOKUP(A93,'Données projet'!$A$87:$I$107,5,0)*VLOOKUP('Données projet'!$B$11,Paramètres!$A$1:$I$89,7,0))</f>
        <v>0.43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42.771614511255073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0</v>
      </c>
      <c r="BS93" s="22">
        <f t="shared" si="63"/>
        <v>42.771614511255073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>
        <f>BY93*VLOOKUP('Données projet'!$B$12,Paramètres!$A$1:$I$89,3,0)*VLOOKUP('Données projet'!$B$12,Paramètres!$A$1:$I$89,5,0)</f>
        <v>0</v>
      </c>
      <c r="CA93" s="13" t="e">
        <f t="shared" si="93"/>
        <v>#NUM!</v>
      </c>
      <c r="CB93" s="20" t="e">
        <f t="shared" si="64"/>
        <v>#NUM!</v>
      </c>
      <c r="CC93" s="59" t="e">
        <f t="shared" si="65"/>
        <v>#NUM!</v>
      </c>
      <c r="CD93" s="59">
        <f ca="1">AVERAGE(OFFSET($CC$3,0,0,'Données projet'!$E$12+1,1))-AVERAGE(OFFSET($H$3,0,0,'Données projet'!$E$12+1,1))</f>
        <v>152.85416952858094</v>
      </c>
      <c r="CE93" s="59">
        <f t="shared" si="94"/>
        <v>369.87619681979322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37.640052274028093</v>
      </c>
      <c r="CL93" s="21">
        <f>EXP(-LN(2)/25)*CL92+(1-EXP(-LN(2)/25))/(LN(2)/25)*Calculateur!CG93*Calculateur!CI93*VLOOKUP('Données projet'!$B$12,Paramètres!$A$1:$I$89,3,0)*0.475*44/12</f>
        <v>2.7239907924402051</v>
      </c>
      <c r="CM93" s="21">
        <f>EXP(-LN(2)/2)*CM92+(1-EXP(-LN(2)/2))/(LN(2)/2)*CG93*CJ93*VLOOKUP('Données projet'!$B$12,Paramètres!$A$1:$I$89,3,0)*0.475*44/12</f>
        <v>4.1874131190176022E-11</v>
      </c>
      <c r="CN93" s="22">
        <f t="shared" si="66"/>
        <v>40.36404306651017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42.588000000000079</v>
      </c>
      <c r="D94" s="11">
        <f t="shared" si="86"/>
        <v>12.682073764365786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426.64618344422774</v>
      </c>
      <c r="H94" s="66">
        <f t="shared" si="56"/>
        <v>389.59537847293717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8.6509999999999998</v>
      </c>
      <c r="N94" s="13">
        <f>IF('Données projet'!$A$36&gt;35,N93+M94-V93,IF(A94&lt;'Données projet'!$A$36,$K$205^A94,IF(A94='Données projet'!$A$36,'Données projet'!$B$36,N93+M94-V93)))</f>
        <v>354.17700000000025</v>
      </c>
      <c r="O94" s="13">
        <f>N94*VLOOKUP('Données projet'!$B$9,Paramètres!$A$1:$I$89,3,0)*VLOOKUP('Données projet'!$B$9,Paramètres!$A$1:$I$89,5,0)</f>
        <v>359.13547800000026</v>
      </c>
      <c r="P94" s="13">
        <f t="shared" si="87"/>
        <v>83.440770851201862</v>
      </c>
      <c r="Q94" s="20">
        <f t="shared" si="54"/>
        <v>770.82030008251047</v>
      </c>
      <c r="R94" s="59">
        <f t="shared" si="55"/>
        <v>1064.1536334158438</v>
      </c>
      <c r="S94" s="59">
        <f ca="1">AVERAGE(OFFSET($R$3,0,0,'Données projet'!$E$9+1,1))-AVERAGE(OFFSET($H$3,0,0,'Données projet'!$E$9+1,1))</f>
        <v>561.16051468364344</v>
      </c>
      <c r="T94" s="59">
        <f t="shared" si="88"/>
        <v>137.34523913145267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83.54470471773972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83.54470471773972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320.45934960000022</v>
      </c>
      <c r="AK94" s="13">
        <f t="shared" si="89"/>
        <v>75.448922299838316</v>
      </c>
      <c r="AL94" s="20">
        <f t="shared" si="58"/>
        <v>689.54024022555211</v>
      </c>
      <c r="AM94" s="59">
        <f t="shared" si="59"/>
        <v>982.87357355888548</v>
      </c>
      <c r="AN94" s="59">
        <f ca="1">AVERAGE(OFFSET($AM$3,0,0,'Données projet'!$E$10+1,1))-AVERAGE(OFFSET($H$3,0,0,'Données projet'!$E$10+1,1))</f>
        <v>491.82493848755047</v>
      </c>
      <c r="AO94" s="59">
        <f t="shared" si="90"/>
        <v>119.46953275458026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74.547582671213888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74.547582671213888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2.8</v>
      </c>
      <c r="BD94" s="12">
        <f>IF('Données projet'!$A$88&gt;35,BD93+BC94-BL93,IF(A94&lt;'Données projet'!$A$88,$BA$205^A94,IF(A94='Données projet'!$A$88,'Données projet'!$B$88,BD93+BC94-BL93)))</f>
        <v>207.80000000000004</v>
      </c>
      <c r="BE94" s="13">
        <f>BD94*VLOOKUP('Données projet'!$B$11,Paramètres!$A$1:$I$89,3,0)*VLOOKUP('Données projet'!$B$11,Paramètres!$A$1:$I$89,5,0)</f>
        <v>181.53408000000007</v>
      </c>
      <c r="BF94" s="13">
        <f t="shared" si="91"/>
        <v>45.663321943731901</v>
      </c>
      <c r="BG94" s="20">
        <f t="shared" si="61"/>
        <v>395.7021417186665</v>
      </c>
      <c r="BH94" s="59">
        <f t="shared" si="62"/>
        <v>689.03547505199981</v>
      </c>
      <c r="BI94" s="59">
        <f ca="1">AVERAGE(OFFSET($BH$3,0,0,'Données projet'!$E$11+1,1))-AVERAGE(OFFSET($H$3,0,0,'Données projet'!$E$11+1,1))</f>
        <v>216.10252108537389</v>
      </c>
      <c r="BJ94" s="59">
        <f t="shared" si="92"/>
        <v>196.91968622092054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41.932889238798225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0</v>
      </c>
      <c r="BS94" s="22">
        <f t="shared" si="63"/>
        <v>41.932889238798225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>
        <f>BY94*VLOOKUP('Données projet'!$B$12,Paramètres!$A$1:$I$89,3,0)*VLOOKUP('Données projet'!$B$12,Paramètres!$A$1:$I$89,5,0)</f>
        <v>0</v>
      </c>
      <c r="CA94" s="13" t="e">
        <f t="shared" si="93"/>
        <v>#NUM!</v>
      </c>
      <c r="CB94" s="20" t="e">
        <f t="shared" si="64"/>
        <v>#NUM!</v>
      </c>
      <c r="CC94" s="59" t="e">
        <f t="shared" si="65"/>
        <v>#NUM!</v>
      </c>
      <c r="CD94" s="59">
        <f ca="1">AVERAGE(OFFSET($CC$3,0,0,'Données projet'!$E$12+1,1))-AVERAGE(OFFSET($H$3,0,0,'Données projet'!$E$12+1,1))</f>
        <v>152.85416952858094</v>
      </c>
      <c r="CE94" s="59">
        <f t="shared" si="94"/>
        <v>369.87619681979322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36.90195380709936</v>
      </c>
      <c r="CL94" s="21">
        <f>EXP(-LN(2)/25)*CL93+(1-EXP(-LN(2)/25))/(LN(2)/25)*Calculateur!CG94*Calculateur!CI94*VLOOKUP('Données projet'!$B$12,Paramètres!$A$1:$I$89,3,0)*0.475*44/12</f>
        <v>2.6495031209724775</v>
      </c>
      <c r="CM94" s="21">
        <f>EXP(-LN(2)/2)*CM93+(1-EXP(-LN(2)/2))/(LN(2)/2)*CG94*CJ94*VLOOKUP('Données projet'!$B$12,Paramètres!$A$1:$I$89,3,0)*0.475*44/12</f>
        <v>2.9609482120868581E-11</v>
      </c>
      <c r="CN94" s="22">
        <f t="shared" si="66"/>
        <v>39.551456928101445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43.056000000000083</v>
      </c>
      <c r="D95" s="11">
        <f t="shared" si="86"/>
        <v>12.805136870729203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431.20877584422607</v>
      </c>
      <c r="H95" s="66">
        <f t="shared" si="56"/>
        <v>390.62481338318679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8.6509999999999998</v>
      </c>
      <c r="N95" s="13">
        <f>IF('Données projet'!$A$36&gt;35,N94+M95-V94,IF(A95&lt;'Données projet'!$A$36,$K$205^A95,IF(A95='Données projet'!$A$36,'Données projet'!$B$36,N94+M95-V94)))</f>
        <v>362.82800000000026</v>
      </c>
      <c r="O95" s="13">
        <f>N95*VLOOKUP('Données projet'!$B$9,Paramètres!$A$1:$I$89,3,0)*VLOOKUP('Données projet'!$B$9,Paramètres!$A$1:$I$89,5,0)</f>
        <v>367.90759200000031</v>
      </c>
      <c r="P95" s="13">
        <f t="shared" si="87"/>
        <v>85.239093854991722</v>
      </c>
      <c r="Q95" s="20">
        <f t="shared" si="54"/>
        <v>789.23047786411109</v>
      </c>
      <c r="R95" s="59">
        <f t="shared" si="55"/>
        <v>1082.5638111974445</v>
      </c>
      <c r="S95" s="59">
        <f ca="1">AVERAGE(OFFSET($R$3,0,0,'Données projet'!$E$9+1,1))-AVERAGE(OFFSET($H$3,0,0,'Données projet'!$E$9+1,1))</f>
        <v>561.16051468364344</v>
      </c>
      <c r="T95" s="59">
        <f t="shared" si="88"/>
        <v>137.34523913145267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81.906444015463109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81.906444015463109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328.28677440000024</v>
      </c>
      <c r="AK95" s="13">
        <f t="shared" si="89"/>
        <v>77.075004264312383</v>
      </c>
      <c r="AL95" s="20">
        <f t="shared" si="58"/>
        <v>706.00509784034432</v>
      </c>
      <c r="AM95" s="59">
        <f t="shared" si="59"/>
        <v>999.33843117367769</v>
      </c>
      <c r="AN95" s="59">
        <f ca="1">AVERAGE(OFFSET($AM$3,0,0,'Données projet'!$E$10+1,1))-AVERAGE(OFFSET($H$3,0,0,'Données projet'!$E$10+1,1))</f>
        <v>491.82493848755047</v>
      </c>
      <c r="AO95" s="59">
        <f t="shared" si="90"/>
        <v>119.46953275458026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73.085750044567064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73.085750044567064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2.8</v>
      </c>
      <c r="BD95" s="12">
        <f>IF('Données projet'!$A$88&gt;35,BD94+BC95-BL94,IF(A95&lt;'Données projet'!$A$88,$BA$205^A95,IF(A95='Données projet'!$A$88,'Données projet'!$B$88,BD94+BC95-BL94)))</f>
        <v>210.60000000000005</v>
      </c>
      <c r="BE95" s="13">
        <f>BD95*VLOOKUP('Données projet'!$B$11,Paramètres!$A$1:$I$89,3,0)*VLOOKUP('Données projet'!$B$11,Paramètres!$A$1:$I$89,5,0)</f>
        <v>183.98016000000007</v>
      </c>
      <c r="BF95" s="13">
        <f t="shared" si="91"/>
        <v>46.206568123393758</v>
      </c>
      <c r="BG95" s="20">
        <f t="shared" si="61"/>
        <v>400.9085514815776</v>
      </c>
      <c r="BH95" s="59">
        <f t="shared" si="62"/>
        <v>694.24188481491092</v>
      </c>
      <c r="BI95" s="59">
        <f ca="1">AVERAGE(OFFSET($BH$3,0,0,'Données projet'!$E$11+1,1))-AVERAGE(OFFSET($H$3,0,0,'Données projet'!$E$11+1,1))</f>
        <v>216.10252108537389</v>
      </c>
      <c r="BJ95" s="59">
        <f t="shared" si="92"/>
        <v>196.91968622092054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41.110610857362353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0</v>
      </c>
      <c r="BS95" s="22">
        <f t="shared" si="63"/>
        <v>41.110610857362353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>
        <f>BY95*VLOOKUP('Données projet'!$B$12,Paramètres!$A$1:$I$89,3,0)*VLOOKUP('Données projet'!$B$12,Paramètres!$A$1:$I$89,5,0)</f>
        <v>0</v>
      </c>
      <c r="CA95" s="13" t="e">
        <f t="shared" si="93"/>
        <v>#NUM!</v>
      </c>
      <c r="CB95" s="20" t="e">
        <f t="shared" si="64"/>
        <v>#NUM!</v>
      </c>
      <c r="CC95" s="59" t="e">
        <f t="shared" si="65"/>
        <v>#NUM!</v>
      </c>
      <c r="CD95" s="59">
        <f ca="1">AVERAGE(OFFSET($CC$3,0,0,'Données projet'!$E$12+1,1))-AVERAGE(OFFSET($H$3,0,0,'Données projet'!$E$12+1,1))</f>
        <v>152.85416952858094</v>
      </c>
      <c r="CE95" s="59">
        <f t="shared" si="94"/>
        <v>369.87619681979322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36.178329000911489</v>
      </c>
      <c r="CL95" s="21">
        <f>EXP(-LN(2)/25)*CL94+(1-EXP(-LN(2)/25))/(LN(2)/25)*Calculateur!CG95*Calculateur!CI95*VLOOKUP('Données projet'!$B$12,Paramètres!$A$1:$I$89,3,0)*0.475*44/12</f>
        <v>2.5770523187981715</v>
      </c>
      <c r="CM95" s="21">
        <f>EXP(-LN(2)/2)*CM94+(1-EXP(-LN(2)/2))/(LN(2)/2)*CG95*CJ95*VLOOKUP('Données projet'!$B$12,Paramètres!$A$1:$I$89,3,0)*0.475*44/12</f>
        <v>2.0937065595088011E-11</v>
      </c>
      <c r="CN95" s="22">
        <f t="shared" si="66"/>
        <v>38.755381319730603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43.524000000000086</v>
      </c>
      <c r="D96" s="11">
        <f t="shared" si="86"/>
        <v>12.928044370726413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435.77016707227472</v>
      </c>
      <c r="H96" s="66">
        <f t="shared" si="56"/>
        <v>391.65397727901529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8.6509999999999998</v>
      </c>
      <c r="N96" s="13">
        <f>IF('Données projet'!$A$36&gt;35,N95+M96-V95,IF(A96&lt;'Données projet'!$A$36,$K$205^A96,IF(A96='Données projet'!$A$36,'Données projet'!$B$36,N95+M96-V95)))</f>
        <v>371.47900000000027</v>
      </c>
      <c r="O96" s="13">
        <f>N96*VLOOKUP('Données projet'!$B$9,Paramètres!$A$1:$I$89,3,0)*VLOOKUP('Données projet'!$B$9,Paramètres!$A$1:$I$89,5,0)</f>
        <v>376.67970600000029</v>
      </c>
      <c r="P96" s="13">
        <f t="shared" si="87"/>
        <v>87.032432294878717</v>
      </c>
      <c r="Q96" s="20">
        <f t="shared" si="54"/>
        <v>807.63197419691426</v>
      </c>
      <c r="R96" s="59">
        <f t="shared" si="55"/>
        <v>1100.9653075302476</v>
      </c>
      <c r="S96" s="59">
        <f ca="1">AVERAGE(OFFSET($R$3,0,0,'Données projet'!$E$9+1,1))-AVERAGE(OFFSET($H$3,0,0,'Données projet'!$E$9+1,1))</f>
        <v>561.16051468364344</v>
      </c>
      <c r="T96" s="59">
        <f t="shared" si="88"/>
        <v>137.34523913145267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80.300308606317785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80.300308606317785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336.11419920000026</v>
      </c>
      <c r="AK96" s="13">
        <f t="shared" si="89"/>
        <v>78.696579079933812</v>
      </c>
      <c r="AL96" s="20">
        <f t="shared" si="58"/>
        <v>722.46210550421847</v>
      </c>
      <c r="AM96" s="59">
        <f t="shared" si="59"/>
        <v>1015.7954388375517</v>
      </c>
      <c r="AN96" s="59">
        <f ca="1">AVERAGE(OFFSET($AM$3,0,0,'Données projet'!$E$10+1,1))-AVERAGE(OFFSET($H$3,0,0,'Données projet'!$E$10+1,1))</f>
        <v>491.82493848755047</v>
      </c>
      <c r="AO96" s="59">
        <f t="shared" si="90"/>
        <v>119.46953275458026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71.652583064098934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71.652583064098934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2.8</v>
      </c>
      <c r="BD96" s="12">
        <f>IF('Données projet'!$A$88&gt;35,BD95+BC96-BL95,IF(A96&lt;'Données projet'!$A$88,$BA$205^A96,IF(A96='Données projet'!$A$88,'Données projet'!$B$88,BD95+BC96-BL95)))</f>
        <v>213.40000000000006</v>
      </c>
      <c r="BE96" s="13">
        <f>BD96*VLOOKUP('Données projet'!$B$11,Paramètres!$A$1:$I$89,3,0)*VLOOKUP('Données projet'!$B$11,Paramètres!$A$1:$I$89,5,0)</f>
        <v>186.42624000000009</v>
      </c>
      <c r="BF96" s="13">
        <f t="shared" si="91"/>
        <v>46.748974211060826</v>
      </c>
      <c r="BG96" s="20">
        <f t="shared" si="61"/>
        <v>406.11349808426439</v>
      </c>
      <c r="BH96" s="59">
        <f t="shared" si="62"/>
        <v>699.44683141759765</v>
      </c>
      <c r="BI96" s="59">
        <f ca="1">AVERAGE(OFFSET($BH$3,0,0,'Données projet'!$E$11+1,1))-AVERAGE(OFFSET($H$3,0,0,'Données projet'!$E$11+1,1))</f>
        <v>216.10252108537389</v>
      </c>
      <c r="BJ96" s="59">
        <f t="shared" si="92"/>
        <v>196.91968622092054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40.304456853446148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0</v>
      </c>
      <c r="BS96" s="22">
        <f t="shared" si="63"/>
        <v>40.304456853446148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>
        <f>BY96*VLOOKUP('Données projet'!$B$12,Paramètres!$A$1:$I$89,3,0)*VLOOKUP('Données projet'!$B$12,Paramètres!$A$1:$I$89,5,0)</f>
        <v>0</v>
      </c>
      <c r="CA96" s="13" t="e">
        <f t="shared" si="93"/>
        <v>#NUM!</v>
      </c>
      <c r="CB96" s="20" t="e">
        <f t="shared" si="64"/>
        <v>#NUM!</v>
      </c>
      <c r="CC96" s="59" t="e">
        <f t="shared" si="65"/>
        <v>#NUM!</v>
      </c>
      <c r="CD96" s="59">
        <f ca="1">AVERAGE(OFFSET($CC$3,0,0,'Données projet'!$E$12+1,1))-AVERAGE(OFFSET($H$3,0,0,'Données projet'!$E$12+1,1))</f>
        <v>152.85416952858094</v>
      </c>
      <c r="CE96" s="59">
        <f t="shared" si="94"/>
        <v>369.87619681979322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35.468894035805413</v>
      </c>
      <c r="CL96" s="21">
        <f>EXP(-LN(2)/25)*CL95+(1-EXP(-LN(2)/25))/(LN(2)/25)*Calculateur!CG96*Calculateur!CI96*VLOOKUP('Données projet'!$B$12,Paramètres!$A$1:$I$89,3,0)*0.475*44/12</f>
        <v>2.506582687619344</v>
      </c>
      <c r="CM96" s="21">
        <f>EXP(-LN(2)/2)*CM95+(1-EXP(-LN(2)/2))/(LN(2)/2)*CG96*CJ96*VLOOKUP('Données projet'!$B$12,Paramètres!$A$1:$I$89,3,0)*0.475*44/12</f>
        <v>1.480474106043429E-11</v>
      </c>
      <c r="CN96" s="22">
        <f t="shared" si="66"/>
        <v>37.975476723439563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43.99200000000009</v>
      </c>
      <c r="D97" s="11">
        <f t="shared" si="86"/>
        <v>13.050798131206898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440.33037153914165</v>
      </c>
      <c r="H97" s="66">
        <f t="shared" si="56"/>
        <v>392.68287341185214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>
        <f>VLOOKUP(A97,'Données projet'!$A$35:$I$55,2,0)</f>
        <v>380.13</v>
      </c>
      <c r="L97" s="12">
        <f>VLOOKUP(A97,'Données projet'!$A$35:$I$55,9,0)</f>
        <v>8.6509999999999998</v>
      </c>
      <c r="M97" s="12">
        <f t="array" ref="M97">INDEX(L:L,MIN(IF(ISNUMBER(L97:L293),ROW(L97:L293),"")))</f>
        <v>8.6509999999999998</v>
      </c>
      <c r="N97" s="13">
        <f>IF('Données projet'!$A$36&gt;35,N96+M97-V96,IF(A97&lt;'Données projet'!$A$36,$K$205^A97,IF(A97='Données projet'!$A$36,'Données projet'!$B$36,N96+M97-V96)))</f>
        <v>380.13000000000028</v>
      </c>
      <c r="O97" s="13">
        <f>N97*VLOOKUP('Données projet'!$B$9,Paramètres!$A$1:$I$89,3,0)*VLOOKUP('Données projet'!$B$9,Paramètres!$A$1:$I$89,5,0)</f>
        <v>385.45182000000028</v>
      </c>
      <c r="P97" s="13">
        <f t="shared" si="87"/>
        <v>88.820915611280029</v>
      </c>
      <c r="Q97" s="20">
        <f t="shared" si="54"/>
        <v>826.02501452297986</v>
      </c>
      <c r="R97" s="59">
        <f t="shared" si="55"/>
        <v>1119.3583478563132</v>
      </c>
      <c r="S97" s="59">
        <f ca="1">AVERAGE(OFFSET($R$3,0,0,'Données projet'!$E$9+1,1))-AVERAGE(OFFSET($H$3,0,0,'Données projet'!$E$9+1,1))</f>
        <v>561.16051468364344</v>
      </c>
      <c r="T97" s="59">
        <f t="shared" si="88"/>
        <v>137.34523913145267</v>
      </c>
      <c r="U97" s="15">
        <f>IF(ISNA(VLOOKUP(A97,'Données projet'!$A$35:$I$55,3,0)),0,VLOOKUP(A97,'Données projet'!$A$35:$I$55,3,0))</f>
        <v>7</v>
      </c>
      <c r="V97" s="15">
        <f>IF(ISNA(VLOOKUP(A97,'Données projet'!$A$35:$I$55,4,0)),0,VLOOKUP(A97,'Données projet'!$A$35:$I$55,4,0))</f>
        <v>61.85</v>
      </c>
      <c r="W97" s="16">
        <f>IF(ISNA(VLOOKUP(A97,'Données projet'!$A$35:$I$55,5,0)),0%,VLOOKUP(A97,'Données projet'!$A$35:$I$55,5,0)*VLOOKUP('Données projet'!$B$9,Paramètres!$A$1:$I$89,7,0))</f>
        <v>0.43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108.53781353647267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108.53781353647267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343.94162400000022</v>
      </c>
      <c r="AK97" s="13">
        <f t="shared" si="89"/>
        <v>80.313763789484895</v>
      </c>
      <c r="AL97" s="20">
        <f t="shared" si="58"/>
        <v>738.91146706668644</v>
      </c>
      <c r="AM97" s="59">
        <f t="shared" si="59"/>
        <v>1032.2448004000198</v>
      </c>
      <c r="AN97" s="59">
        <f ca="1">AVERAGE(OFFSET($AM$3,0,0,'Données projet'!$E$10+1,1))-AVERAGE(OFFSET($H$3,0,0,'Données projet'!$E$10+1,1))</f>
        <v>491.82493848755047</v>
      </c>
      <c r="AO97" s="59">
        <f t="shared" si="90"/>
        <v>119.46953275458026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96.849125924852515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96.849125924852515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2.8</v>
      </c>
      <c r="BD97" s="12">
        <f>IF('Données projet'!$A$88&gt;35,BD96+BC97-BL96,IF(A97&lt;'Données projet'!$A$88,$BA$205^A97,IF(A97='Données projet'!$A$88,'Données projet'!$B$88,BD96+BC97-BL96)))</f>
        <v>216.20000000000007</v>
      </c>
      <c r="BE97" s="13">
        <f>BD97*VLOOKUP('Données projet'!$B$11,Paramètres!$A$1:$I$89,3,0)*VLOOKUP('Données projet'!$B$11,Paramètres!$A$1:$I$89,5,0)</f>
        <v>188.87232000000009</v>
      </c>
      <c r="BF97" s="13">
        <f t="shared" si="91"/>
        <v>47.290552503862891</v>
      </c>
      <c r="BG97" s="20">
        <f t="shared" si="61"/>
        <v>411.31700294422802</v>
      </c>
      <c r="BH97" s="59">
        <f t="shared" si="62"/>
        <v>704.65033627756134</v>
      </c>
      <c r="BI97" s="59">
        <f ca="1">AVERAGE(OFFSET($BH$3,0,0,'Données projet'!$E$11+1,1))-AVERAGE(OFFSET($H$3,0,0,'Données projet'!$E$11+1,1))</f>
        <v>216.10252108537389</v>
      </c>
      <c r="BJ97" s="59">
        <f t="shared" si="92"/>
        <v>196.91968622092054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39.514111037841353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0</v>
      </c>
      <c r="BS97" s="22">
        <f t="shared" si="63"/>
        <v>39.514111037841353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>
        <f>BY97*VLOOKUP('Données projet'!$B$12,Paramètres!$A$1:$I$89,3,0)*VLOOKUP('Données projet'!$B$12,Paramètres!$A$1:$I$89,5,0)</f>
        <v>0</v>
      </c>
      <c r="CA97" s="13" t="e">
        <f t="shared" si="93"/>
        <v>#NUM!</v>
      </c>
      <c r="CB97" s="20" t="e">
        <f t="shared" si="64"/>
        <v>#NUM!</v>
      </c>
      <c r="CC97" s="59" t="e">
        <f t="shared" si="65"/>
        <v>#NUM!</v>
      </c>
      <c r="CD97" s="59">
        <f ca="1">AVERAGE(OFFSET($CC$3,0,0,'Données projet'!$E$12+1,1))-AVERAGE(OFFSET($H$3,0,0,'Données projet'!$E$12+1,1))</f>
        <v>152.85416952858094</v>
      </c>
      <c r="CE97" s="59">
        <f t="shared" si="94"/>
        <v>369.87619681979322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34.773370657652464</v>
      </c>
      <c r="CL97" s="21">
        <f>EXP(-LN(2)/25)*CL96+(1-EXP(-LN(2)/25))/(LN(2)/25)*Calculateur!CG97*Calculateur!CI97*VLOOKUP('Données projet'!$B$12,Paramètres!$A$1:$I$89,3,0)*0.475*44/12</f>
        <v>2.4380400522109382</v>
      </c>
      <c r="CM97" s="21">
        <f>EXP(-LN(2)/2)*CM96+(1-EXP(-LN(2)/2))/(LN(2)/2)*CG97*CJ97*VLOOKUP('Données projet'!$B$12,Paramètres!$A$1:$I$89,3,0)*0.475*44/12</f>
        <v>1.0468532797544005E-11</v>
      </c>
      <c r="CN97" s="22">
        <f t="shared" si="66"/>
        <v>37.211410709873867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44.460000000000093</v>
      </c>
      <c r="D98" s="11">
        <f t="shared" si="86"/>
        <v>13.173399977011883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444.88940333132058</v>
      </c>
      <c r="H98" s="66">
        <f t="shared" si="56"/>
        <v>393.7115049599625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8.3920000000000012</v>
      </c>
      <c r="N98" s="13">
        <f>IF('Données projet'!$A$36&gt;35,N97+M98-V97,IF(A98&lt;'Données projet'!$A$36,$K$205^A98,IF(A98='Données projet'!$A$36,'Données projet'!$B$36,N97+M98-V97)))</f>
        <v>326.67200000000025</v>
      </c>
      <c r="O98" s="13">
        <f>N98*VLOOKUP('Données projet'!$B$9,Paramètres!$A$1:$I$89,3,0)*VLOOKUP('Données projet'!$B$9,Paramètres!$A$1:$I$89,5,0)</f>
        <v>331.24540800000028</v>
      </c>
      <c r="P98" s="13">
        <f t="shared" si="87"/>
        <v>77.688455390962844</v>
      </c>
      <c r="Q98" s="20">
        <f t="shared" si="54"/>
        <v>712.22647873926064</v>
      </c>
      <c r="R98" s="59">
        <f t="shared" si="55"/>
        <v>1005.559812072594</v>
      </c>
      <c r="S98" s="59">
        <f ca="1">AVERAGE(OFFSET($R$3,0,0,'Données projet'!$E$9+1,1))-AVERAGE(OFFSET($H$3,0,0,'Données projet'!$E$9+1,1))</f>
        <v>561.16051468364344</v>
      </c>
      <c r="T98" s="59">
        <f t="shared" si="88"/>
        <v>137.34523913145267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106.40945321455185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106.40945321455185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295.57282560000021</v>
      </c>
      <c r="AK98" s="13">
        <f t="shared" si="89"/>
        <v>70.247556135835751</v>
      </c>
      <c r="AL98" s="20">
        <f t="shared" si="58"/>
        <v>637.13716485658085</v>
      </c>
      <c r="AM98" s="59">
        <f t="shared" si="59"/>
        <v>930.47049818991422</v>
      </c>
      <c r="AN98" s="59">
        <f ca="1">AVERAGE(OFFSET($AM$3,0,0,'Données projet'!$E$10+1,1))-AVERAGE(OFFSET($H$3,0,0,'Données projet'!$E$10+1,1))</f>
        <v>491.82493848755047</v>
      </c>
      <c r="AO98" s="59">
        <f t="shared" si="90"/>
        <v>119.46953275458026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94.949973637600081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94.949973637600081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>
        <f>VLOOKUP(A98,'Données projet'!$A$87:$I$107,2,0)</f>
        <v>219</v>
      </c>
      <c r="BB98" s="12">
        <f>VLOOKUP(A98,'Données projet'!$A$87:$I$107,9,0)</f>
        <v>2.8</v>
      </c>
      <c r="BC98" s="12">
        <f t="array" ref="BC98">INDEX(BB:BB,MIN(IF(ISNUMBER(BB98:BB294),ROW(BB98:BB294),"")))</f>
        <v>2.8</v>
      </c>
      <c r="BD98" s="12">
        <f>IF('Données projet'!$A$88&gt;35,BD97+BC98-BL97,IF(A98&lt;'Données projet'!$A$88,$BA$205^A98,IF(A98='Données projet'!$A$88,'Données projet'!$B$88,BD97+BC98-BL97)))</f>
        <v>219.00000000000009</v>
      </c>
      <c r="BE98" s="13">
        <f>BD98*VLOOKUP('Données projet'!$B$11,Paramètres!$A$1:$I$89,3,0)*VLOOKUP('Données projet'!$B$11,Paramètres!$A$1:$I$89,5,0)</f>
        <v>191.31840000000008</v>
      </c>
      <c r="BF98" s="13">
        <f t="shared" si="91"/>
        <v>47.831314962098396</v>
      </c>
      <c r="BG98" s="20">
        <f t="shared" si="61"/>
        <v>416.51908689232147</v>
      </c>
      <c r="BH98" s="59">
        <f t="shared" si="62"/>
        <v>709.85242022565478</v>
      </c>
      <c r="BI98" s="59">
        <f ca="1">AVERAGE(OFFSET($BH$3,0,0,'Données projet'!$E$11+1,1))-AVERAGE(OFFSET($H$3,0,0,'Données projet'!$E$11+1,1))</f>
        <v>216.10252108537389</v>
      </c>
      <c r="BJ98" s="59">
        <f t="shared" si="92"/>
        <v>196.91968622092054</v>
      </c>
      <c r="BK98" s="15">
        <f>IF(ISNA(VLOOKUP(A98,'Données projet'!$A$87:$I$107,3,0)),0,VLOOKUP(A98,'Données projet'!$A$87:$I$107,3,0))</f>
        <v>16</v>
      </c>
      <c r="BL98" s="15">
        <f>IF(ISNA(VLOOKUP(A98,'Données projet'!$A$87:$I$107,4,0)),0,VLOOKUP(A98,'Données projet'!$A$87:$I$107,4,0))</f>
        <v>11</v>
      </c>
      <c r="BM98" s="16">
        <f>IF(ISNA(VLOOKUP(A98,'Données projet'!$A$87:$I$107,5,0)),0%,VLOOKUP(A98,'Données projet'!$A$87:$I$107,5,0)*VLOOKUP('Données projet'!$B$11,Paramètres!$A$1:$I$89,7,0))</f>
        <v>0.43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43.307208530055945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0</v>
      </c>
      <c r="BS98" s="22">
        <f t="shared" si="63"/>
        <v>43.307208530055945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>
        <f>BY98*VLOOKUP('Données projet'!$B$12,Paramètres!$A$1:$I$89,3,0)*VLOOKUP('Données projet'!$B$12,Paramètres!$A$1:$I$89,5,0)</f>
        <v>0</v>
      </c>
      <c r="CA98" s="13" t="e">
        <f t="shared" si="93"/>
        <v>#NUM!</v>
      </c>
      <c r="CB98" s="20" t="e">
        <f t="shared" si="64"/>
        <v>#NUM!</v>
      </c>
      <c r="CC98" s="59" t="e">
        <f t="shared" si="65"/>
        <v>#NUM!</v>
      </c>
      <c r="CD98" s="59">
        <f ca="1">AVERAGE(OFFSET($CC$3,0,0,'Données projet'!$E$12+1,1))-AVERAGE(OFFSET($H$3,0,0,'Données projet'!$E$12+1,1))</f>
        <v>152.85416952858094</v>
      </c>
      <c r="CE98" s="59">
        <f t="shared" si="94"/>
        <v>369.87619681979322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34.091486068717721</v>
      </c>
      <c r="CL98" s="21">
        <f>EXP(-LN(2)/25)*CL97+(1-EXP(-LN(2)/25))/(LN(2)/25)*Calculateur!CG98*Calculateur!CI98*VLOOKUP('Données projet'!$B$12,Paramètres!$A$1:$I$89,3,0)*0.475*44/12</f>
        <v>2.3713717187722758</v>
      </c>
      <c r="CM98" s="21">
        <f>EXP(-LN(2)/2)*CM97+(1-EXP(-LN(2)/2))/(LN(2)/2)*CG98*CJ98*VLOOKUP('Données projet'!$B$12,Paramètres!$A$1:$I$89,3,0)*0.475*44/12</f>
        <v>7.4023705302171452E-12</v>
      </c>
      <c r="CN98" s="22">
        <f t="shared" si="66"/>
        <v>36.462857787497398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44.928000000000097</v>
      </c>
      <c r="D99" s="11">
        <f t="shared" si="86"/>
        <v>13.295851692351626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449.44727622166243</v>
      </c>
      <c r="H99" s="66">
        <f t="shared" si="56"/>
        <v>394.73987503084589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8.3920000000000012</v>
      </c>
      <c r="N99" s="13">
        <f>IF('Données projet'!$A$36&gt;35,N98+M99-V98,IF(A99&lt;'Données projet'!$A$36,$K$205^A99,IF(A99='Données projet'!$A$36,'Données projet'!$B$36,N98+M99-V98)))</f>
        <v>335.06400000000025</v>
      </c>
      <c r="O99" s="13">
        <f>N99*VLOOKUP('Données projet'!$B$9,Paramètres!$A$1:$I$89,3,0)*VLOOKUP('Données projet'!$B$9,Paramètres!$A$1:$I$89,5,0)</f>
        <v>339.75489600000026</v>
      </c>
      <c r="P99" s="13">
        <f t="shared" si="87"/>
        <v>79.449304258331225</v>
      </c>
      <c r="Q99" s="20">
        <f t="shared" ref="Q99:Q130" si="107">(O99+P99)*0.475*44/12</f>
        <v>730.11398211659389</v>
      </c>
      <c r="R99" s="59">
        <f t="shared" si="55"/>
        <v>1023.4473154499271</v>
      </c>
      <c r="S99" s="59">
        <f ca="1">AVERAGE(OFFSET($R$3,0,0,'Données projet'!$E$9+1,1))-AVERAGE(OFFSET($H$3,0,0,'Données projet'!$E$9+1,1))</f>
        <v>561.16051468364344</v>
      </c>
      <c r="T99" s="59">
        <f t="shared" si="88"/>
        <v>137.34523913145267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104.32282874037227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104.32282874037227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303.16590720000022</v>
      </c>
      <c r="AK99" s="13">
        <f t="shared" si="89"/>
        <v>71.839753187954926</v>
      </c>
      <c r="AL99" s="20">
        <f t="shared" si="58"/>
        <v>653.1348585090218</v>
      </c>
      <c r="AM99" s="59">
        <f t="shared" si="59"/>
        <v>946.46819184235505</v>
      </c>
      <c r="AN99" s="59">
        <f ca="1">AVERAGE(OFFSET($AM$3,0,0,'Données projet'!$E$10+1,1))-AVERAGE(OFFSET($H$3,0,0,'Données projet'!$E$10+1,1))</f>
        <v>491.82493848755047</v>
      </c>
      <c r="AO99" s="59">
        <f t="shared" si="90"/>
        <v>119.46953275458026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93.088062568332148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93.088062568332148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3</v>
      </c>
      <c r="BD99" s="12">
        <f>IF('Données projet'!$A$88&gt;35,BD98+BC99-BL98,IF(A99&lt;'Données projet'!$A$88,$BA$205^A99,IF(A99='Données projet'!$A$88,'Données projet'!$B$88,BD98+BC99-BL98)))</f>
        <v>211.00000000000009</v>
      </c>
      <c r="BE99" s="13">
        <f>BD99*VLOOKUP('Données projet'!$B$11,Paramètres!$A$1:$I$89,3,0)*VLOOKUP('Données projet'!$B$11,Paramètres!$A$1:$I$89,5,0)</f>
        <v>184.32960000000008</v>
      </c>
      <c r="BF99" s="13">
        <f t="shared" si="91"/>
        <v>46.284105851003098</v>
      </c>
      <c r="BG99" s="20">
        <f t="shared" si="61"/>
        <v>401.65220435716384</v>
      </c>
      <c r="BH99" s="59">
        <f t="shared" si="62"/>
        <v>694.98553769049715</v>
      </c>
      <c r="BI99" s="59">
        <f ca="1">AVERAGE(OFFSET($BH$3,0,0,'Données projet'!$E$11+1,1))-AVERAGE(OFFSET($H$3,0,0,'Données projet'!$E$11+1,1))</f>
        <v>216.10252108537389</v>
      </c>
      <c r="BJ99" s="59">
        <f t="shared" si="92"/>
        <v>196.91968622092054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42.45798058557051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0</v>
      </c>
      <c r="BS99" s="22">
        <f t="shared" si="63"/>
        <v>42.45798058557051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>
        <f>BY99*VLOOKUP('Données projet'!$B$12,Paramètres!$A$1:$I$89,3,0)*VLOOKUP('Données projet'!$B$12,Paramètres!$A$1:$I$89,5,0)</f>
        <v>0</v>
      </c>
      <c r="CA99" s="13" t="e">
        <f t="shared" si="93"/>
        <v>#NUM!</v>
      </c>
      <c r="CB99" s="20" t="e">
        <f t="shared" si="64"/>
        <v>#NUM!</v>
      </c>
      <c r="CC99" s="59" t="e">
        <f t="shared" si="65"/>
        <v>#NUM!</v>
      </c>
      <c r="CD99" s="59">
        <f ca="1">AVERAGE(OFFSET($CC$3,0,0,'Données projet'!$E$12+1,1))-AVERAGE(OFFSET($H$3,0,0,'Données projet'!$E$12+1,1))</f>
        <v>152.85416952858094</v>
      </c>
      <c r="CE99" s="59">
        <f t="shared" si="94"/>
        <v>369.87619681979322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33.422972820663453</v>
      </c>
      <c r="CL99" s="21">
        <f>EXP(-LN(2)/25)*CL98+(1-EXP(-LN(2)/25))/(LN(2)/25)*Calculateur!CG99*Calculateur!CI99*VLOOKUP('Données projet'!$B$12,Paramètres!$A$1:$I$89,3,0)*0.475*44/12</f>
        <v>2.306526434417429</v>
      </c>
      <c r="CM99" s="21">
        <f>EXP(-LN(2)/2)*CM98+(1-EXP(-LN(2)/2))/(LN(2)/2)*CG99*CJ99*VLOOKUP('Données projet'!$B$12,Paramètres!$A$1:$I$89,3,0)*0.475*44/12</f>
        <v>5.2342663987720027E-12</v>
      </c>
      <c r="CN99" s="22">
        <f t="shared" si="66"/>
        <v>35.729499255086118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45.3960000000001</v>
      </c>
      <c r="D100" s="11">
        <f t="shared" si="86"/>
        <v>13.418155022123713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454.00400367955223</v>
      </c>
      <c r="H100" s="66">
        <f t="shared" si="56"/>
        <v>395.76798666353227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8.3920000000000012</v>
      </c>
      <c r="N100" s="13">
        <f>IF('Données projet'!$A$36&gt;35,N99+M100-V99,IF(A100&lt;'Données projet'!$A$36,$K$205^A100,IF(A100='Données projet'!$A$36,'Données projet'!$B$36,N99+M100-V99)))</f>
        <v>343.45600000000024</v>
      </c>
      <c r="O100" s="13">
        <f>N100*VLOOKUP('Données projet'!$B$9,Paramètres!$A$1:$I$89,3,0)*VLOOKUP('Données projet'!$B$9,Paramètres!$A$1:$I$89,5,0)</f>
        <v>348.26438400000029</v>
      </c>
      <c r="P100" s="13">
        <f t="shared" si="87"/>
        <v>81.205026544380246</v>
      </c>
      <c r="Q100" s="20">
        <f t="shared" si="107"/>
        <v>747.99255669812953</v>
      </c>
      <c r="R100" s="59">
        <f t="shared" si="55"/>
        <v>1041.3258900314629</v>
      </c>
      <c r="S100" s="59">
        <f ca="1">AVERAGE(OFFSET($R$3,0,0,'Données projet'!$E$9+1,1))-AVERAGE(OFFSET($H$3,0,0,'Données projet'!$E$9+1,1))</f>
        <v>561.16051468364344</v>
      </c>
      <c r="T100" s="59">
        <f t="shared" si="88"/>
        <v>137.34523913145267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102.2771216994161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102.2771216994161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310.75898880000022</v>
      </c>
      <c r="AK100" s="13">
        <f t="shared" si="89"/>
        <v>73.427314676048425</v>
      </c>
      <c r="AL100" s="20">
        <f t="shared" si="58"/>
        <v>669.12447855411801</v>
      </c>
      <c r="AM100" s="59">
        <f t="shared" si="59"/>
        <v>962.45781188745127</v>
      </c>
      <c r="AN100" s="59">
        <f ca="1">AVERAGE(OFFSET($AM$3,0,0,'Données projet'!$E$10+1,1))-AVERAGE(OFFSET($H$3,0,0,'Données projet'!$E$10+1,1))</f>
        <v>491.82493848755047</v>
      </c>
      <c r="AO100" s="59">
        <f t="shared" si="90"/>
        <v>119.46953275458026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91.262662439478945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91.262662439478945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3</v>
      </c>
      <c r="BD100" s="12">
        <f>IF('Données projet'!$A$88&gt;35,BD99+BC100-BL99,IF(A100&lt;'Données projet'!$A$88,$BA$205^A100,IF(A100='Données projet'!$A$88,'Données projet'!$B$88,BD99+BC100-BL99)))</f>
        <v>214.00000000000009</v>
      </c>
      <c r="BE100" s="13">
        <f>BD100*VLOOKUP('Données projet'!$B$11,Paramètres!$A$1:$I$89,3,0)*VLOOKUP('Données projet'!$B$11,Paramètres!$A$1:$I$89,5,0)</f>
        <v>186.95040000000009</v>
      </c>
      <c r="BF100" s="13">
        <f t="shared" si="91"/>
        <v>46.865095976617653</v>
      </c>
      <c r="BG100" s="20">
        <f t="shared" si="61"/>
        <v>407.22865549260922</v>
      </c>
      <c r="BH100" s="59">
        <f t="shared" si="62"/>
        <v>700.56198882594254</v>
      </c>
      <c r="BI100" s="59">
        <f ca="1">AVERAGE(OFFSET($BH$3,0,0,'Données projet'!$E$11+1,1))-AVERAGE(OFFSET($H$3,0,0,'Données projet'!$E$11+1,1))</f>
        <v>216.10252108537389</v>
      </c>
      <c r="BJ100" s="59">
        <f t="shared" si="92"/>
        <v>196.91968622092054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41.625405483098532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0</v>
      </c>
      <c r="BS100" s="22">
        <f t="shared" si="63"/>
        <v>41.625405483098532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>
        <f>BY100*VLOOKUP('Données projet'!$B$12,Paramètres!$A$1:$I$89,3,0)*VLOOKUP('Données projet'!$B$12,Paramètres!$A$1:$I$89,5,0)</f>
        <v>0</v>
      </c>
      <c r="CA100" s="13" t="e">
        <f t="shared" si="93"/>
        <v>#NUM!</v>
      </c>
      <c r="CB100" s="20" t="e">
        <f t="shared" si="64"/>
        <v>#NUM!</v>
      </c>
      <c r="CC100" s="59" t="e">
        <f t="shared" si="65"/>
        <v>#NUM!</v>
      </c>
      <c r="CD100" s="59">
        <f ca="1">AVERAGE(OFFSET($CC$3,0,0,'Données projet'!$E$12+1,1))-AVERAGE(OFFSET($H$3,0,0,'Données projet'!$E$12+1,1))</f>
        <v>152.85416952858094</v>
      </c>
      <c r="CE100" s="59">
        <f t="shared" si="94"/>
        <v>369.87619681979322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32.76756870965071</v>
      </c>
      <c r="CL100" s="21">
        <f>EXP(-LN(2)/25)*CL99+(1-EXP(-LN(2)/25))/(LN(2)/25)*Calculateur!CG100*Calculateur!CI100*VLOOKUP('Données projet'!$B$12,Paramètres!$A$1:$I$89,3,0)*0.475*44/12</f>
        <v>2.2434543477733309</v>
      </c>
      <c r="CM100" s="21">
        <f>EXP(-LN(2)/2)*CM99+(1-EXP(-LN(2)/2))/(LN(2)/2)*CG100*CJ100*VLOOKUP('Données projet'!$B$12,Paramètres!$A$1:$I$89,3,0)*0.475*44/12</f>
        <v>3.7011852651085726E-12</v>
      </c>
      <c r="CN100" s="22">
        <f t="shared" si="66"/>
        <v>35.011023057427742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45.864000000000104</v>
      </c>
      <c r="D101" s="11">
        <f t="shared" si="86"/>
        <v>13.540311673175431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458.55959888065331</v>
      </c>
      <c r="H101" s="66">
        <f t="shared" si="56"/>
        <v>396.79584283078071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8.3920000000000012</v>
      </c>
      <c r="N101" s="13">
        <f>IF('Données projet'!$A$36&gt;35,N100+M101-V100,IF(A101&lt;'Données projet'!$A$36,$K$205^A101,IF(A101='Données projet'!$A$36,'Données projet'!$B$36,N100+M101-V100)))</f>
        <v>351.84800000000024</v>
      </c>
      <c r="O101" s="13">
        <f>N101*VLOOKUP('Données projet'!$B$9,Paramètres!$A$1:$I$89,3,0)*VLOOKUP('Données projet'!$B$9,Paramètres!$A$1:$I$89,5,0)</f>
        <v>356.77387200000027</v>
      </c>
      <c r="P101" s="13">
        <f t="shared" si="87"/>
        <v>82.955761921963898</v>
      </c>
      <c r="Q101" s="20">
        <f t="shared" si="107"/>
        <v>765.86244574742079</v>
      </c>
      <c r="R101" s="59">
        <f t="shared" si="55"/>
        <v>1059.1957790807542</v>
      </c>
      <c r="S101" s="59">
        <f ca="1">AVERAGE(OFFSET($R$3,0,0,'Données projet'!$E$9+1,1))-AVERAGE(OFFSET($H$3,0,0,'Données projet'!$E$9+1,1))</f>
        <v>561.16051468364344</v>
      </c>
      <c r="T101" s="59">
        <f t="shared" si="88"/>
        <v>137.34523913145267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100.27152972577498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100.27152972577498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318.35207040000023</v>
      </c>
      <c r="AK101" s="13">
        <f t="shared" si="89"/>
        <v>75.01036689528604</v>
      </c>
      <c r="AL101" s="20">
        <f t="shared" si="58"/>
        <v>685.10624495595687</v>
      </c>
      <c r="AM101" s="59">
        <f t="shared" si="59"/>
        <v>978.43957828929024</v>
      </c>
      <c r="AN101" s="59">
        <f ca="1">AVERAGE(OFFSET($AM$3,0,0,'Données projet'!$E$10+1,1))-AVERAGE(OFFSET($H$3,0,0,'Données projet'!$E$10+1,1))</f>
        <v>491.82493848755047</v>
      </c>
      <c r="AO101" s="59">
        <f t="shared" si="90"/>
        <v>119.46953275458026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89.47305729376842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89.47305729376842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3</v>
      </c>
      <c r="BD101" s="12">
        <f>IF('Données projet'!$A$88&gt;35,BD100+BC101-BL100,IF(A101&lt;'Données projet'!$A$88,$BA$205^A101,IF(A101='Données projet'!$A$88,'Données projet'!$B$88,BD100+BC101-BL100)))</f>
        <v>217.00000000000009</v>
      </c>
      <c r="BE101" s="13">
        <f>BD101*VLOOKUP('Données projet'!$B$11,Paramètres!$A$1:$I$89,3,0)*VLOOKUP('Données projet'!$B$11,Paramètres!$A$1:$I$89,5,0)</f>
        <v>189.57120000000009</v>
      </c>
      <c r="BF101" s="13">
        <f t="shared" si="91"/>
        <v>47.445138796932483</v>
      </c>
      <c r="BG101" s="20">
        <f t="shared" si="61"/>
        <v>412.80345673799087</v>
      </c>
      <c r="BH101" s="59">
        <f t="shared" si="62"/>
        <v>706.13679007132419</v>
      </c>
      <c r="BI101" s="59">
        <f ca="1">AVERAGE(OFFSET($BH$3,0,0,'Données projet'!$E$11+1,1))-AVERAGE(OFFSET($H$3,0,0,'Données projet'!$E$11+1,1))</f>
        <v>216.10252108537389</v>
      </c>
      <c r="BJ101" s="59">
        <f t="shared" si="92"/>
        <v>196.91968622092054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40.809156670565358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0</v>
      </c>
      <c r="BS101" s="22">
        <f t="shared" si="63"/>
        <v>40.809156670565358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>
        <f>BY101*VLOOKUP('Données projet'!$B$12,Paramètres!$A$1:$I$89,3,0)*VLOOKUP('Données projet'!$B$12,Paramètres!$A$1:$I$89,5,0)</f>
        <v>0</v>
      </c>
      <c r="CA101" s="13" t="e">
        <f t="shared" si="93"/>
        <v>#NUM!</v>
      </c>
      <c r="CB101" s="20" t="e">
        <f t="shared" si="64"/>
        <v>#NUM!</v>
      </c>
      <c r="CC101" s="59" t="e">
        <f t="shared" si="65"/>
        <v>#NUM!</v>
      </c>
      <c r="CD101" s="59">
        <f ca="1">AVERAGE(OFFSET($CC$3,0,0,'Données projet'!$E$12+1,1))-AVERAGE(OFFSET($H$3,0,0,'Données projet'!$E$12+1,1))</f>
        <v>152.85416952858094</v>
      </c>
      <c r="CE101" s="59">
        <f t="shared" si="94"/>
        <v>369.87619681979322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32.125016673497896</v>
      </c>
      <c r="CL101" s="21">
        <f>EXP(-LN(2)/25)*CL100+(1-EXP(-LN(2)/25))/(LN(2)/25)*Calculateur!CG101*Calculateur!CI101*VLOOKUP('Données projet'!$B$12,Paramètres!$A$1:$I$89,3,0)*0.475*44/12</f>
        <v>2.1821069706553327</v>
      </c>
      <c r="CM101" s="21">
        <f>EXP(-LN(2)/2)*CM100+(1-EXP(-LN(2)/2))/(LN(2)/2)*CG101*CJ101*VLOOKUP('Données projet'!$B$12,Paramètres!$A$1:$I$89,3,0)*0.475*44/12</f>
        <v>2.6171331993860014E-12</v>
      </c>
      <c r="CN101" s="22">
        <f t="shared" si="66"/>
        <v>34.307123644155844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46.332000000000107</v>
      </c>
      <c r="D102" s="11">
        <f t="shared" si="86"/>
        <v>13.662323315513085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463.11407471624216</v>
      </c>
      <c r="H102" s="66">
        <f t="shared" si="56"/>
        <v>397.82344644118547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8.3920000000000012</v>
      </c>
      <c r="N102" s="13">
        <f>IF('Données projet'!$A$36&gt;35,N101+M102-V101,IF(A102&lt;'Données projet'!$A$36,$K$205^A102,IF(A102='Données projet'!$A$36,'Données projet'!$B$36,N101+M102-V101)))</f>
        <v>360.24000000000024</v>
      </c>
      <c r="O102" s="13">
        <f>N102*VLOOKUP('Données projet'!$B$9,Paramètres!$A$1:$I$89,3,0)*VLOOKUP('Données projet'!$B$9,Paramètres!$A$1:$I$89,5,0)</f>
        <v>365.28336000000024</v>
      </c>
      <c r="P102" s="13">
        <f t="shared" si="87"/>
        <v>84.701643021200056</v>
      </c>
      <c r="Q102" s="20">
        <f t="shared" si="107"/>
        <v>783.72388026192391</v>
      </c>
      <c r="R102" s="59">
        <f t="shared" si="55"/>
        <v>1077.0572135952573</v>
      </c>
      <c r="S102" s="59">
        <f ca="1">AVERAGE(OFFSET($R$3,0,0,'Données projet'!$E$9+1,1))-AVERAGE(OFFSET($H$3,0,0,'Données projet'!$E$9+1,1))</f>
        <v>561.16051468364344</v>
      </c>
      <c r="T102" s="59">
        <f t="shared" si="88"/>
        <v>137.34523913145267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98.305266187446662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98.305266187446662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325.94515200000018</v>
      </c>
      <c r="AK102" s="13">
        <f t="shared" si="89"/>
        <v>76.589029772645205</v>
      </c>
      <c r="AL102" s="20">
        <f t="shared" si="58"/>
        <v>701.08036658735728</v>
      </c>
      <c r="AM102" s="59">
        <f t="shared" si="59"/>
        <v>994.41369992069053</v>
      </c>
      <c r="AN102" s="59">
        <f ca="1">AVERAGE(OFFSET($AM$3,0,0,'Données projet'!$E$10+1,1))-AVERAGE(OFFSET($H$3,0,0,'Données projet'!$E$10+1,1))</f>
        <v>491.82493848755047</v>
      </c>
      <c r="AO102" s="59">
        <f t="shared" si="90"/>
        <v>119.46953275458026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87.718545213413918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87.718545213413918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3</v>
      </c>
      <c r="BD102" s="12">
        <f>IF('Données projet'!$A$88&gt;35,BD101+BC102-BL101,IF(A102&lt;'Données projet'!$A$88,$BA$205^A102,IF(A102='Données projet'!$A$88,'Données projet'!$B$88,BD101+BC102-BL101)))</f>
        <v>220.00000000000009</v>
      </c>
      <c r="BE102" s="13">
        <f>BD102*VLOOKUP('Données projet'!$B$11,Paramètres!$A$1:$I$89,3,0)*VLOOKUP('Données projet'!$B$11,Paramètres!$A$1:$I$89,5,0)</f>
        <v>192.19200000000009</v>
      </c>
      <c r="BF102" s="13">
        <f t="shared" si="91"/>
        <v>48.024248921932482</v>
      </c>
      <c r="BG102" s="20">
        <f t="shared" si="61"/>
        <v>418.37663353903253</v>
      </c>
      <c r="BH102" s="59">
        <f t="shared" si="62"/>
        <v>711.70996687236584</v>
      </c>
      <c r="BI102" s="59">
        <f ca="1">AVERAGE(OFFSET($BH$3,0,0,'Données projet'!$E$11+1,1))-AVERAGE(OFFSET($H$3,0,0,'Données projet'!$E$11+1,1))</f>
        <v>216.10252108537389</v>
      </c>
      <c r="BJ102" s="59">
        <f t="shared" si="92"/>
        <v>196.91968622092054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40.008913999383346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0</v>
      </c>
      <c r="BS102" s="22">
        <f t="shared" si="63"/>
        <v>40.008913999383346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>
        <f>BY102*VLOOKUP('Données projet'!$B$12,Paramètres!$A$1:$I$89,3,0)*VLOOKUP('Données projet'!$B$12,Paramètres!$A$1:$I$89,5,0)</f>
        <v>0</v>
      </c>
      <c r="CA102" s="13" t="e">
        <f t="shared" si="93"/>
        <v>#NUM!</v>
      </c>
      <c r="CB102" s="20" t="e">
        <f t="shared" si="64"/>
        <v>#NUM!</v>
      </c>
      <c r="CC102" s="59" t="e">
        <f t="shared" si="65"/>
        <v>#NUM!</v>
      </c>
      <c r="CD102" s="59">
        <f ca="1">AVERAGE(OFFSET($CC$3,0,0,'Données projet'!$E$12+1,1))-AVERAGE(OFFSET($H$3,0,0,'Données projet'!$E$12+1,1))</f>
        <v>152.85416952858094</v>
      </c>
      <c r="CE102" s="59">
        <f t="shared" si="94"/>
        <v>369.87619681979322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31.495064690855994</v>
      </c>
      <c r="CL102" s="21">
        <f>EXP(-LN(2)/25)*CL101+(1-EXP(-LN(2)/25))/(LN(2)/25)*Calculateur!CG102*Calculateur!CI102*VLOOKUP('Données projet'!$B$12,Paramètres!$A$1:$I$89,3,0)*0.475*44/12</f>
        <v>2.1224371407907441</v>
      </c>
      <c r="CM102" s="21">
        <f>EXP(-LN(2)/2)*CM101+(1-EXP(-LN(2)/2))/(LN(2)/2)*CG102*CJ102*VLOOKUP('Données projet'!$B$12,Paramètres!$A$1:$I$89,3,0)*0.475*44/12</f>
        <v>1.8505926325542863E-12</v>
      </c>
      <c r="CN102" s="22">
        <f t="shared" si="66"/>
        <v>33.617501831648582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46.800000000000111</v>
      </c>
      <c r="D103" s="11">
        <f t="shared" si="86"/>
        <v>13.784191583461164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467.66744380215727</v>
      </c>
      <c r="H103" s="66">
        <f t="shared" si="56"/>
        <v>398.85080034119505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8.3920000000000012</v>
      </c>
      <c r="N103" s="13">
        <f>IF('Données projet'!$A$36&gt;35,N102+M103-V102,IF(A103&lt;'Données projet'!$A$36,$K$205^A103,IF(A103='Données projet'!$A$36,'Données projet'!$B$36,N102+M103-V102)))</f>
        <v>368.63200000000023</v>
      </c>
      <c r="O103" s="13">
        <f>N103*VLOOKUP('Données projet'!$B$9,Paramètres!$A$1:$I$89,3,0)*VLOOKUP('Données projet'!$B$9,Paramètres!$A$1:$I$89,5,0)</f>
        <v>373.79284800000028</v>
      </c>
      <c r="P103" s="13">
        <f t="shared" si="87"/>
        <v>86.442795940254214</v>
      </c>
      <c r="Q103" s="20">
        <f t="shared" si="107"/>
        <v>801.57707986260993</v>
      </c>
      <c r="R103" s="59">
        <f t="shared" si="55"/>
        <v>1094.9104131959432</v>
      </c>
      <c r="S103" s="59">
        <f ca="1">AVERAGE(OFFSET($R$3,0,0,'Données projet'!$E$9+1,1))-AVERAGE(OFFSET($H$3,0,0,'Données projet'!$E$9+1,1))</f>
        <v>561.16051468364344</v>
      </c>
      <c r="T103" s="59">
        <f t="shared" si="88"/>
        <v>137.34523913145267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96.377559877802625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96.377559877802625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333.53823360000024</v>
      </c>
      <c r="AK103" s="13">
        <f t="shared" si="89"/>
        <v>78.163417328773136</v>
      </c>
      <c r="AL103" s="20">
        <f t="shared" si="58"/>
        <v>717.04704203428025</v>
      </c>
      <c r="AM103" s="59">
        <f t="shared" si="59"/>
        <v>1010.3803753676136</v>
      </c>
      <c r="AN103" s="59">
        <f ca="1">AVERAGE(OFFSET($AM$3,0,0,'Données projet'!$E$10+1,1))-AVERAGE(OFFSET($H$3,0,0,'Données projet'!$E$10+1,1))</f>
        <v>491.82493848755047</v>
      </c>
      <c r="AO103" s="59">
        <f t="shared" si="90"/>
        <v>119.46953275458026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85.998438044808466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85.998438044808466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>
        <f>VLOOKUP(A103,'Données projet'!$A$87:$I$107,2,0)</f>
        <v>223</v>
      </c>
      <c r="BB103" s="12">
        <f>VLOOKUP(A103,'Données projet'!$A$87:$I$107,9,0)</f>
        <v>3</v>
      </c>
      <c r="BC103" s="12">
        <f t="array" ref="BC103">INDEX(BB:BB,MIN(IF(ISNUMBER(BB103:BB299),ROW(BB103:BB299),"")))</f>
        <v>3</v>
      </c>
      <c r="BD103" s="12">
        <f>IF('Données projet'!$A$88&gt;35,BD102+BC103-BL102,IF(A103&lt;'Données projet'!$A$88,$BA$205^A103,IF(A103='Données projet'!$A$88,'Données projet'!$B$88,BD102+BC103-BL102)))</f>
        <v>223.00000000000009</v>
      </c>
      <c r="BE103" s="13">
        <f>BD103*VLOOKUP('Données projet'!$B$11,Paramètres!$A$1:$I$89,3,0)*VLOOKUP('Données projet'!$B$11,Paramètres!$A$1:$I$89,5,0)</f>
        <v>194.81280000000012</v>
      </c>
      <c r="BF103" s="13">
        <f t="shared" si="91"/>
        <v>48.602440540253902</v>
      </c>
      <c r="BG103" s="20">
        <f t="shared" si="61"/>
        <v>423.9482106076091</v>
      </c>
      <c r="BH103" s="59">
        <f t="shared" si="62"/>
        <v>717.28154394094236</v>
      </c>
      <c r="BI103" s="59">
        <f ca="1">AVERAGE(OFFSET($BH$3,0,0,'Données projet'!$E$11+1,1))-AVERAGE(OFFSET($H$3,0,0,'Données projet'!$E$11+1,1))</f>
        <v>216.10252108537389</v>
      </c>
      <c r="BJ103" s="59">
        <f t="shared" si="92"/>
        <v>196.91968622092054</v>
      </c>
      <c r="BK103" s="15">
        <f>IF(ISNA(VLOOKUP(A103,'Données projet'!$A$87:$I$107,3,0)),0,VLOOKUP(A103,'Données projet'!$A$87:$I$107,3,0))</f>
        <v>17</v>
      </c>
      <c r="BL103" s="15">
        <f>IF(ISNA(VLOOKUP(A103,'Données projet'!$A$87:$I$107,4,0)),0,VLOOKUP(A103,'Données projet'!$A$87:$I$107,4,0))</f>
        <v>11</v>
      </c>
      <c r="BM103" s="16">
        <f>IF(ISNA(VLOOKUP(A103,'Données projet'!$A$87:$I$107,5,0)),0%,VLOOKUP(A103,'Données projet'!$A$87:$I$107,5,0)*VLOOKUP('Données projet'!$B$11,Paramètres!$A$1:$I$89,7,0))</f>
        <v>0.43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43.792308707322107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0</v>
      </c>
      <c r="BS103" s="22">
        <f t="shared" si="63"/>
        <v>43.792308707322107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>
        <f>BY103*VLOOKUP('Données projet'!$B$12,Paramètres!$A$1:$I$89,3,0)*VLOOKUP('Données projet'!$B$12,Paramètres!$A$1:$I$89,5,0)</f>
        <v>0</v>
      </c>
      <c r="CA103" s="13" t="e">
        <f t="shared" si="93"/>
        <v>#NUM!</v>
      </c>
      <c r="CB103" s="20" t="e">
        <f t="shared" si="64"/>
        <v>#NUM!</v>
      </c>
      <c r="CC103" s="59" t="e">
        <f t="shared" si="65"/>
        <v>#NUM!</v>
      </c>
      <c r="CD103" s="59">
        <f ca="1">AVERAGE(OFFSET($CC$3,0,0,'Données projet'!$E$12+1,1))-AVERAGE(OFFSET($H$3,0,0,'Données projet'!$E$12+1,1))</f>
        <v>152.85416952858094</v>
      </c>
      <c r="CE103" s="59">
        <f t="shared" si="94"/>
        <v>369.87619681979322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30.877465682360931</v>
      </c>
      <c r="CL103" s="21">
        <f>EXP(-LN(2)/25)*CL102+(1-EXP(-LN(2)/25))/(LN(2)/25)*Calculateur!CG103*Calculateur!CI103*VLOOKUP('Données projet'!$B$12,Paramètres!$A$1:$I$89,3,0)*0.475*44/12</f>
        <v>2.0643989855617026</v>
      </c>
      <c r="CM103" s="21">
        <f>EXP(-LN(2)/2)*CM102+(1-EXP(-LN(2)/2))/(LN(2)/2)*CG103*CJ103*VLOOKUP('Données projet'!$B$12,Paramètres!$A$1:$I$89,3,0)*0.475*44/12</f>
        <v>1.3085665996930007E-12</v>
      </c>
      <c r="CN103" s="22">
        <f t="shared" si="66"/>
        <v>32.941864667923944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47.268000000000114</v>
      </c>
      <c r="D104" s="11">
        <f t="shared" si="86"/>
        <v>13.905918076773704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472.21971848737684</v>
      </c>
      <c r="H104" s="66">
        <f t="shared" si="56"/>
        <v>399.87790731704769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8.3920000000000012</v>
      </c>
      <c r="N104" s="13">
        <f>IF('Données projet'!$A$36&gt;35,N103+M104-V103,IF(A104&lt;'Données projet'!$A$36,$K$205^A104,IF(A104='Données projet'!$A$36,'Données projet'!$B$36,N103+M104-V103)))</f>
        <v>377.02400000000023</v>
      </c>
      <c r="O104" s="13">
        <f>N104*VLOOKUP('Données projet'!$B$9,Paramètres!$A$1:$I$89,3,0)*VLOOKUP('Données projet'!$B$9,Paramètres!$A$1:$I$89,5,0)</f>
        <v>382.30233600000025</v>
      </c>
      <c r="P104" s="13">
        <f t="shared" si="87"/>
        <v>88.179340708300487</v>
      </c>
      <c r="Q104" s="20">
        <f t="shared" si="107"/>
        <v>819.42225360029033</v>
      </c>
      <c r="R104" s="59">
        <f t="shared" si="55"/>
        <v>1112.7555869336236</v>
      </c>
      <c r="S104" s="59">
        <f ca="1">AVERAGE(OFFSET($R$3,0,0,'Données projet'!$E$9+1,1))-AVERAGE(OFFSET($H$3,0,0,'Données projet'!$E$9+1,1))</f>
        <v>561.16051468364344</v>
      </c>
      <c r="T104" s="59">
        <f t="shared" si="88"/>
        <v>137.34523913145267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94.487654713105954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94.487654713105954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341.13131520000019</v>
      </c>
      <c r="AK104" s="13">
        <f t="shared" si="89"/>
        <v>79.733638096605603</v>
      </c>
      <c r="AL104" s="20">
        <f t="shared" si="58"/>
        <v>733.0064603249217</v>
      </c>
      <c r="AM104" s="59">
        <f t="shared" si="59"/>
        <v>1026.3397936582551</v>
      </c>
      <c r="AN104" s="59">
        <f ca="1">AVERAGE(OFFSET($AM$3,0,0,'Données projet'!$E$10+1,1))-AVERAGE(OFFSET($H$3,0,0,'Données projet'!$E$10+1,1))</f>
        <v>491.82493848755047</v>
      </c>
      <c r="AO104" s="59">
        <f t="shared" si="90"/>
        <v>119.46953275458026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84.312061128617586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84.312061128617586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212.00000000000009</v>
      </c>
      <c r="BE104" s="13">
        <f>BD104*VLOOKUP('Données projet'!$B$11,Paramètres!$A$1:$I$89,3,0)*VLOOKUP('Données projet'!$B$11,Paramètres!$A$1:$I$89,5,0)</f>
        <v>185.20320000000009</v>
      </c>
      <c r="BF104" s="13">
        <f t="shared" si="91"/>
        <v>46.477875402099386</v>
      </c>
      <c r="BG104" s="20">
        <f t="shared" si="61"/>
        <v>403.5112063253232</v>
      </c>
      <c r="BH104" s="59">
        <f t="shared" si="62"/>
        <v>696.84453965865646</v>
      </c>
      <c r="BI104" s="59">
        <f ca="1">AVERAGE(OFFSET($BH$3,0,0,'Données projet'!$E$11+1,1))-AVERAGE(OFFSET($H$3,0,0,'Données projet'!$E$11+1,1))</f>
        <v>216.10252108537389</v>
      </c>
      <c r="BJ104" s="59">
        <f t="shared" si="92"/>
        <v>196.91968622092054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42.933568244242373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0</v>
      </c>
      <c r="BS104" s="22">
        <f t="shared" si="63"/>
        <v>42.933568244242373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>
        <f>BY104*VLOOKUP('Données projet'!$B$12,Paramètres!$A$1:$I$89,3,0)*VLOOKUP('Données projet'!$B$12,Paramètres!$A$1:$I$89,5,0)</f>
        <v>0</v>
      </c>
      <c r="CA104" s="13" t="e">
        <f t="shared" si="93"/>
        <v>#NUM!</v>
      </c>
      <c r="CB104" s="20" t="e">
        <f t="shared" si="64"/>
        <v>#NUM!</v>
      </c>
      <c r="CC104" s="59" t="e">
        <f t="shared" si="65"/>
        <v>#NUM!</v>
      </c>
      <c r="CD104" s="59">
        <f ca="1">AVERAGE(OFFSET($CC$3,0,0,'Données projet'!$E$12+1,1))-AVERAGE(OFFSET($H$3,0,0,'Données projet'!$E$12+1,1))</f>
        <v>152.85416952858094</v>
      </c>
      <c r="CE104" s="59">
        <f t="shared" si="94"/>
        <v>369.87619681979322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30.271977413724258</v>
      </c>
      <c r="CL104" s="21">
        <f>EXP(-LN(2)/25)*CL103+(1-EXP(-LN(2)/25))/(LN(2)/25)*Calculateur!CG104*Calculateur!CI104*VLOOKUP('Données projet'!$B$12,Paramètres!$A$1:$I$89,3,0)*0.475*44/12</f>
        <v>2.0079478867394935</v>
      </c>
      <c r="CM104" s="21">
        <f>EXP(-LN(2)/2)*CM103+(1-EXP(-LN(2)/2))/(LN(2)/2)*CG104*CJ104*VLOOKUP('Données projet'!$B$12,Paramètres!$A$1:$I$89,3,0)*0.475*44/12</f>
        <v>9.2529631627714316E-13</v>
      </c>
      <c r="CN104" s="22">
        <f t="shared" si="66"/>
        <v>32.279925300464676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47.736000000000118</v>
      </c>
      <c r="D105" s="11">
        <f t="shared" si="86"/>
        <v>14.027504361700455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476.77091086225005</v>
      </c>
      <c r="H105" s="66">
        <f t="shared" si="56"/>
        <v>400.90477009662845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8.3920000000000012</v>
      </c>
      <c r="N105" s="13">
        <f>IF('Données projet'!$A$36&gt;35,N104+M105-V104,IF(A105&lt;'Données projet'!$A$36,$K$205^A105,IF(A105='Données projet'!$A$36,'Données projet'!$B$36,N104+M105-V104)))</f>
        <v>385.41600000000022</v>
      </c>
      <c r="O105" s="13">
        <f>N105*VLOOKUP('Données projet'!$B$9,Paramètres!$A$1:$I$89,3,0)*VLOOKUP('Données projet'!$B$9,Paramètres!$A$1:$I$89,5,0)</f>
        <v>390.81182400000029</v>
      </c>
      <c r="P105" s="13">
        <f t="shared" si="87"/>
        <v>89.911391706100687</v>
      </c>
      <c r="Q105" s="20">
        <f t="shared" si="107"/>
        <v>837.25960068812583</v>
      </c>
      <c r="R105" s="59">
        <f t="shared" si="55"/>
        <v>1130.5929340214591</v>
      </c>
      <c r="S105" s="59">
        <f ca="1">AVERAGE(OFFSET($R$3,0,0,'Données projet'!$E$9+1,1))-AVERAGE(OFFSET($H$3,0,0,'Données projet'!$E$9+1,1))</f>
        <v>561.16051468364344</v>
      </c>
      <c r="T105" s="59">
        <f t="shared" si="88"/>
        <v>137.34523913145267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92.634809435960662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92.634809435960662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348.72439680000019</v>
      </c>
      <c r="AK105" s="13">
        <f t="shared" si="89"/>
        <v>81.299795501664008</v>
      </c>
      <c r="AL105" s="20">
        <f t="shared" si="58"/>
        <v>748.95880159206502</v>
      </c>
      <c r="AM105" s="59">
        <f t="shared" si="59"/>
        <v>1042.2921349253984</v>
      </c>
      <c r="AN105" s="59">
        <f ca="1">AVERAGE(OFFSET($AM$3,0,0,'Données projet'!$E$10+1,1))-AVERAGE(OFFSET($H$3,0,0,'Données projet'!$E$10+1,1))</f>
        <v>491.82493848755047</v>
      </c>
      <c r="AO105" s="59">
        <f t="shared" si="90"/>
        <v>119.46953275458026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82.658753035164864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82.658753035164864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212.00000000000009</v>
      </c>
      <c r="BE105" s="13">
        <f>BD105*VLOOKUP('Données projet'!$B$11,Paramètres!$A$1:$I$89,3,0)*VLOOKUP('Données projet'!$B$11,Paramètres!$A$1:$I$89,5,0)</f>
        <v>185.20320000000009</v>
      </c>
      <c r="BF105" s="13">
        <f t="shared" si="91"/>
        <v>46.477875402099386</v>
      </c>
      <c r="BG105" s="20">
        <f t="shared" si="61"/>
        <v>403.5112063253232</v>
      </c>
      <c r="BH105" s="59">
        <f t="shared" si="62"/>
        <v>696.84453965865646</v>
      </c>
      <c r="BI105" s="59">
        <f ca="1">AVERAGE(OFFSET($BH$3,0,0,'Données projet'!$E$11+1,1))-AVERAGE(OFFSET($H$3,0,0,'Données projet'!$E$11+1,1))</f>
        <v>216.10252108537389</v>
      </c>
      <c r="BJ105" s="59">
        <f t="shared" si="92"/>
        <v>196.91968622092054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42.091667157863668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0</v>
      </c>
      <c r="BS105" s="22">
        <f t="shared" si="63"/>
        <v>42.091667157863668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>
        <f>BY105*VLOOKUP('Données projet'!$B$12,Paramètres!$A$1:$I$89,3,0)*VLOOKUP('Données projet'!$B$12,Paramètres!$A$1:$I$89,5,0)</f>
        <v>0</v>
      </c>
      <c r="CA105" s="13" t="e">
        <f t="shared" si="93"/>
        <v>#NUM!</v>
      </c>
      <c r="CB105" s="20" t="e">
        <f t="shared" si="64"/>
        <v>#NUM!</v>
      </c>
      <c r="CC105" s="59" t="e">
        <f t="shared" si="65"/>
        <v>#NUM!</v>
      </c>
      <c r="CD105" s="59">
        <f ca="1">AVERAGE(OFFSET($CC$3,0,0,'Données projet'!$E$12+1,1))-AVERAGE(OFFSET($H$3,0,0,'Données projet'!$E$12+1,1))</f>
        <v>152.85416952858094</v>
      </c>
      <c r="CE105" s="59">
        <f t="shared" si="94"/>
        <v>369.87619681979322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29.678362400724172</v>
      </c>
      <c r="CL105" s="21">
        <f>EXP(-LN(2)/25)*CL104+(1-EXP(-LN(2)/25))/(LN(2)/25)*Calculateur!CG105*Calculateur!CI105*VLOOKUP('Données projet'!$B$12,Paramètres!$A$1:$I$89,3,0)*0.475*44/12</f>
        <v>1.953040446183212</v>
      </c>
      <c r="CM105" s="21">
        <f>EXP(-LN(2)/2)*CM104+(1-EXP(-LN(2)/2))/(LN(2)/2)*CG105*CJ105*VLOOKUP('Données projet'!$B$12,Paramètres!$A$1:$I$89,3,0)*0.475*44/12</f>
        <v>6.5428329984650034E-13</v>
      </c>
      <c r="CN105" s="22">
        <f t="shared" si="66"/>
        <v>31.631402846908038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48.204000000000121</v>
      </c>
      <c r="D106" s="11">
        <f t="shared" si="86"/>
        <v>14.148951972010016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481.32103276639413</v>
      </c>
      <c r="H106" s="66">
        <f t="shared" si="56"/>
        <v>401.93139135125097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8.3920000000000012</v>
      </c>
      <c r="N106" s="13">
        <f>IF('Données projet'!$A$36&gt;35,N105+M106-V105,IF(A106&lt;'Données projet'!$A$36,$K$205^A106,IF(A106='Données projet'!$A$36,'Données projet'!$B$36,N105+M106-V105)))</f>
        <v>393.80800000000022</v>
      </c>
      <c r="O106" s="13">
        <f>N106*VLOOKUP('Données projet'!$B$9,Paramètres!$A$1:$I$89,3,0)*VLOOKUP('Données projet'!$B$9,Paramètres!$A$1:$I$89,5,0)</f>
        <v>399.32131200000026</v>
      </c>
      <c r="P106" s="13">
        <f t="shared" si="87"/>
        <v>91.639058048919665</v>
      </c>
      <c r="Q106" s="20">
        <f t="shared" si="107"/>
        <v>855.08931116853546</v>
      </c>
      <c r="R106" s="59">
        <f t="shared" si="55"/>
        <v>1148.4226445018687</v>
      </c>
      <c r="S106" s="59">
        <f ca="1">AVERAGE(OFFSET($R$3,0,0,'Données projet'!$E$9+1,1))-AVERAGE(OFFSET($H$3,0,0,'Données projet'!$E$9+1,1))</f>
        <v>561.16051468364344</v>
      </c>
      <c r="T106" s="59">
        <f t="shared" si="88"/>
        <v>137.34523913145267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90.81829732457615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90.81829732457615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356.3174784000002</v>
      </c>
      <c r="AK106" s="13">
        <f t="shared" si="89"/>
        <v>82.861988208294747</v>
      </c>
      <c r="AL106" s="20">
        <f t="shared" si="58"/>
        <v>764.90423767611367</v>
      </c>
      <c r="AM106" s="59">
        <f t="shared" si="59"/>
        <v>1058.237571009447</v>
      </c>
      <c r="AN106" s="59">
        <f ca="1">AVERAGE(OFFSET($AM$3,0,0,'Données projet'!$E$10+1,1))-AVERAGE(OFFSET($H$3,0,0,'Données projet'!$E$10+1,1))</f>
        <v>491.82493848755047</v>
      </c>
      <c r="AO106" s="59">
        <f t="shared" si="90"/>
        <v>119.46953275458026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81.037865305006378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81.037865305006378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212.00000000000009</v>
      </c>
      <c r="BE106" s="13">
        <f>BD106*VLOOKUP('Données projet'!$B$11,Paramètres!$A$1:$I$89,3,0)*VLOOKUP('Données projet'!$B$11,Paramètres!$A$1:$I$89,5,0)</f>
        <v>185.20320000000009</v>
      </c>
      <c r="BF106" s="13">
        <f t="shared" si="91"/>
        <v>46.477875402099386</v>
      </c>
      <c r="BG106" s="20">
        <f t="shared" si="61"/>
        <v>403.5112063253232</v>
      </c>
      <c r="BH106" s="59">
        <f t="shared" si="62"/>
        <v>696.84453965865646</v>
      </c>
      <c r="BI106" s="59">
        <f ca="1">AVERAGE(OFFSET($BH$3,0,0,'Données projet'!$E$11+1,1))-AVERAGE(OFFSET($H$3,0,0,'Données projet'!$E$11+1,1))</f>
        <v>216.10252108537389</v>
      </c>
      <c r="BJ106" s="59">
        <f t="shared" si="92"/>
        <v>196.91968622092054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41.266275238279889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0</v>
      </c>
      <c r="BS106" s="22">
        <f t="shared" si="63"/>
        <v>41.266275238279889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>
        <f>BY106*VLOOKUP('Données projet'!$B$12,Paramètres!$A$1:$I$89,3,0)*VLOOKUP('Données projet'!$B$12,Paramètres!$A$1:$I$89,5,0)</f>
        <v>0</v>
      </c>
      <c r="CA106" s="13" t="e">
        <f t="shared" si="93"/>
        <v>#NUM!</v>
      </c>
      <c r="CB106" s="20" t="e">
        <f t="shared" si="64"/>
        <v>#NUM!</v>
      </c>
      <c r="CC106" s="59" t="e">
        <f t="shared" si="65"/>
        <v>#NUM!</v>
      </c>
      <c r="CD106" s="59">
        <f ca="1">AVERAGE(OFFSET($CC$3,0,0,'Données projet'!$E$12+1,1))-AVERAGE(OFFSET($H$3,0,0,'Données projet'!$E$12+1,1))</f>
        <v>152.85416952858094</v>
      </c>
      <c r="CE106" s="59">
        <f t="shared" si="94"/>
        <v>369.87619681979322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29.096387816059611</v>
      </c>
      <c r="CL106" s="21">
        <f>EXP(-LN(2)/25)*CL105+(1-EXP(-LN(2)/25))/(LN(2)/25)*Calculateur!CG106*Calculateur!CI106*VLOOKUP('Données projet'!$B$12,Paramètres!$A$1:$I$89,3,0)*0.475*44/12</f>
        <v>1.8996344524763988</v>
      </c>
      <c r="CM106" s="21">
        <f>EXP(-LN(2)/2)*CM105+(1-EXP(-LN(2)/2))/(LN(2)/2)*CG106*CJ106*VLOOKUP('Données projet'!$B$12,Paramètres!$A$1:$I$89,3,0)*0.475*44/12</f>
        <v>4.6264815813857158E-13</v>
      </c>
      <c r="CN106" s="22">
        <f t="shared" si="66"/>
        <v>30.996022268536471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48.672000000000125</v>
      </c>
      <c r="D107" s="11">
        <f t="shared" si="86"/>
        <v>14.270262409972092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485.87009579627687</v>
      </c>
      <c r="H107" s="66">
        <f t="shared" si="56"/>
        <v>402.95777369736822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>
        <f>VLOOKUP(A107,'Données projet'!$A$35:$I$55,2,0)</f>
        <v>402.2</v>
      </c>
      <c r="L107" s="12">
        <f>VLOOKUP(A107,'Données projet'!$A$35:$I$55,9,0)</f>
        <v>8.3920000000000012</v>
      </c>
      <c r="M107" s="12">
        <f t="array" ref="M107">INDEX(L:L,MIN(IF(ISNUMBER(L107:L303),ROW(L107:L303),"")))</f>
        <v>8.3920000000000012</v>
      </c>
      <c r="N107" s="13">
        <f>IF('Données projet'!$A$36&gt;35,N106+M107-V106,IF(A107&lt;'Données projet'!$A$36,$K$205^A107,IF(A107='Données projet'!$A$36,'Données projet'!$B$36,N106+M107-V106)))</f>
        <v>402.20000000000022</v>
      </c>
      <c r="O107" s="13">
        <f>N107*VLOOKUP('Données projet'!$B$9,Paramètres!$A$1:$I$89,3,0)*VLOOKUP('Données projet'!$B$9,Paramètres!$A$1:$I$89,5,0)</f>
        <v>407.83080000000029</v>
      </c>
      <c r="P107" s="13">
        <f t="shared" si="87"/>
        <v>93.362443935880435</v>
      </c>
      <c r="Q107" s="20">
        <f t="shared" si="107"/>
        <v>872.91156652165876</v>
      </c>
      <c r="R107" s="59">
        <f t="shared" si="55"/>
        <v>1166.2448998549921</v>
      </c>
      <c r="S107" s="59">
        <f ca="1">AVERAGE(OFFSET($R$3,0,0,'Données projet'!$E$9+1,1))-AVERAGE(OFFSET($H$3,0,0,'Données projet'!$E$9+1,1))</f>
        <v>561.16051468364344</v>
      </c>
      <c r="T107" s="59">
        <f t="shared" si="88"/>
        <v>137.34523913145267</v>
      </c>
      <c r="U107" s="15">
        <f>IF(ISNA(VLOOKUP(A107,'Données projet'!$A$35:$I$55,3,0)),0,VLOOKUP(A107,'Données projet'!$A$35:$I$55,3,0))</f>
        <v>8</v>
      </c>
      <c r="V107" s="15">
        <f>IF(ISNA(VLOOKUP(A107,'Données projet'!$A$35:$I$55,4,0)),0,VLOOKUP(A107,'Données projet'!$A$35:$I$55,4,0))</f>
        <v>60.19</v>
      </c>
      <c r="W107" s="16">
        <f>IF(ISNA(VLOOKUP(A107,'Données projet'!$A$35:$I$55,5,0)),0%,VLOOKUP(A107,'Données projet'!$A$35:$I$55,5,0)*VLOOKUP('Données projet'!$B$9,Paramètres!$A$1:$I$89,7,0))</f>
        <v>0.43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118.04941896779827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118.04941896779827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363.91056000000015</v>
      </c>
      <c r="AK107" s="13">
        <f t="shared" si="89"/>
        <v>84.420310435564389</v>
      </c>
      <c r="AL107" s="20">
        <f t="shared" si="58"/>
        <v>780.84293267527482</v>
      </c>
      <c r="AM107" s="59">
        <f t="shared" si="59"/>
        <v>1074.1762660086081</v>
      </c>
      <c r="AN107" s="59">
        <f ca="1">AVERAGE(OFFSET($AM$3,0,0,'Données projet'!$E$10+1,1))-AVERAGE(OFFSET($H$3,0,0,'Données projet'!$E$10+1,1))</f>
        <v>491.82493848755047</v>
      </c>
      <c r="AO107" s="59">
        <f t="shared" si="90"/>
        <v>119.46953275458026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105.33640461741996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105.33640461741996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212.00000000000009</v>
      </c>
      <c r="BE107" s="13">
        <f>BD107*VLOOKUP('Données projet'!$B$11,Paramètres!$A$1:$I$89,3,0)*VLOOKUP('Données projet'!$B$11,Paramètres!$A$1:$I$89,5,0)</f>
        <v>185.20320000000009</v>
      </c>
      <c r="BF107" s="13">
        <f t="shared" si="91"/>
        <v>46.477875402099386</v>
      </c>
      <c r="BG107" s="20">
        <f t="shared" si="61"/>
        <v>403.5112063253232</v>
      </c>
      <c r="BH107" s="59">
        <f t="shared" si="62"/>
        <v>696.84453965865646</v>
      </c>
      <c r="BI107" s="59">
        <f ca="1">AVERAGE(OFFSET($BH$3,0,0,'Données projet'!$E$11+1,1))-AVERAGE(OFFSET($H$3,0,0,'Données projet'!$E$11+1,1))</f>
        <v>216.10252108537389</v>
      </c>
      <c r="BJ107" s="59">
        <f t="shared" si="92"/>
        <v>196.91968622092054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40.457068750799792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0</v>
      </c>
      <c r="BS107" s="22">
        <f t="shared" si="63"/>
        <v>40.457068750799792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>
        <f>BY107*VLOOKUP('Données projet'!$B$12,Paramètres!$A$1:$I$89,3,0)*VLOOKUP('Données projet'!$B$12,Paramètres!$A$1:$I$89,5,0)</f>
        <v>0</v>
      </c>
      <c r="CA107" s="13" t="e">
        <f t="shared" si="93"/>
        <v>#NUM!</v>
      </c>
      <c r="CB107" s="20" t="e">
        <f t="shared" si="64"/>
        <v>#NUM!</v>
      </c>
      <c r="CC107" s="59" t="e">
        <f t="shared" si="65"/>
        <v>#NUM!</v>
      </c>
      <c r="CD107" s="59">
        <f ca="1">AVERAGE(OFFSET($CC$3,0,0,'Données projet'!$E$12+1,1))-AVERAGE(OFFSET($H$3,0,0,'Données projet'!$E$12+1,1))</f>
        <v>152.85416952858094</v>
      </c>
      <c r="CE107" s="59">
        <f t="shared" si="94"/>
        <v>369.87619681979322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28.525825398030875</v>
      </c>
      <c r="CL107" s="21">
        <f>EXP(-LN(2)/25)*CL106+(1-EXP(-LN(2)/25))/(LN(2)/25)*Calculateur!CG107*Calculateur!CI107*VLOOKUP('Données projet'!$B$12,Paramètres!$A$1:$I$89,3,0)*0.475*44/12</f>
        <v>1.8476888484759975</v>
      </c>
      <c r="CM107" s="21">
        <f>EXP(-LN(2)/2)*CM106+(1-EXP(-LN(2)/2))/(LN(2)/2)*CG107*CJ107*VLOOKUP('Données projet'!$B$12,Paramètres!$A$1:$I$89,3,0)*0.475*44/12</f>
        <v>3.2714164992325017E-13</v>
      </c>
      <c r="CN107" s="22">
        <f t="shared" si="66"/>
        <v>30.373514246507199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49.140000000000128</v>
      </c>
      <c r="D108" s="11">
        <f t="shared" si="86"/>
        <v>14.3914371473009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490.41811131249915</v>
      </c>
      <c r="H108" s="66">
        <f t="shared" si="56"/>
        <v>403.98391969821591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8.2550000000000008</v>
      </c>
      <c r="N108" s="13">
        <f>IF('Données projet'!$A$36&gt;35,N107+M108-V107,IF(A108&lt;'Données projet'!$A$36,$K$205^A108,IF(A108='Données projet'!$A$36,'Données projet'!$B$36,N107+M108-V107)))</f>
        <v>350.26500000000021</v>
      </c>
      <c r="O108" s="13">
        <f>N108*VLOOKUP('Données projet'!$B$9,Paramètres!$A$1:$I$89,3,0)*VLOOKUP('Données projet'!$B$9,Paramètres!$A$1:$I$89,5,0)</f>
        <v>355.1687100000002</v>
      </c>
      <c r="P108" s="13">
        <f t="shared" si="87"/>
        <v>82.625892555168591</v>
      </c>
      <c r="Q108" s="20">
        <f t="shared" si="107"/>
        <v>762.49226611691893</v>
      </c>
      <c r="R108" s="59">
        <f t="shared" si="55"/>
        <v>1055.8255994502522</v>
      </c>
      <c r="S108" s="59">
        <f ca="1">AVERAGE(OFFSET($R$3,0,0,'Données projet'!$E$9+1,1))-AVERAGE(OFFSET($H$3,0,0,'Données projet'!$E$9+1,1))</f>
        <v>561.16051468364344</v>
      </c>
      <c r="T108" s="59">
        <f t="shared" si="88"/>
        <v>137.34523913145267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115.73454186487561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115.73454186487561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316.91977200000019</v>
      </c>
      <c r="AK108" s="13">
        <f t="shared" si="89"/>
        <v>74.712091987581459</v>
      </c>
      <c r="AL108" s="20">
        <f t="shared" si="58"/>
        <v>682.09216311170474</v>
      </c>
      <c r="AM108" s="59">
        <f t="shared" si="59"/>
        <v>975.42549644503811</v>
      </c>
      <c r="AN108" s="59">
        <f ca="1">AVERAGE(OFFSET($AM$3,0,0,'Données projet'!$E$10+1,1))-AVERAGE(OFFSET($H$3,0,0,'Données projet'!$E$10+1,1))</f>
        <v>491.82493848755047</v>
      </c>
      <c r="AO108" s="59">
        <f t="shared" si="90"/>
        <v>119.46953275458026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103.27082197173512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103.27082197173512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212.00000000000009</v>
      </c>
      <c r="BE108" s="13">
        <f>BD108*VLOOKUP('Données projet'!$B$11,Paramètres!$A$1:$I$89,3,0)*VLOOKUP('Données projet'!$B$11,Paramètres!$A$1:$I$89,5,0)</f>
        <v>185.20320000000009</v>
      </c>
      <c r="BF108" s="13">
        <f t="shared" si="91"/>
        <v>46.477875402099386</v>
      </c>
      <c r="BG108" s="20">
        <f t="shared" si="61"/>
        <v>403.5112063253232</v>
      </c>
      <c r="BH108" s="59">
        <f t="shared" si="62"/>
        <v>696.84453965865646</v>
      </c>
      <c r="BI108" s="59">
        <f ca="1">AVERAGE(OFFSET($BH$3,0,0,'Données projet'!$E$11+1,1))-AVERAGE(OFFSET($H$3,0,0,'Données projet'!$E$11+1,1))</f>
        <v>216.10252108537389</v>
      </c>
      <c r="BJ108" s="59">
        <f t="shared" si="92"/>
        <v>196.91968622092054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39.663730308971957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0</v>
      </c>
      <c r="BS108" s="22">
        <f t="shared" si="63"/>
        <v>39.663730308971957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>
        <f>BY108*VLOOKUP('Données projet'!$B$12,Paramètres!$A$1:$I$89,3,0)*VLOOKUP('Données projet'!$B$12,Paramètres!$A$1:$I$89,5,0)</f>
        <v>0</v>
      </c>
      <c r="CA108" s="13" t="e">
        <f t="shared" si="93"/>
        <v>#NUM!</v>
      </c>
      <c r="CB108" s="20" t="e">
        <f t="shared" si="64"/>
        <v>#NUM!</v>
      </c>
      <c r="CC108" s="59" t="e">
        <f t="shared" si="65"/>
        <v>#NUM!</v>
      </c>
      <c r="CD108" s="59">
        <f ca="1">AVERAGE(OFFSET($CC$3,0,0,'Données projet'!$E$12+1,1))-AVERAGE(OFFSET($H$3,0,0,'Données projet'!$E$12+1,1))</f>
        <v>152.85416952858094</v>
      </c>
      <c r="CE108" s="59">
        <f t="shared" si="94"/>
        <v>369.87619681979322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27.966451361010972</v>
      </c>
      <c r="CL108" s="21">
        <f>EXP(-LN(2)/25)*CL107+(1-EXP(-LN(2)/25))/(LN(2)/25)*Calculateur!CG108*Calculateur!CI108*VLOOKUP('Données projet'!$B$12,Paramètres!$A$1:$I$89,3,0)*0.475*44/12</f>
        <v>1.7971636997486877</v>
      </c>
      <c r="CM108" s="21">
        <f>EXP(-LN(2)/2)*CM107+(1-EXP(-LN(2)/2))/(LN(2)/2)*CG108*CJ108*VLOOKUP('Données projet'!$B$12,Paramètres!$A$1:$I$89,3,0)*0.475*44/12</f>
        <v>2.3132407906928579E-13</v>
      </c>
      <c r="CN108" s="22">
        <f t="shared" si="66"/>
        <v>29.763615060759889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49.608000000000132</v>
      </c>
      <c r="D109" s="11">
        <f t="shared" si="86"/>
        <v>14.512477626061624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494.96509044679243</v>
      </c>
      <c r="H109" s="66">
        <f t="shared" si="56"/>
        <v>405.00983186539088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8.2550000000000008</v>
      </c>
      <c r="N109" s="13">
        <f>IF('Données projet'!$A$36&gt;35,N108+M109-V108,IF(A109&lt;'Données projet'!$A$36,$K$205^A109,IF(A109='Données projet'!$A$36,'Données projet'!$B$36,N108+M109-V108)))</f>
        <v>358.52000000000021</v>
      </c>
      <c r="O109" s="13">
        <f>N109*VLOOKUP('Données projet'!$B$9,Paramètres!$A$1:$I$89,3,0)*VLOOKUP('Données projet'!$B$9,Paramètres!$A$1:$I$89,5,0)</f>
        <v>363.53928000000025</v>
      </c>
      <c r="P109" s="13">
        <f t="shared" si="87"/>
        <v>84.344201552922215</v>
      </c>
      <c r="Q109" s="20">
        <f t="shared" si="107"/>
        <v>780.06373037134006</v>
      </c>
      <c r="R109" s="59">
        <f t="shared" si="55"/>
        <v>1073.3970637046734</v>
      </c>
      <c r="S109" s="59">
        <f ca="1">AVERAGE(OFFSET($R$3,0,0,'Données projet'!$E$9+1,1))-AVERAGE(OFFSET($H$3,0,0,'Données projet'!$E$9+1,1))</f>
        <v>561.16051468364344</v>
      </c>
      <c r="T109" s="59">
        <f t="shared" si="88"/>
        <v>137.34523913145267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113.46505809000564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113.46505809000564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324.38889600000016</v>
      </c>
      <c r="AK109" s="13">
        <f t="shared" si="89"/>
        <v>76.26582358349178</v>
      </c>
      <c r="AL109" s="20">
        <f t="shared" si="58"/>
        <v>697.80696994124844</v>
      </c>
      <c r="AM109" s="59">
        <f t="shared" si="59"/>
        <v>991.14030327458181</v>
      </c>
      <c r="AN109" s="59">
        <f ca="1">AVERAGE(OFFSET($AM$3,0,0,'Données projet'!$E$10+1,1))-AVERAGE(OFFSET($H$3,0,0,'Données projet'!$E$10+1,1))</f>
        <v>491.82493848755047</v>
      </c>
      <c r="AO109" s="59">
        <f t="shared" si="90"/>
        <v>119.46953275458026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101.24574414185115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101.24574414185115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212.00000000000009</v>
      </c>
      <c r="BE109" s="13">
        <f>BD109*VLOOKUP('Données projet'!$B$11,Paramètres!$A$1:$I$89,3,0)*VLOOKUP('Données projet'!$B$11,Paramètres!$A$1:$I$89,5,0)</f>
        <v>185.20320000000009</v>
      </c>
      <c r="BF109" s="13">
        <f t="shared" si="91"/>
        <v>46.477875402099386</v>
      </c>
      <c r="BG109" s="20">
        <f t="shared" si="61"/>
        <v>403.5112063253232</v>
      </c>
      <c r="BH109" s="59">
        <f t="shared" si="62"/>
        <v>696.84453965865646</v>
      </c>
      <c r="BI109" s="59">
        <f ca="1">AVERAGE(OFFSET($BH$3,0,0,'Données projet'!$E$11+1,1))-AVERAGE(OFFSET($H$3,0,0,'Données projet'!$E$11+1,1))</f>
        <v>216.10252108537389</v>
      </c>
      <c r="BJ109" s="59">
        <f t="shared" si="92"/>
        <v>196.91968622092054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38.885948750099693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0</v>
      </c>
      <c r="BS109" s="22">
        <f t="shared" si="63"/>
        <v>38.885948750099693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>
        <f>BY109*VLOOKUP('Données projet'!$B$12,Paramètres!$A$1:$I$89,3,0)*VLOOKUP('Données projet'!$B$12,Paramètres!$A$1:$I$89,5,0)</f>
        <v>0</v>
      </c>
      <c r="CA109" s="13" t="e">
        <f t="shared" si="93"/>
        <v>#NUM!</v>
      </c>
      <c r="CB109" s="20" t="e">
        <f t="shared" si="64"/>
        <v>#NUM!</v>
      </c>
      <c r="CC109" s="59" t="e">
        <f t="shared" si="65"/>
        <v>#NUM!</v>
      </c>
      <c r="CD109" s="59">
        <f ca="1">AVERAGE(OFFSET($CC$3,0,0,'Données projet'!$E$12+1,1))-AVERAGE(OFFSET($H$3,0,0,'Données projet'!$E$12+1,1))</f>
        <v>152.85416952858094</v>
      </c>
      <c r="CE109" s="59">
        <f t="shared" si="94"/>
        <v>369.87619681979322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27.418046307672554</v>
      </c>
      <c r="CL109" s="21">
        <f>EXP(-LN(2)/25)*CL108+(1-EXP(-LN(2)/25))/(LN(2)/25)*Calculateur!CG109*Calculateur!CI109*VLOOKUP('Données projet'!$B$12,Paramètres!$A$1:$I$89,3,0)*0.475*44/12</f>
        <v>1.7480201638703283</v>
      </c>
      <c r="CM109" s="21">
        <f>EXP(-LN(2)/2)*CM108+(1-EXP(-LN(2)/2))/(LN(2)/2)*CG109*CJ109*VLOOKUP('Données projet'!$B$12,Paramètres!$A$1:$I$89,3,0)*0.475*44/12</f>
        <v>1.6357082496162509E-13</v>
      </c>
      <c r="CN109" s="22">
        <f t="shared" si="66"/>
        <v>29.166066471543047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50.076000000000136</v>
      </c>
      <c r="D110" s="11">
        <f t="shared" si="86"/>
        <v>14.633385259541638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499.51104410874353</v>
      </c>
      <c r="H110" s="66">
        <f t="shared" si="56"/>
        <v>406.03551266036857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8.2550000000000008</v>
      </c>
      <c r="N110" s="13">
        <f>IF('Données projet'!$A$36&gt;35,N109+M110-V109,IF(A110&lt;'Données projet'!$A$36,$K$205^A110,IF(A110='Données projet'!$A$36,'Données projet'!$B$36,N109+M110-V109)))</f>
        <v>366.7750000000002</v>
      </c>
      <c r="O110" s="13">
        <f>N110*VLOOKUP('Données projet'!$B$9,Paramètres!$A$1:$I$89,3,0)*VLOOKUP('Données projet'!$B$9,Paramètres!$A$1:$I$89,5,0)</f>
        <v>371.90985000000023</v>
      </c>
      <c r="P110" s="13">
        <f t="shared" si="87"/>
        <v>86.057910986943938</v>
      </c>
      <c r="Q110" s="20">
        <f t="shared" si="107"/>
        <v>797.62718371892788</v>
      </c>
      <c r="R110" s="59">
        <f t="shared" si="55"/>
        <v>1090.9605170522611</v>
      </c>
      <c r="S110" s="59">
        <f ca="1">AVERAGE(OFFSET($R$3,0,0,'Données projet'!$E$9+1,1))-AVERAGE(OFFSET($H$3,0,0,'Données projet'!$E$9+1,1))</f>
        <v>561.16051468364344</v>
      </c>
      <c r="T110" s="59">
        <f t="shared" si="88"/>
        <v>137.34523913145267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111.24007750771246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111.24007750771246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331.85802000000018</v>
      </c>
      <c r="AK110" s="13">
        <f t="shared" si="89"/>
        <v>77.815396155904594</v>
      </c>
      <c r="AL110" s="20">
        <f t="shared" si="58"/>
        <v>713.51453313820082</v>
      </c>
      <c r="AM110" s="59">
        <f t="shared" si="59"/>
        <v>1006.8478664715342</v>
      </c>
      <c r="AN110" s="59">
        <f ca="1">AVERAGE(OFFSET($AM$3,0,0,'Données projet'!$E$10+1,1))-AVERAGE(OFFSET($H$3,0,0,'Données projet'!$E$10+1,1))</f>
        <v>491.82493848755047</v>
      </c>
      <c r="AO110" s="59">
        <f t="shared" si="90"/>
        <v>119.46953275458026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99.260376853035694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99.260376853035694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212.00000000000009</v>
      </c>
      <c r="BE110" s="13">
        <f>BD110*VLOOKUP('Données projet'!$B$11,Paramètres!$A$1:$I$89,3,0)*VLOOKUP('Données projet'!$B$11,Paramètres!$A$1:$I$89,5,0)</f>
        <v>185.20320000000009</v>
      </c>
      <c r="BF110" s="13">
        <f t="shared" si="91"/>
        <v>46.477875402099386</v>
      </c>
      <c r="BG110" s="20">
        <f t="shared" si="61"/>
        <v>403.5112063253232</v>
      </c>
      <c r="BH110" s="59">
        <f t="shared" si="62"/>
        <v>696.84453965865646</v>
      </c>
      <c r="BI110" s="59">
        <f ca="1">AVERAGE(OFFSET($BH$3,0,0,'Données projet'!$E$11+1,1))-AVERAGE(OFFSET($H$3,0,0,'Données projet'!$E$11+1,1))</f>
        <v>216.10252108537389</v>
      </c>
      <c r="BJ110" s="59">
        <f t="shared" si="92"/>
        <v>196.91968622092054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38.123419013197008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0</v>
      </c>
      <c r="BS110" s="22">
        <f t="shared" si="63"/>
        <v>38.123419013197008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>
        <f>BY110*VLOOKUP('Données projet'!$B$12,Paramètres!$A$1:$I$89,3,0)*VLOOKUP('Données projet'!$B$12,Paramètres!$A$1:$I$89,5,0)</f>
        <v>0</v>
      </c>
      <c r="CA110" s="13" t="e">
        <f t="shared" si="93"/>
        <v>#NUM!</v>
      </c>
      <c r="CB110" s="20" t="e">
        <f t="shared" si="64"/>
        <v>#NUM!</v>
      </c>
      <c r="CC110" s="59" t="e">
        <f t="shared" si="65"/>
        <v>#NUM!</v>
      </c>
      <c r="CD110" s="59">
        <f ca="1">AVERAGE(OFFSET($CC$3,0,0,'Données projet'!$E$12+1,1))-AVERAGE(OFFSET($H$3,0,0,'Données projet'!$E$12+1,1))</f>
        <v>152.85416952858094</v>
      </c>
      <c r="CE110" s="59">
        <f t="shared" si="94"/>
        <v>369.87619681979322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26.880395142936049</v>
      </c>
      <c r="CL110" s="21">
        <f>EXP(-LN(2)/25)*CL109+(1-EXP(-LN(2)/25))/(LN(2)/25)*Calculateur!CG110*Calculateur!CI110*VLOOKUP('Données projet'!$B$12,Paramètres!$A$1:$I$89,3,0)*0.475*44/12</f>
        <v>1.7002204605649089</v>
      </c>
      <c r="CM110" s="21">
        <f>EXP(-LN(2)/2)*CM109+(1-EXP(-LN(2)/2))/(LN(2)/2)*CG110*CJ110*VLOOKUP('Données projet'!$B$12,Paramètres!$A$1:$I$89,3,0)*0.475*44/12</f>
        <v>1.1566203953464289E-13</v>
      </c>
      <c r="CN110" s="22">
        <f t="shared" si="66"/>
        <v>28.580615603501077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50.544000000000139</v>
      </c>
      <c r="D111" s="11">
        <f t="shared" si="86"/>
        <v>14.754161433088285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504.05598299226153</v>
      </c>
      <c r="H111" s="66">
        <f t="shared" si="56"/>
        <v>407.06096449596231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8.2550000000000008</v>
      </c>
      <c r="N111" s="13">
        <f>IF('Données projet'!$A$36&gt;35,N110+M111-V110,IF(A111&lt;'Données projet'!$A$36,$K$205^A111,IF(A111='Données projet'!$A$36,'Données projet'!$B$36,N110+M111-V110)))</f>
        <v>375.0300000000002</v>
      </c>
      <c r="O111" s="13">
        <f>N111*VLOOKUP('Données projet'!$B$9,Paramètres!$A$1:$I$89,3,0)*VLOOKUP('Données projet'!$B$9,Paramètres!$A$1:$I$89,5,0)</f>
        <v>380.28042000000022</v>
      </c>
      <c r="P111" s="13">
        <f t="shared" si="87"/>
        <v>87.767136297987705</v>
      </c>
      <c r="Q111" s="20">
        <f t="shared" si="107"/>
        <v>815.18282721899561</v>
      </c>
      <c r="R111" s="59">
        <f t="shared" si="55"/>
        <v>1108.516160552329</v>
      </c>
      <c r="S111" s="59">
        <f ca="1">AVERAGE(OFFSET($R$3,0,0,'Données projet'!$E$9+1,1))-AVERAGE(OFFSET($H$3,0,0,'Données projet'!$E$9+1,1))</f>
        <v>561.16051468364344</v>
      </c>
      <c r="T111" s="59">
        <f t="shared" si="88"/>
        <v>137.34523913145267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109.05872743753389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109.05872743753389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339.32714400000015</v>
      </c>
      <c r="AK111" s="13">
        <f t="shared" si="89"/>
        <v>79.360914088808499</v>
      </c>
      <c r="AL111" s="20">
        <f t="shared" si="58"/>
        <v>729.21503450467515</v>
      </c>
      <c r="AM111" s="59">
        <f t="shared" si="59"/>
        <v>1022.5483678380085</v>
      </c>
      <c r="AN111" s="59">
        <f ca="1">AVERAGE(OFFSET($AM$3,0,0,'Données projet'!$E$10+1,1))-AVERAGE(OFFSET($H$3,0,0,'Données projet'!$E$10+1,1))</f>
        <v>491.82493848755047</v>
      </c>
      <c r="AO111" s="59">
        <f t="shared" si="90"/>
        <v>119.46953275458026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97.31394140579944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97.31394140579944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212.00000000000009</v>
      </c>
      <c r="BE111" s="13">
        <f>BD111*VLOOKUP('Données projet'!$B$11,Paramètres!$A$1:$I$89,3,0)*VLOOKUP('Données projet'!$B$11,Paramètres!$A$1:$I$89,5,0)</f>
        <v>185.20320000000009</v>
      </c>
      <c r="BF111" s="13">
        <f t="shared" si="91"/>
        <v>46.477875402099386</v>
      </c>
      <c r="BG111" s="20">
        <f t="shared" si="61"/>
        <v>403.5112063253232</v>
      </c>
      <c r="BH111" s="59">
        <f t="shared" si="62"/>
        <v>696.84453965865646</v>
      </c>
      <c r="BI111" s="59">
        <f ca="1">AVERAGE(OFFSET($BH$3,0,0,'Données projet'!$E$11+1,1))-AVERAGE(OFFSET($H$3,0,0,'Données projet'!$E$11+1,1))</f>
        <v>216.10252108537389</v>
      </c>
      <c r="BJ111" s="59">
        <f t="shared" si="92"/>
        <v>196.91968622092054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37.375842019337767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0</v>
      </c>
      <c r="BS111" s="22">
        <f t="shared" si="63"/>
        <v>37.375842019337767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>
        <f>BY111*VLOOKUP('Données projet'!$B$12,Paramètres!$A$1:$I$89,3,0)*VLOOKUP('Données projet'!$B$12,Paramètres!$A$1:$I$89,5,0)</f>
        <v>0</v>
      </c>
      <c r="CA111" s="13" t="e">
        <f t="shared" si="93"/>
        <v>#NUM!</v>
      </c>
      <c r="CB111" s="20" t="e">
        <f t="shared" si="64"/>
        <v>#NUM!</v>
      </c>
      <c r="CC111" s="59" t="e">
        <f t="shared" si="65"/>
        <v>#NUM!</v>
      </c>
      <c r="CD111" s="59">
        <f ca="1">AVERAGE(OFFSET($CC$3,0,0,'Données projet'!$E$12+1,1))-AVERAGE(OFFSET($H$3,0,0,'Données projet'!$E$12+1,1))</f>
        <v>152.85416952858094</v>
      </c>
      <c r="CE111" s="59">
        <f t="shared" si="94"/>
        <v>369.87619681979322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26.353286989605195</v>
      </c>
      <c r="CL111" s="21">
        <f>EXP(-LN(2)/25)*CL110+(1-EXP(-LN(2)/25))/(LN(2)/25)*Calculateur!CG111*Calculateur!CI111*VLOOKUP('Données projet'!$B$12,Paramètres!$A$1:$I$89,3,0)*0.475*44/12</f>
        <v>1.6537278426600535</v>
      </c>
      <c r="CM111" s="21">
        <f>EXP(-LN(2)/2)*CM110+(1-EXP(-LN(2)/2))/(LN(2)/2)*CG111*CJ111*VLOOKUP('Données projet'!$B$12,Paramètres!$A$1:$I$89,3,0)*0.475*44/12</f>
        <v>8.1785412480812543E-14</v>
      </c>
      <c r="CN111" s="22">
        <f t="shared" si="66"/>
        <v>28.00701483226533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51.012000000000143</v>
      </c>
      <c r="D112" s="11">
        <f t="shared" si="86"/>
        <v>14.874807504914717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508.59991758179893</v>
      </c>
      <c r="H112" s="66">
        <f t="shared" si="56"/>
        <v>408.08618973772667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8.2550000000000008</v>
      </c>
      <c r="N112" s="13">
        <f>IF('Données projet'!$A$36&gt;35,N111+M112-V111,IF(A112&lt;'Données projet'!$A$36,$K$205^A112,IF(A112='Données projet'!$A$36,'Données projet'!$B$36,N111+M112-V111)))</f>
        <v>383.2850000000002</v>
      </c>
      <c r="O112" s="13">
        <f>N112*VLOOKUP('Données projet'!$B$9,Paramètres!$A$1:$I$89,3,0)*VLOOKUP('Données projet'!$B$9,Paramètres!$A$1:$I$89,5,0)</f>
        <v>388.65099000000021</v>
      </c>
      <c r="P112" s="13">
        <f t="shared" si="87"/>
        <v>89.471987554546018</v>
      </c>
      <c r="Q112" s="20">
        <f t="shared" si="107"/>
        <v>832.7308525741679</v>
      </c>
      <c r="R112" s="59">
        <f t="shared" si="55"/>
        <v>1126.0641859075013</v>
      </c>
      <c r="S112" s="59">
        <f ca="1">AVERAGE(OFFSET($R$3,0,0,'Données projet'!$E$9+1,1))-AVERAGE(OFFSET($H$3,0,0,'Données projet'!$E$9+1,1))</f>
        <v>561.16051468364344</v>
      </c>
      <c r="T112" s="59">
        <f t="shared" si="88"/>
        <v>137.34523913145267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106.92015231173936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106.92015231173936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346.79626800000017</v>
      </c>
      <c r="AK112" s="13">
        <f t="shared" si="89"/>
        <v>80.902476908478974</v>
      </c>
      <c r="AL112" s="20">
        <f t="shared" si="58"/>
        <v>744.90864738226776</v>
      </c>
      <c r="AM112" s="59">
        <f t="shared" si="59"/>
        <v>1038.2419807156011</v>
      </c>
      <c r="AN112" s="59">
        <f ca="1">AVERAGE(OFFSET($AM$3,0,0,'Données projet'!$E$10+1,1))-AVERAGE(OFFSET($H$3,0,0,'Données projet'!$E$10+1,1))</f>
        <v>491.82493848755047</v>
      </c>
      <c r="AO112" s="59">
        <f t="shared" si="90"/>
        <v>119.46953275458026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95.405674370475083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95.405674370475083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212.00000000000009</v>
      </c>
      <c r="BE112" s="13">
        <f>BD112*VLOOKUP('Données projet'!$B$11,Paramètres!$A$1:$I$89,3,0)*VLOOKUP('Données projet'!$B$11,Paramètres!$A$1:$I$89,5,0)</f>
        <v>185.20320000000009</v>
      </c>
      <c r="BF112" s="13">
        <f t="shared" si="91"/>
        <v>46.477875402099386</v>
      </c>
      <c r="BG112" s="20">
        <f t="shared" si="61"/>
        <v>403.5112063253232</v>
      </c>
      <c r="BH112" s="59">
        <f t="shared" si="62"/>
        <v>696.84453965865646</v>
      </c>
      <c r="BI112" s="59">
        <f ca="1">AVERAGE(OFFSET($BH$3,0,0,'Données projet'!$E$11+1,1))-AVERAGE(OFFSET($H$3,0,0,'Données projet'!$E$11+1,1))</f>
        <v>216.10252108537389</v>
      </c>
      <c r="BJ112" s="59">
        <f t="shared" si="92"/>
        <v>196.91968622092054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36.642924554351168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0</v>
      </c>
      <c r="BS112" s="22">
        <f t="shared" si="63"/>
        <v>36.642924554351168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>
        <f>BY112*VLOOKUP('Données projet'!$B$12,Paramètres!$A$1:$I$89,3,0)*VLOOKUP('Données projet'!$B$12,Paramètres!$A$1:$I$89,5,0)</f>
        <v>0</v>
      </c>
      <c r="CA112" s="13" t="e">
        <f t="shared" si="93"/>
        <v>#NUM!</v>
      </c>
      <c r="CB112" s="20" t="e">
        <f t="shared" si="64"/>
        <v>#NUM!</v>
      </c>
      <c r="CC112" s="59" t="e">
        <f t="shared" si="65"/>
        <v>#NUM!</v>
      </c>
      <c r="CD112" s="59">
        <f ca="1">AVERAGE(OFFSET($CC$3,0,0,'Données projet'!$E$12+1,1))-AVERAGE(OFFSET($H$3,0,0,'Données projet'!$E$12+1,1))</f>
        <v>152.85416952858094</v>
      </c>
      <c r="CE112" s="59">
        <f t="shared" si="94"/>
        <v>369.87619681979322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25.836515105656932</v>
      </c>
      <c r="CL112" s="21">
        <f>EXP(-LN(2)/25)*CL111+(1-EXP(-LN(2)/25))/(LN(2)/25)*Calculateur!CG112*Calculateur!CI112*VLOOKUP('Données projet'!$B$12,Paramètres!$A$1:$I$89,3,0)*0.475*44/12</f>
        <v>1.6085065678367467</v>
      </c>
      <c r="CM112" s="21">
        <f>EXP(-LN(2)/2)*CM111+(1-EXP(-LN(2)/2))/(LN(2)/2)*CG112*CJ112*VLOOKUP('Données projet'!$B$12,Paramètres!$A$1:$I$89,3,0)*0.475*44/12</f>
        <v>5.7831019767321447E-14</v>
      </c>
      <c r="CN112" s="22">
        <f t="shared" si="66"/>
        <v>27.445021673493734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51.480000000000146</v>
      </c>
      <c r="D113" s="11">
        <f t="shared" si="86"/>
        <v>14.995324806875265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513.14285815833648</v>
      </c>
      <c r="H113" s="66">
        <f t="shared" si="56"/>
        <v>409.11119070530799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8.2550000000000008</v>
      </c>
      <c r="N113" s="13">
        <f>IF('Données projet'!$A$36&gt;35,N112+M113-V112,IF(A113&lt;'Données projet'!$A$36,$K$205^A113,IF(A113='Données projet'!$A$36,'Données projet'!$B$36,N112+M113-V112)))</f>
        <v>391.54000000000019</v>
      </c>
      <c r="O113" s="13">
        <f>N113*VLOOKUP('Données projet'!$B$9,Paramètres!$A$1:$I$89,3,0)*VLOOKUP('Données projet'!$B$9,Paramètres!$A$1:$I$89,5,0)</f>
        <v>397.02156000000025</v>
      </c>
      <c r="P113" s="13">
        <f t="shared" si="87"/>
        <v>91.172569813093318</v>
      </c>
      <c r="Q113" s="20">
        <f t="shared" si="107"/>
        <v>850.27144275780472</v>
      </c>
      <c r="R113" s="59">
        <f t="shared" si="55"/>
        <v>1143.6047760911381</v>
      </c>
      <c r="S113" s="59">
        <f ca="1">AVERAGE(OFFSET($R$3,0,0,'Données projet'!$E$9+1,1))-AVERAGE(OFFSET($H$3,0,0,'Données projet'!$E$9+1,1))</f>
        <v>561.16051468364344</v>
      </c>
      <c r="T113" s="59">
        <f t="shared" si="88"/>
        <v>137.34523913145267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104.82351333975963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104.82351333975963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354.26539200000013</v>
      </c>
      <c r="AK113" s="13">
        <f t="shared" si="89"/>
        <v>82.44017960921768</v>
      </c>
      <c r="AL113" s="20">
        <f t="shared" si="58"/>
        <v>760.59553721938767</v>
      </c>
      <c r="AM113" s="59">
        <f t="shared" si="59"/>
        <v>1053.928870552721</v>
      </c>
      <c r="AN113" s="59">
        <f ca="1">AVERAGE(OFFSET($AM$3,0,0,'Données projet'!$E$10+1,1))-AVERAGE(OFFSET($H$3,0,0,'Données projet'!$E$10+1,1))</f>
        <v>491.82493848755047</v>
      </c>
      <c r="AO113" s="59">
        <f t="shared" si="90"/>
        <v>119.46953275458026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93.534827287785475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93.534827287785475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212.00000000000009</v>
      </c>
      <c r="BE113" s="13">
        <f>BD113*VLOOKUP('Données projet'!$B$11,Paramètres!$A$1:$I$89,3,0)*VLOOKUP('Données projet'!$B$11,Paramètres!$A$1:$I$89,5,0)</f>
        <v>185.20320000000009</v>
      </c>
      <c r="BF113" s="13">
        <f t="shared" si="91"/>
        <v>46.477875402099386</v>
      </c>
      <c r="BG113" s="20">
        <f t="shared" si="61"/>
        <v>403.5112063253232</v>
      </c>
      <c r="BH113" s="59">
        <f t="shared" si="62"/>
        <v>696.84453965865646</v>
      </c>
      <c r="BI113" s="59">
        <f ca="1">AVERAGE(OFFSET($BH$3,0,0,'Données projet'!$E$11+1,1))-AVERAGE(OFFSET($H$3,0,0,'Données projet'!$E$11+1,1))</f>
        <v>216.10252108537389</v>
      </c>
      <c r="BJ113" s="59">
        <f t="shared" si="92"/>
        <v>196.91968622092054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35.924379153817441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0</v>
      </c>
      <c r="BS113" s="22">
        <f t="shared" si="63"/>
        <v>35.924379153817441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>
        <f>BY113*VLOOKUP('Données projet'!$B$12,Paramètres!$A$1:$I$89,3,0)*VLOOKUP('Données projet'!$B$12,Paramètres!$A$1:$I$89,5,0)</f>
        <v>0</v>
      </c>
      <c r="CA113" s="13" t="e">
        <f t="shared" si="93"/>
        <v>#NUM!</v>
      </c>
      <c r="CB113" s="20" t="e">
        <f t="shared" si="64"/>
        <v>#NUM!</v>
      </c>
      <c r="CC113" s="59" t="e">
        <f t="shared" si="65"/>
        <v>#NUM!</v>
      </c>
      <c r="CD113" s="59">
        <f ca="1">AVERAGE(OFFSET($CC$3,0,0,'Données projet'!$E$12+1,1))-AVERAGE(OFFSET($H$3,0,0,'Données projet'!$E$12+1,1))</f>
        <v>152.85416952858094</v>
      </c>
      <c r="CE113" s="59">
        <f t="shared" si="94"/>
        <v>369.87619681979322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25.329876803153169</v>
      </c>
      <c r="CL113" s="21">
        <f>EXP(-LN(2)/25)*CL112+(1-EXP(-LN(2)/25))/(LN(2)/25)*Calculateur!CG113*Calculateur!CI113*VLOOKUP('Données projet'!$B$12,Paramètres!$A$1:$I$89,3,0)*0.475*44/12</f>
        <v>1.5645218711515667</v>
      </c>
      <c r="CM113" s="21">
        <f>EXP(-LN(2)/2)*CM112+(1-EXP(-LN(2)/2))/(LN(2)/2)*CG113*CJ113*VLOOKUP('Données projet'!$B$12,Paramètres!$A$1:$I$89,3,0)*0.475*44/12</f>
        <v>4.0892706240406271E-14</v>
      </c>
      <c r="CN113" s="22">
        <f t="shared" si="66"/>
        <v>26.894398674304778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51.94800000000015</v>
      </c>
      <c r="D114" s="11">
        <f t="shared" si="86"/>
        <v>15.115714645211932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517.68481480514595</v>
      </c>
      <c r="H114" s="66">
        <f t="shared" si="56"/>
        <v>410.13596967374434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8.2550000000000008</v>
      </c>
      <c r="N114" s="13">
        <f>IF('Données projet'!$A$36&gt;35,N113+M114-V113,IF(A114&lt;'Données projet'!$A$36,$K$205^A114,IF(A114='Données projet'!$A$36,'Données projet'!$B$36,N113+M114-V113)))</f>
        <v>399.79500000000019</v>
      </c>
      <c r="O114" s="13">
        <f>N114*VLOOKUP('Données projet'!$B$9,Paramètres!$A$1:$I$89,3,0)*VLOOKUP('Données projet'!$B$9,Paramètres!$A$1:$I$89,5,0)</f>
        <v>405.39213000000024</v>
      </c>
      <c r="P114" s="13">
        <f t="shared" si="87"/>
        <v>92.868983447091026</v>
      </c>
      <c r="Q114" s="20">
        <f t="shared" si="107"/>
        <v>867.80477258701728</v>
      </c>
      <c r="R114" s="59">
        <f t="shared" si="55"/>
        <v>1161.1381059203507</v>
      </c>
      <c r="S114" s="59">
        <f ca="1">AVERAGE(OFFSET($R$3,0,0,'Données projet'!$E$9+1,1))-AVERAGE(OFFSET($H$3,0,0,'Données projet'!$E$9+1,1))</f>
        <v>561.16051468364344</v>
      </c>
      <c r="T114" s="59">
        <f t="shared" si="88"/>
        <v>137.34523913145267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102.76798817919692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102.76798817919692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361.73451600000016</v>
      </c>
      <c r="AK114" s="13">
        <f t="shared" si="89"/>
        <v>83.974112950846617</v>
      </c>
      <c r="AL114" s="20">
        <f t="shared" si="58"/>
        <v>776.27586208939147</v>
      </c>
      <c r="AM114" s="59">
        <f t="shared" si="59"/>
        <v>1069.6091954227247</v>
      </c>
      <c r="AN114" s="59">
        <f ca="1">AVERAGE(OFFSET($AM$3,0,0,'Données projet'!$E$10+1,1))-AVERAGE(OFFSET($H$3,0,0,'Données projet'!$E$10+1,1))</f>
        <v>491.82493848755047</v>
      </c>
      <c r="AO114" s="59">
        <f t="shared" si="90"/>
        <v>119.46953275458026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91.700666375283362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91.700666375283362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212.00000000000009</v>
      </c>
      <c r="BE114" s="13">
        <f>BD114*VLOOKUP('Données projet'!$B$11,Paramètres!$A$1:$I$89,3,0)*VLOOKUP('Données projet'!$B$11,Paramètres!$A$1:$I$89,5,0)</f>
        <v>185.20320000000009</v>
      </c>
      <c r="BF114" s="13">
        <f t="shared" si="91"/>
        <v>46.477875402099386</v>
      </c>
      <c r="BG114" s="20">
        <f t="shared" si="61"/>
        <v>403.5112063253232</v>
      </c>
      <c r="BH114" s="59">
        <f t="shared" si="62"/>
        <v>696.84453965865646</v>
      </c>
      <c r="BI114" s="59">
        <f ca="1">AVERAGE(OFFSET($BH$3,0,0,'Données projet'!$E$11+1,1))-AVERAGE(OFFSET($H$3,0,0,'Données projet'!$E$11+1,1))</f>
        <v>216.10252108537389</v>
      </c>
      <c r="BJ114" s="59">
        <f t="shared" si="92"/>
        <v>196.91968622092054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35.219923990318762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0</v>
      </c>
      <c r="BS114" s="22">
        <f t="shared" si="63"/>
        <v>35.219923990318762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>
        <f>BY114*VLOOKUP('Données projet'!$B$12,Paramètres!$A$1:$I$89,3,0)*VLOOKUP('Données projet'!$B$12,Paramètres!$A$1:$I$89,5,0)</f>
        <v>0</v>
      </c>
      <c r="CA114" s="13" t="e">
        <f t="shared" si="93"/>
        <v>#NUM!</v>
      </c>
      <c r="CB114" s="20" t="e">
        <f t="shared" si="64"/>
        <v>#NUM!</v>
      </c>
      <c r="CC114" s="59" t="e">
        <f t="shared" si="65"/>
        <v>#NUM!</v>
      </c>
      <c r="CD114" s="59">
        <f ca="1">AVERAGE(OFFSET($CC$3,0,0,'Données projet'!$E$12+1,1))-AVERAGE(OFFSET($H$3,0,0,'Données projet'!$E$12+1,1))</f>
        <v>152.85416952858094</v>
      </c>
      <c r="CE114" s="59">
        <f t="shared" si="94"/>
        <v>369.87619681979322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24.833173368742653</v>
      </c>
      <c r="CL114" s="21">
        <f>EXP(-LN(2)/25)*CL113+(1-EXP(-LN(2)/25))/(LN(2)/25)*Calculateur!CG114*Calculateur!CI114*VLOOKUP('Données projet'!$B$12,Paramètres!$A$1:$I$89,3,0)*0.475*44/12</f>
        <v>1.5217399383102976</v>
      </c>
      <c r="CM114" s="21">
        <f>EXP(-LN(2)/2)*CM113+(1-EXP(-LN(2)/2))/(LN(2)/2)*CG114*CJ114*VLOOKUP('Données projet'!$B$12,Paramètres!$A$1:$I$89,3,0)*0.475*44/12</f>
        <v>2.8915509883660724E-14</v>
      </c>
      <c r="CN114" s="22">
        <f t="shared" si="66"/>
        <v>26.354913307052978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52.416000000000153</v>
      </c>
      <c r="D115" s="11">
        <f t="shared" si="86"/>
        <v>15.23597830127307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522.22579741333709</v>
      </c>
      <c r="H115" s="66">
        <f t="shared" si="56"/>
        <v>411.1605288747175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8.2550000000000008</v>
      </c>
      <c r="N115" s="13">
        <f>IF('Données projet'!$A$36&gt;35,N114+M115-V114,IF(A115&lt;'Données projet'!$A$36,$K$205^A115,IF(A115='Données projet'!$A$36,'Données projet'!$B$36,N114+M115-V114)))</f>
        <v>408.05000000000018</v>
      </c>
      <c r="O115" s="13">
        <f>N115*VLOOKUP('Données projet'!$B$9,Paramètres!$A$1:$I$89,3,0)*VLOOKUP('Données projet'!$B$9,Paramètres!$A$1:$I$89,5,0)</f>
        <v>413.76270000000022</v>
      </c>
      <c r="P115" s="13">
        <f t="shared" si="87"/>
        <v>94.561324448052844</v>
      </c>
      <c r="Q115" s="20">
        <f t="shared" si="107"/>
        <v>885.33100924702569</v>
      </c>
      <c r="R115" s="59">
        <f t="shared" si="55"/>
        <v>1178.6643425803591</v>
      </c>
      <c r="S115" s="59">
        <f ca="1">AVERAGE(OFFSET($R$3,0,0,'Données projet'!$E$9+1,1))-AVERAGE(OFFSET($H$3,0,0,'Données projet'!$E$9+1,1))</f>
        <v>561.16051468364344</v>
      </c>
      <c r="T115" s="59">
        <f t="shared" si="88"/>
        <v>137.34523913145267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100.7527706132863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100.7527706132863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369.20364000000018</v>
      </c>
      <c r="AK115" s="13">
        <f t="shared" si="89"/>
        <v>85.504363730937129</v>
      </c>
      <c r="AL115" s="20">
        <f t="shared" si="58"/>
        <v>791.94977316471579</v>
      </c>
      <c r="AM115" s="59">
        <f t="shared" si="59"/>
        <v>1085.2831064980492</v>
      </c>
      <c r="AN115" s="59">
        <f ca="1">AVERAGE(OFFSET($AM$3,0,0,'Données projet'!$E$10+1,1))-AVERAGE(OFFSET($H$3,0,0,'Données projet'!$E$10+1,1))</f>
        <v>491.82493848755047</v>
      </c>
      <c r="AO115" s="59">
        <f t="shared" si="90"/>
        <v>119.46953275458026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89.902472239547734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89.902472239547734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212.00000000000009</v>
      </c>
      <c r="BE115" s="13">
        <f>BD115*VLOOKUP('Données projet'!$B$11,Paramètres!$A$1:$I$89,3,0)*VLOOKUP('Données projet'!$B$11,Paramètres!$A$1:$I$89,5,0)</f>
        <v>185.20320000000009</v>
      </c>
      <c r="BF115" s="13">
        <f t="shared" si="91"/>
        <v>46.477875402099386</v>
      </c>
      <c r="BG115" s="20">
        <f t="shared" si="61"/>
        <v>403.5112063253232</v>
      </c>
      <c r="BH115" s="59">
        <f t="shared" si="62"/>
        <v>696.84453965865646</v>
      </c>
      <c r="BI115" s="59">
        <f ca="1">AVERAGE(OFFSET($BH$3,0,0,'Données projet'!$E$11+1,1))-AVERAGE(OFFSET($H$3,0,0,'Données projet'!$E$11+1,1))</f>
        <v>216.10252108537389</v>
      </c>
      <c r="BJ115" s="59">
        <f t="shared" si="92"/>
        <v>196.91968622092054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34.529282762901069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0</v>
      </c>
      <c r="BS115" s="22">
        <f t="shared" si="63"/>
        <v>34.529282762901069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>
        <f>BY115*VLOOKUP('Données projet'!$B$12,Paramètres!$A$1:$I$89,3,0)*VLOOKUP('Données projet'!$B$12,Paramètres!$A$1:$I$89,5,0)</f>
        <v>0</v>
      </c>
      <c r="CA115" s="13" t="e">
        <f t="shared" si="93"/>
        <v>#NUM!</v>
      </c>
      <c r="CB115" s="20" t="e">
        <f t="shared" si="64"/>
        <v>#NUM!</v>
      </c>
      <c r="CC115" s="59" t="e">
        <f t="shared" si="65"/>
        <v>#NUM!</v>
      </c>
      <c r="CD115" s="59">
        <f ca="1">AVERAGE(OFFSET($CC$3,0,0,'Données projet'!$E$12+1,1))-AVERAGE(OFFSET($H$3,0,0,'Données projet'!$E$12+1,1))</f>
        <v>152.85416952858094</v>
      </c>
      <c r="CE115" s="59">
        <f t="shared" si="94"/>
        <v>369.87619681979322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24.34620998572175</v>
      </c>
      <c r="CL115" s="21">
        <f>EXP(-LN(2)/25)*CL114+(1-EXP(-LN(2)/25))/(LN(2)/25)*Calculateur!CG115*Calculateur!CI115*VLOOKUP('Données projet'!$B$12,Paramètres!$A$1:$I$89,3,0)*0.475*44/12</f>
        <v>1.4801278796723771</v>
      </c>
      <c r="CM115" s="21">
        <f>EXP(-LN(2)/2)*CM114+(1-EXP(-LN(2)/2))/(LN(2)/2)*CG115*CJ115*VLOOKUP('Données projet'!$B$12,Paramètres!$A$1:$I$89,3,0)*0.475*44/12</f>
        <v>2.0446353120203136E-14</v>
      </c>
      <c r="CN115" s="22">
        <f t="shared" si="66"/>
        <v>25.826337865394148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52.884000000000157</v>
      </c>
      <c r="D116" s="11">
        <f t="shared" si="86"/>
        <v>15.356117032205747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526.76581568720349</v>
      </c>
      <c r="H116" s="66">
        <f t="shared" si="56"/>
        <v>412.1848704977586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8.2550000000000008</v>
      </c>
      <c r="N116" s="13">
        <f>IF('Données projet'!$A$36&gt;35,N115+M116-V115,IF(A116&lt;'Données projet'!$A$36,$K$205^A116,IF(A116='Données projet'!$A$36,'Données projet'!$B$36,N115+M116-V115)))</f>
        <v>416.30500000000018</v>
      </c>
      <c r="O116" s="13">
        <f>N116*VLOOKUP('Données projet'!$B$9,Paramètres!$A$1:$I$89,3,0)*VLOOKUP('Données projet'!$B$9,Paramètres!$A$1:$I$89,5,0)</f>
        <v>422.13327000000021</v>
      </c>
      <c r="P116" s="13">
        <f t="shared" si="87"/>
        <v>96.249684701558706</v>
      </c>
      <c r="Q116" s="20">
        <f t="shared" si="107"/>
        <v>902.8503127718817</v>
      </c>
      <c r="R116" s="59">
        <f t="shared" si="55"/>
        <v>1196.1836461052151</v>
      </c>
      <c r="S116" s="59">
        <f ca="1">AVERAGE(OFFSET($R$3,0,0,'Données projet'!$E$9+1,1))-AVERAGE(OFFSET($H$3,0,0,'Données projet'!$E$9+1,1))</f>
        <v>561.16051468364344</v>
      </c>
      <c r="T116" s="59">
        <f t="shared" si="88"/>
        <v>137.34523913145267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98.777070234681844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98.777070234681844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376.67276400000014</v>
      </c>
      <c r="AK116" s="13">
        <f t="shared" si="89"/>
        <v>87.031015034387593</v>
      </c>
      <c r="AL116" s="20">
        <f t="shared" si="58"/>
        <v>807.61741515155848</v>
      </c>
      <c r="AM116" s="59">
        <f t="shared" si="59"/>
        <v>1100.9507484848918</v>
      </c>
      <c r="AN116" s="59">
        <f ca="1">AVERAGE(OFFSET($AM$3,0,0,'Données projet'!$E$10+1,1))-AVERAGE(OFFSET($H$3,0,0,'Données projet'!$E$10+1,1))</f>
        <v>491.82493848755047</v>
      </c>
      <c r="AO116" s="59">
        <f t="shared" si="90"/>
        <v>119.46953275458026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88.139539594023759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88.139539594023759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212.00000000000009</v>
      </c>
      <c r="BE116" s="13">
        <f>BD116*VLOOKUP('Données projet'!$B$11,Paramètres!$A$1:$I$89,3,0)*VLOOKUP('Données projet'!$B$11,Paramètres!$A$1:$I$89,5,0)</f>
        <v>185.20320000000009</v>
      </c>
      <c r="BF116" s="13">
        <f t="shared" si="91"/>
        <v>46.477875402099386</v>
      </c>
      <c r="BG116" s="20">
        <f t="shared" si="61"/>
        <v>403.5112063253232</v>
      </c>
      <c r="BH116" s="59">
        <f t="shared" si="62"/>
        <v>696.84453965865646</v>
      </c>
      <c r="BI116" s="59">
        <f ca="1">AVERAGE(OFFSET($BH$3,0,0,'Données projet'!$E$11+1,1))-AVERAGE(OFFSET($H$3,0,0,'Données projet'!$E$11+1,1))</f>
        <v>216.10252108537389</v>
      </c>
      <c r="BJ116" s="59">
        <f t="shared" si="92"/>
        <v>196.91968622092054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33.852184588703487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0</v>
      </c>
      <c r="BS116" s="22">
        <f t="shared" si="63"/>
        <v>33.852184588703487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>
        <f>BY116*VLOOKUP('Données projet'!$B$12,Paramètres!$A$1:$I$89,3,0)*VLOOKUP('Données projet'!$B$12,Paramètres!$A$1:$I$89,5,0)</f>
        <v>0</v>
      </c>
      <c r="CA116" s="13" t="e">
        <f t="shared" si="93"/>
        <v>#NUM!</v>
      </c>
      <c r="CB116" s="20" t="e">
        <f t="shared" si="64"/>
        <v>#NUM!</v>
      </c>
      <c r="CC116" s="59" t="e">
        <f t="shared" si="65"/>
        <v>#NUM!</v>
      </c>
      <c r="CD116" s="59">
        <f ca="1">AVERAGE(OFFSET($CC$3,0,0,'Données projet'!$E$12+1,1))-AVERAGE(OFFSET($H$3,0,0,'Données projet'!$E$12+1,1))</f>
        <v>152.85416952858094</v>
      </c>
      <c r="CE116" s="59">
        <f t="shared" si="94"/>
        <v>369.87619681979322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23.868795657623551</v>
      </c>
      <c r="CL116" s="21">
        <f>EXP(-LN(2)/25)*CL115+(1-EXP(-LN(2)/25))/(LN(2)/25)*Calculateur!CG116*Calculateur!CI116*VLOOKUP('Données projet'!$B$12,Paramètres!$A$1:$I$89,3,0)*0.475*44/12</f>
        <v>1.4396537049661937</v>
      </c>
      <c r="CM116" s="21">
        <f>EXP(-LN(2)/2)*CM115+(1-EXP(-LN(2)/2))/(LN(2)/2)*CG116*CJ116*VLOOKUP('Données projet'!$B$12,Paramètres!$A$1:$I$89,3,0)*0.475*44/12</f>
        <v>1.4457754941830362E-14</v>
      </c>
      <c r="CN116" s="22">
        <f t="shared" si="66"/>
        <v>25.308449362589759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53.35200000000016</v>
      </c>
      <c r="D117" s="11">
        <f t="shared" si="86"/>
        <v>15.476132071622883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531.30487914937089</v>
      </c>
      <c r="H117" s="66">
        <f t="shared" si="56"/>
        <v>413.20899669141011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>
        <f>VLOOKUP(A117,'Données projet'!$A$35:$I$55,2,0)</f>
        <v>424.56</v>
      </c>
      <c r="L117" s="12">
        <f>VLOOKUP(A117,'Données projet'!$A$35:$I$55,9,0)</f>
        <v>8.2550000000000008</v>
      </c>
      <c r="M117" s="12">
        <f t="array" ref="M117">INDEX(L:L,MIN(IF(ISNUMBER(L117:L313),ROW(L117:L313),"")))</f>
        <v>8.2550000000000008</v>
      </c>
      <c r="N117" s="13">
        <f>IF('Données projet'!$A$36&gt;35,N116+M117-V116,IF(A117&lt;'Données projet'!$A$36,$K$205^A117,IF(A117='Données projet'!$A$36,'Données projet'!$B$36,N116+M117-V116)))</f>
        <v>424.56000000000017</v>
      </c>
      <c r="O117" s="13">
        <f>N117*VLOOKUP('Données projet'!$B$9,Paramètres!$A$1:$I$89,3,0)*VLOOKUP('Données projet'!$B$9,Paramètres!$A$1:$I$89,5,0)</f>
        <v>430.5038400000002</v>
      </c>
      <c r="P117" s="13">
        <f t="shared" si="87"/>
        <v>97.934152240757911</v>
      </c>
      <c r="Q117" s="20">
        <f t="shared" si="107"/>
        <v>920.36283648598703</v>
      </c>
      <c r="R117" s="59">
        <f t="shared" si="55"/>
        <v>1213.6961698193204</v>
      </c>
      <c r="S117" s="59">
        <f ca="1">AVERAGE(OFFSET($R$3,0,0,'Données projet'!$E$9+1,1))-AVERAGE(OFFSET($H$3,0,0,'Données projet'!$E$9+1,1))</f>
        <v>561.16051468364344</v>
      </c>
      <c r="T117" s="59">
        <f t="shared" si="88"/>
        <v>137.34523913145267</v>
      </c>
      <c r="U117" s="15">
        <f>IF(ISNA(VLOOKUP(A117,'Données projet'!$A$35:$I$55,3,0)),0,VLOOKUP(A117,'Données projet'!$A$35:$I$55,3,0))</f>
        <v>9</v>
      </c>
      <c r="V117" s="15">
        <f>IF(ISNA(VLOOKUP(A117,'Données projet'!$A$35:$I$55,4,0)),0,VLOOKUP(A117,'Données projet'!$A$35:$I$55,4,0))</f>
        <v>56.07</v>
      </c>
      <c r="W117" s="16">
        <f>IF(ISNA(VLOOKUP(A117,'Données projet'!$A$35:$I$55,5,0)),0%,VLOOKUP(A117,'Données projet'!$A$35:$I$55,5,0)*VLOOKUP('Données projet'!$B$9,Paramètres!$A$1:$I$89,7,0))</f>
        <v>0.43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123.86625555258703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123.86625555258703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384.14188800000016</v>
      </c>
      <c r="AK117" s="13">
        <f t="shared" si="89"/>
        <v>88.554146462646813</v>
      </c>
      <c r="AL117" s="20">
        <f t="shared" si="58"/>
        <v>823.27892668911011</v>
      </c>
      <c r="AM117" s="59">
        <f t="shared" si="59"/>
        <v>1116.6122600224435</v>
      </c>
      <c r="AN117" s="59">
        <f ca="1">AVERAGE(OFFSET($AM$3,0,0,'Données projet'!$E$10+1,1))-AVERAGE(OFFSET($H$3,0,0,'Données projet'!$E$10+1,1))</f>
        <v>491.82493848755047</v>
      </c>
      <c r="AO117" s="59">
        <f t="shared" si="90"/>
        <v>119.46953275458026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110.52681264692377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110.52681264692377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212.00000000000009</v>
      </c>
      <c r="BE117" s="13">
        <f>BD117*VLOOKUP('Données projet'!$B$11,Paramètres!$A$1:$I$89,3,0)*VLOOKUP('Données projet'!$B$11,Paramètres!$A$1:$I$89,5,0)</f>
        <v>185.20320000000009</v>
      </c>
      <c r="BF117" s="13">
        <f t="shared" si="91"/>
        <v>46.477875402099386</v>
      </c>
      <c r="BG117" s="20">
        <f t="shared" si="61"/>
        <v>403.5112063253232</v>
      </c>
      <c r="BH117" s="59">
        <f t="shared" si="62"/>
        <v>696.84453965865646</v>
      </c>
      <c r="BI117" s="59">
        <f ca="1">AVERAGE(OFFSET($BH$3,0,0,'Données projet'!$E$11+1,1))-AVERAGE(OFFSET($H$3,0,0,'Données projet'!$E$11+1,1))</f>
        <v>216.10252108537389</v>
      </c>
      <c r="BJ117" s="59">
        <f t="shared" si="92"/>
        <v>196.91968622092054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33.188363896712808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0</v>
      </c>
      <c r="BS117" s="22">
        <f t="shared" si="63"/>
        <v>33.188363896712808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>
        <f>BY117*VLOOKUP('Données projet'!$B$12,Paramètres!$A$1:$I$89,3,0)*VLOOKUP('Données projet'!$B$12,Paramètres!$A$1:$I$89,5,0)</f>
        <v>0</v>
      </c>
      <c r="CA117" s="13" t="e">
        <f t="shared" si="93"/>
        <v>#NUM!</v>
      </c>
      <c r="CB117" s="20" t="e">
        <f t="shared" si="64"/>
        <v>#NUM!</v>
      </c>
      <c r="CC117" s="59" t="e">
        <f t="shared" si="65"/>
        <v>#NUM!</v>
      </c>
      <c r="CD117" s="59">
        <f ca="1">AVERAGE(OFFSET($CC$3,0,0,'Données projet'!$E$12+1,1))-AVERAGE(OFFSET($H$3,0,0,'Données projet'!$E$12+1,1))</f>
        <v>152.85416952858094</v>
      </c>
      <c r="CE117" s="59">
        <f t="shared" si="94"/>
        <v>369.87619681979322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23.400743133305369</v>
      </c>
      <c r="CL117" s="21">
        <f>EXP(-LN(2)/25)*CL116+(1-EXP(-LN(2)/25))/(LN(2)/25)*Calculateur!CG117*Calculateur!CI117*VLOOKUP('Données projet'!$B$12,Paramètres!$A$1:$I$89,3,0)*0.475*44/12</f>
        <v>1.4002862986957951</v>
      </c>
      <c r="CM117" s="21">
        <f>EXP(-LN(2)/2)*CM116+(1-EXP(-LN(2)/2))/(LN(2)/2)*CG117*CJ117*VLOOKUP('Données projet'!$B$12,Paramètres!$A$1:$I$89,3,0)*0.475*44/12</f>
        <v>1.0223176560101568E-14</v>
      </c>
      <c r="CN117" s="22">
        <f t="shared" si="66"/>
        <v>24.801029432001176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53.820000000000164</v>
      </c>
      <c r="D118" s="11">
        <f t="shared" si="86"/>
        <v>15.596024630246307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535.84299714576218</v>
      </c>
      <c r="H118" s="66">
        <f t="shared" si="56"/>
        <v>414.2329095643459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8.3369999999999997</v>
      </c>
      <c r="N118" s="13">
        <f>IF('Données projet'!$A$36&gt;35,N117+M118-V117,IF(A118&lt;'Données projet'!$A$36,$K$205^A118,IF(A118='Données projet'!$A$36,'Données projet'!$B$36,N117+M118-V117)))</f>
        <v>376.82700000000017</v>
      </c>
      <c r="O118" s="13">
        <f>N118*VLOOKUP('Données projet'!$B$9,Paramètres!$A$1:$I$89,3,0)*VLOOKUP('Données projet'!$B$9,Paramètres!$A$1:$I$89,5,0)</f>
        <v>382.10257800000022</v>
      </c>
      <c r="P118" s="13">
        <f t="shared" si="87"/>
        <v>88.138627718780114</v>
      </c>
      <c r="Q118" s="20">
        <f t="shared" si="107"/>
        <v>819.00343329354246</v>
      </c>
      <c r="R118" s="59">
        <f t="shared" si="55"/>
        <v>1112.3367666268757</v>
      </c>
      <c r="S118" s="59">
        <f ca="1">AVERAGE(OFFSET($R$3,0,0,'Données projet'!$E$9+1,1))-AVERAGE(OFFSET($H$3,0,0,'Données projet'!$E$9+1,1))</f>
        <v>561.16051468364344</v>
      </c>
      <c r="T118" s="59">
        <f t="shared" si="88"/>
        <v>137.34523913145267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121.43731383215665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121.43731383215665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340.95306960000016</v>
      </c>
      <c r="AK118" s="13">
        <f t="shared" si="89"/>
        <v>79.69682454429082</v>
      </c>
      <c r="AL118" s="20">
        <f t="shared" si="58"/>
        <v>732.63189896797348</v>
      </c>
      <c r="AM118" s="59">
        <f t="shared" si="59"/>
        <v>1025.9652323013067</v>
      </c>
      <c r="AN118" s="59">
        <f ca="1">AVERAGE(OFFSET($AM$3,0,0,'Données projet'!$E$10+1,1))-AVERAGE(OFFSET($H$3,0,0,'Données projet'!$E$10+1,1))</f>
        <v>491.82493848755047</v>
      </c>
      <c r="AO118" s="59">
        <f t="shared" si="90"/>
        <v>119.46953275458026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108.35944926561666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108.35944926561666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212.00000000000009</v>
      </c>
      <c r="BE118" s="13">
        <f>BD118*VLOOKUP('Données projet'!$B$11,Paramètres!$A$1:$I$89,3,0)*VLOOKUP('Données projet'!$B$11,Paramètres!$A$1:$I$89,5,0)</f>
        <v>185.20320000000009</v>
      </c>
      <c r="BF118" s="13">
        <f t="shared" si="91"/>
        <v>46.477875402099386</v>
      </c>
      <c r="BG118" s="20">
        <f t="shared" si="61"/>
        <v>403.5112063253232</v>
      </c>
      <c r="BH118" s="59">
        <f t="shared" si="62"/>
        <v>696.84453965865646</v>
      </c>
      <c r="BI118" s="59">
        <f ca="1">AVERAGE(OFFSET($BH$3,0,0,'Données projet'!$E$11+1,1))-AVERAGE(OFFSET($H$3,0,0,'Données projet'!$E$11+1,1))</f>
        <v>216.10252108537389</v>
      </c>
      <c r="BJ118" s="59">
        <f t="shared" si="92"/>
        <v>196.91968622092054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32.537560323601426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0</v>
      </c>
      <c r="BS118" s="22">
        <f t="shared" si="63"/>
        <v>32.537560323601426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>
        <f>BY118*VLOOKUP('Données projet'!$B$12,Paramètres!$A$1:$I$89,3,0)*VLOOKUP('Données projet'!$B$12,Paramètres!$A$1:$I$89,5,0)</f>
        <v>0</v>
      </c>
      <c r="CA118" s="13" t="e">
        <f t="shared" si="93"/>
        <v>#NUM!</v>
      </c>
      <c r="CB118" s="20" t="e">
        <f t="shared" si="64"/>
        <v>#NUM!</v>
      </c>
      <c r="CC118" s="59" t="e">
        <f t="shared" si="65"/>
        <v>#NUM!</v>
      </c>
      <c r="CD118" s="59">
        <f ca="1">AVERAGE(OFFSET($CC$3,0,0,'Données projet'!$E$12+1,1))-AVERAGE(OFFSET($H$3,0,0,'Données projet'!$E$12+1,1))</f>
        <v>152.85416952858094</v>
      </c>
      <c r="CE118" s="59">
        <f t="shared" si="94"/>
        <v>369.87619681979322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22.941868833505215</v>
      </c>
      <c r="CL118" s="21">
        <f>EXP(-LN(2)/25)*CL117+(1-EXP(-LN(2)/25))/(LN(2)/25)*Calculateur!CG118*Calculateur!CI118*VLOOKUP('Données projet'!$B$12,Paramètres!$A$1:$I$89,3,0)*0.475*44/12</f>
        <v>1.3619953962201026</v>
      </c>
      <c r="CM118" s="21">
        <f>EXP(-LN(2)/2)*CM117+(1-EXP(-LN(2)/2))/(LN(2)/2)*CG118*CJ118*VLOOKUP('Données projet'!$B$12,Paramètres!$A$1:$I$89,3,0)*0.475*44/12</f>
        <v>7.2288774709151809E-15</v>
      </c>
      <c r="CN118" s="22">
        <f t="shared" si="66"/>
        <v>24.303864229725324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54.288000000000167</v>
      </c>
      <c r="D119" s="11">
        <f t="shared" si="86"/>
        <v>15.715795896526787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540.38017885038346</v>
      </c>
      <c r="H119" s="66">
        <f t="shared" si="56"/>
        <v>415.2566111864511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8.3369999999999997</v>
      </c>
      <c r="N119" s="13">
        <f>IF('Données projet'!$A$36&gt;35,N118+M119-V118,IF(A119&lt;'Données projet'!$A$36,$K$205^A119,IF(A119='Données projet'!$A$36,'Données projet'!$B$36,N118+M119-V118)))</f>
        <v>385.16400000000016</v>
      </c>
      <c r="O119" s="13">
        <f>N119*VLOOKUP('Données projet'!$B$9,Paramètres!$A$1:$I$89,3,0)*VLOOKUP('Données projet'!$B$9,Paramètres!$A$1:$I$89,5,0)</f>
        <v>390.55629600000015</v>
      </c>
      <c r="P119" s="13">
        <f t="shared" si="87"/>
        <v>89.859445030647464</v>
      </c>
      <c r="Q119" s="20">
        <f t="shared" si="107"/>
        <v>836.72408229504447</v>
      </c>
      <c r="R119" s="59">
        <f t="shared" si="55"/>
        <v>1130.0574156283778</v>
      </c>
      <c r="S119" s="59">
        <f ca="1">AVERAGE(OFFSET($R$3,0,0,'Données projet'!$E$9+1,1))-AVERAGE(OFFSET($H$3,0,0,'Données projet'!$E$9+1,1))</f>
        <v>561.16051468364344</v>
      </c>
      <c r="T119" s="59">
        <f t="shared" si="88"/>
        <v>137.34523913145267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119.05600217735574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119.05600217735574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348.49638720000013</v>
      </c>
      <c r="AK119" s="13">
        <f t="shared" si="89"/>
        <v>81.252824211250186</v>
      </c>
      <c r="AL119" s="20">
        <f t="shared" si="58"/>
        <v>748.47987654126098</v>
      </c>
      <c r="AM119" s="59">
        <f t="shared" si="59"/>
        <v>1041.8132098745943</v>
      </c>
      <c r="AN119" s="59">
        <f ca="1">AVERAGE(OFFSET($AM$3,0,0,'Données projet'!$E$10+1,1))-AVERAGE(OFFSET($H$3,0,0,'Données projet'!$E$10+1,1))</f>
        <v>491.82493848755047</v>
      </c>
      <c r="AO119" s="59">
        <f t="shared" si="90"/>
        <v>119.46953275458026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106.23458655825586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106.23458655825586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212.00000000000009</v>
      </c>
      <c r="BE119" s="13">
        <f>BD119*VLOOKUP('Données projet'!$B$11,Paramètres!$A$1:$I$89,3,0)*VLOOKUP('Données projet'!$B$11,Paramètres!$A$1:$I$89,5,0)</f>
        <v>185.20320000000009</v>
      </c>
      <c r="BF119" s="13">
        <f t="shared" si="91"/>
        <v>46.477875402099386</v>
      </c>
      <c r="BG119" s="20">
        <f t="shared" si="61"/>
        <v>403.5112063253232</v>
      </c>
      <c r="BH119" s="59">
        <f t="shared" si="62"/>
        <v>696.84453965865646</v>
      </c>
      <c r="BI119" s="59">
        <f ca="1">AVERAGE(OFFSET($BH$3,0,0,'Données projet'!$E$11+1,1))-AVERAGE(OFFSET($H$3,0,0,'Données projet'!$E$11+1,1))</f>
        <v>216.10252108537389</v>
      </c>
      <c r="BJ119" s="59">
        <f t="shared" si="92"/>
        <v>196.91968622092054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31.899518611607775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0</v>
      </c>
      <c r="BS119" s="22">
        <f t="shared" si="63"/>
        <v>31.899518611607775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>
        <f>BY119*VLOOKUP('Données projet'!$B$12,Paramètres!$A$1:$I$89,3,0)*VLOOKUP('Données projet'!$B$12,Paramètres!$A$1:$I$89,5,0)</f>
        <v>0</v>
      </c>
      <c r="CA119" s="13" t="e">
        <f t="shared" si="93"/>
        <v>#NUM!</v>
      </c>
      <c r="CB119" s="20" t="e">
        <f t="shared" si="64"/>
        <v>#NUM!</v>
      </c>
      <c r="CC119" s="59" t="e">
        <f t="shared" si="65"/>
        <v>#NUM!</v>
      </c>
      <c r="CD119" s="59">
        <f ca="1">AVERAGE(OFFSET($CC$3,0,0,'Données projet'!$E$12+1,1))-AVERAGE(OFFSET($H$3,0,0,'Données projet'!$E$12+1,1))</f>
        <v>152.85416952858094</v>
      </c>
      <c r="CE119" s="59">
        <f t="shared" si="94"/>
        <v>369.87619681979322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22.491992778838455</v>
      </c>
      <c r="CL119" s="21">
        <f>EXP(-LN(2)/25)*CL118+(1-EXP(-LN(2)/25))/(LN(2)/25)*Calculateur!CG119*Calculateur!CI119*VLOOKUP('Données projet'!$B$12,Paramètres!$A$1:$I$89,3,0)*0.475*44/12</f>
        <v>1.3247515604862388</v>
      </c>
      <c r="CM119" s="21">
        <f>EXP(-LN(2)/2)*CM118+(1-EXP(-LN(2)/2))/(LN(2)/2)*CG119*CJ119*VLOOKUP('Données projet'!$B$12,Paramètres!$A$1:$I$89,3,0)*0.475*44/12</f>
        <v>5.1115882800507839E-15</v>
      </c>
      <c r="CN119" s="22">
        <f t="shared" si="66"/>
        <v>23.816744339324696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54.756000000000171</v>
      </c>
      <c r="D120" s="11">
        <f t="shared" si="86"/>
        <v>15.835447037242094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544.91643326994028</v>
      </c>
      <c r="H120" s="66">
        <f t="shared" si="56"/>
        <v>416.28010358986359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8.3369999999999997</v>
      </c>
      <c r="N120" s="13">
        <f>IF('Données projet'!$A$36&gt;35,N119+M120-V119,IF(A120&lt;'Données projet'!$A$36,$K$205^A120,IF(A120='Données projet'!$A$36,'Données projet'!$B$36,N119+M120-V119)))</f>
        <v>393.50100000000015</v>
      </c>
      <c r="O120" s="13">
        <f>N120*VLOOKUP('Données projet'!$B$9,Paramètres!$A$1:$I$89,3,0)*VLOOKUP('Données projet'!$B$9,Paramètres!$A$1:$I$89,5,0)</f>
        <v>399.01001400000018</v>
      </c>
      <c r="P120" s="13">
        <f t="shared" si="87"/>
        <v>91.57593181586391</v>
      </c>
      <c r="Q120" s="20">
        <f t="shared" si="107"/>
        <v>854.43718896262988</v>
      </c>
      <c r="R120" s="59">
        <f t="shared" si="55"/>
        <v>1147.7705222959632</v>
      </c>
      <c r="S120" s="59">
        <f ca="1">AVERAGE(OFFSET($R$3,0,0,'Données projet'!$E$9+1,1))-AVERAGE(OFFSET($H$3,0,0,'Données projet'!$E$9+1,1))</f>
        <v>561.16051468364344</v>
      </c>
      <c r="T120" s="59">
        <f t="shared" si="88"/>
        <v>137.34523913145267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116.72138659164878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116.72138659164878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356.0397048000001</v>
      </c>
      <c r="AK120" s="13">
        <f t="shared" si="89"/>
        <v>82.804908123771014</v>
      </c>
      <c r="AL120" s="20">
        <f t="shared" si="58"/>
        <v>764.321034175568</v>
      </c>
      <c r="AM120" s="59">
        <f t="shared" si="59"/>
        <v>1057.6543675089013</v>
      </c>
      <c r="AN120" s="59">
        <f ca="1">AVERAGE(OFFSET($AM$3,0,0,'Données projet'!$E$10+1,1))-AVERAGE(OFFSET($H$3,0,0,'Données projet'!$E$10+1,1))</f>
        <v>491.82493848755047</v>
      </c>
      <c r="AO120" s="59">
        <f t="shared" si="90"/>
        <v>119.46953275458026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104.15139111254811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104.15139111254811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212.00000000000009</v>
      </c>
      <c r="BE120" s="13">
        <f>BD120*VLOOKUP('Données projet'!$B$11,Paramètres!$A$1:$I$89,3,0)*VLOOKUP('Données projet'!$B$11,Paramètres!$A$1:$I$89,5,0)</f>
        <v>185.20320000000009</v>
      </c>
      <c r="BF120" s="13">
        <f t="shared" si="91"/>
        <v>46.477875402099386</v>
      </c>
      <c r="BG120" s="20">
        <f t="shared" si="61"/>
        <v>403.5112063253232</v>
      </c>
      <c r="BH120" s="59">
        <f t="shared" si="62"/>
        <v>696.84453965865646</v>
      </c>
      <c r="BI120" s="59">
        <f ca="1">AVERAGE(OFFSET($BH$3,0,0,'Données projet'!$E$11+1,1))-AVERAGE(OFFSET($H$3,0,0,'Données projet'!$E$11+1,1))</f>
        <v>216.10252108537389</v>
      </c>
      <c r="BJ120" s="59">
        <f t="shared" si="92"/>
        <v>196.91968622092054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31.273988508419301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0</v>
      </c>
      <c r="BS120" s="22">
        <f t="shared" si="63"/>
        <v>31.273988508419301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>
        <f>BY120*VLOOKUP('Données projet'!$B$12,Paramètres!$A$1:$I$89,3,0)*VLOOKUP('Données projet'!$B$12,Paramètres!$A$1:$I$89,5,0)</f>
        <v>0</v>
      </c>
      <c r="CA120" s="13" t="e">
        <f t="shared" si="93"/>
        <v>#NUM!</v>
      </c>
      <c r="CB120" s="20" t="e">
        <f t="shared" si="64"/>
        <v>#NUM!</v>
      </c>
      <c r="CC120" s="59" t="e">
        <f t="shared" si="65"/>
        <v>#NUM!</v>
      </c>
      <c r="CD120" s="59">
        <f ca="1">AVERAGE(OFFSET($CC$3,0,0,'Données projet'!$E$12+1,1))-AVERAGE(OFFSET($H$3,0,0,'Données projet'!$E$12+1,1))</f>
        <v>152.85416952858094</v>
      </c>
      <c r="CE120" s="59">
        <f t="shared" si="94"/>
        <v>369.87619681979322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22.050938519206412</v>
      </c>
      <c r="CL120" s="21">
        <f>EXP(-LN(2)/25)*CL119+(1-EXP(-LN(2)/25))/(LN(2)/25)*Calculateur!CG120*Calculateur!CI120*VLOOKUP('Données projet'!$B$12,Paramètres!$A$1:$I$89,3,0)*0.475*44/12</f>
        <v>1.2885261593990858</v>
      </c>
      <c r="CM120" s="21">
        <f>EXP(-LN(2)/2)*CM119+(1-EXP(-LN(2)/2))/(LN(2)/2)*CG120*CJ120*VLOOKUP('Données projet'!$B$12,Paramètres!$A$1:$I$89,3,0)*0.475*44/12</f>
        <v>3.6144387354575905E-15</v>
      </c>
      <c r="CN120" s="22">
        <f t="shared" si="66"/>
        <v>23.339464678605502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55.224000000000174</v>
      </c>
      <c r="D121" s="11">
        <f t="shared" si="86"/>
        <v>15.954979198073998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549.45176924829184</v>
      </c>
      <c r="H121" s="66">
        <f t="shared" si="56"/>
        <v>417.30338876997916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8.3369999999999997</v>
      </c>
      <c r="N121" s="13">
        <f>IF('Données projet'!$A$36&gt;35,N120+M121-V120,IF(A121&lt;'Données projet'!$A$36,$K$205^A121,IF(A121='Données projet'!$A$36,'Données projet'!$B$36,N120+M121-V120)))</f>
        <v>401.83800000000014</v>
      </c>
      <c r="O121" s="13">
        <f>N121*VLOOKUP('Données projet'!$B$9,Paramètres!$A$1:$I$89,3,0)*VLOOKUP('Données projet'!$B$9,Paramètres!$A$1:$I$89,5,0)</f>
        <v>407.46373200000022</v>
      </c>
      <c r="P121" s="13">
        <f t="shared" si="87"/>
        <v>93.288190393059182</v>
      </c>
      <c r="Q121" s="20">
        <f t="shared" si="107"/>
        <v>872.14293150124513</v>
      </c>
      <c r="R121" s="59">
        <f t="shared" si="55"/>
        <v>1165.4762648345784</v>
      </c>
      <c r="S121" s="59">
        <f ca="1">AVERAGE(OFFSET($R$3,0,0,'Données projet'!$E$9+1,1))-AVERAGE(OFFSET($H$3,0,0,'Données projet'!$E$9+1,1))</f>
        <v>561.16051468364344</v>
      </c>
      <c r="T121" s="59">
        <f t="shared" si="88"/>
        <v>137.34523913145267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114.43255139360264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114.43255139360264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363.58302240000012</v>
      </c>
      <c r="AK121" s="13">
        <f t="shared" si="89"/>
        <v>84.353168800537972</v>
      </c>
      <c r="AL121" s="20">
        <f t="shared" si="58"/>
        <v>780.15553300760382</v>
      </c>
      <c r="AM121" s="59">
        <f t="shared" si="59"/>
        <v>1073.4888663409372</v>
      </c>
      <c r="AN121" s="59">
        <f ca="1">AVERAGE(OFFSET($AM$3,0,0,'Données projet'!$E$10+1,1))-AVERAGE(OFFSET($H$3,0,0,'Données projet'!$E$10+1,1))</f>
        <v>491.82493848755047</v>
      </c>
      <c r="AO121" s="59">
        <f t="shared" si="90"/>
        <v>119.46953275458026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102.10904585890694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102.10904585890694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212.00000000000009</v>
      </c>
      <c r="BE121" s="13">
        <f>BD121*VLOOKUP('Données projet'!$B$11,Paramètres!$A$1:$I$89,3,0)*VLOOKUP('Données projet'!$B$11,Paramètres!$A$1:$I$89,5,0)</f>
        <v>185.20320000000009</v>
      </c>
      <c r="BF121" s="13">
        <f t="shared" si="91"/>
        <v>46.477875402099386</v>
      </c>
      <c r="BG121" s="20">
        <f t="shared" si="61"/>
        <v>403.5112063253232</v>
      </c>
      <c r="BH121" s="59">
        <f t="shared" si="62"/>
        <v>696.84453965865646</v>
      </c>
      <c r="BI121" s="59">
        <f ca="1">AVERAGE(OFFSET($BH$3,0,0,'Données projet'!$E$11+1,1))-AVERAGE(OFFSET($H$3,0,0,'Données projet'!$E$11+1,1))</f>
        <v>216.10252108537389</v>
      </c>
      <c r="BJ121" s="59">
        <f t="shared" si="92"/>
        <v>196.91968622092054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30.660724669018663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0</v>
      </c>
      <c r="BS121" s="22">
        <f t="shared" si="63"/>
        <v>30.660724669018663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>
        <f>BY121*VLOOKUP('Données projet'!$B$12,Paramètres!$A$1:$I$89,3,0)*VLOOKUP('Données projet'!$B$12,Paramètres!$A$1:$I$89,5,0)</f>
        <v>0</v>
      </c>
      <c r="CA121" s="13" t="e">
        <f t="shared" si="93"/>
        <v>#NUM!</v>
      </c>
      <c r="CB121" s="20" t="e">
        <f t="shared" si="64"/>
        <v>#NUM!</v>
      </c>
      <c r="CC121" s="59" t="e">
        <f t="shared" si="65"/>
        <v>#NUM!</v>
      </c>
      <c r="CD121" s="59">
        <f ca="1">AVERAGE(OFFSET($CC$3,0,0,'Données projet'!$E$12+1,1))-AVERAGE(OFFSET($H$3,0,0,'Données projet'!$E$12+1,1))</f>
        <v>152.85416952858094</v>
      </c>
      <c r="CE121" s="59">
        <f t="shared" si="94"/>
        <v>369.87619681979322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21.618533064589219</v>
      </c>
      <c r="CL121" s="21">
        <f>EXP(-LN(2)/25)*CL120+(1-EXP(-LN(2)/25))/(LN(2)/25)*Calculateur!CG121*Calculateur!CI121*VLOOKUP('Données projet'!$B$12,Paramètres!$A$1:$I$89,3,0)*0.475*44/12</f>
        <v>1.253291343809672</v>
      </c>
      <c r="CM121" s="21">
        <f>EXP(-LN(2)/2)*CM120+(1-EXP(-LN(2)/2))/(LN(2)/2)*CG121*CJ121*VLOOKUP('Données projet'!$B$12,Paramètres!$A$1:$I$89,3,0)*0.475*44/12</f>
        <v>2.555794140025392E-15</v>
      </c>
      <c r="CN121" s="22">
        <f t="shared" si="66"/>
        <v>22.871824408398894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55.692000000000178</v>
      </c>
      <c r="D122" s="11">
        <f t="shared" si="86"/>
        <v>16.074393504165254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553.98619547075066</v>
      </c>
      <c r="H122" s="66">
        <f t="shared" si="56"/>
        <v>418.32646868642144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8.3369999999999997</v>
      </c>
      <c r="N122" s="13">
        <f>IF('Données projet'!$A$36&gt;35,N121+M122-V121,IF(A122&lt;'Données projet'!$A$36,$K$205^A122,IF(A122='Données projet'!$A$36,'Données projet'!$B$36,N121+M122-V121)))</f>
        <v>410.17500000000013</v>
      </c>
      <c r="O122" s="13">
        <f>N122*VLOOKUP('Données projet'!$B$9,Paramètres!$A$1:$I$89,3,0)*VLOOKUP('Données projet'!$B$9,Paramètres!$A$1:$I$89,5,0)</f>
        <v>415.91745000000014</v>
      </c>
      <c r="P122" s="13">
        <f t="shared" si="87"/>
        <v>94.996318592577481</v>
      </c>
      <c r="Q122" s="20">
        <f t="shared" si="107"/>
        <v>889.84148029873938</v>
      </c>
      <c r="R122" s="59">
        <f t="shared" si="55"/>
        <v>1183.1748136320728</v>
      </c>
      <c r="S122" s="59">
        <f ca="1">AVERAGE(OFFSET($R$3,0,0,'Données projet'!$E$9+1,1))-AVERAGE(OFFSET($H$3,0,0,'Données projet'!$E$9+1,1))</f>
        <v>561.16051468364344</v>
      </c>
      <c r="T122" s="59">
        <f t="shared" si="88"/>
        <v>137.34523913145267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112.18859885773855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112.18859885773855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371.12634000000008</v>
      </c>
      <c r="AK122" s="13">
        <f t="shared" si="89"/>
        <v>85.897694701832052</v>
      </c>
      <c r="AL122" s="20">
        <f t="shared" si="58"/>
        <v>795.98352710569088</v>
      </c>
      <c r="AM122" s="59">
        <f t="shared" si="59"/>
        <v>1089.3168604390241</v>
      </c>
      <c r="AN122" s="59">
        <f ca="1">AVERAGE(OFFSET($AM$3,0,0,'Données projet'!$E$10+1,1))-AVERAGE(OFFSET($H$3,0,0,'Données projet'!$E$10+1,1))</f>
        <v>491.82493848755047</v>
      </c>
      <c r="AO122" s="59">
        <f t="shared" si="90"/>
        <v>119.46953275458026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100.10674974998207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100.10674974998207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212.00000000000009</v>
      </c>
      <c r="BE122" s="13">
        <f>BD122*VLOOKUP('Données projet'!$B$11,Paramètres!$A$1:$I$89,3,0)*VLOOKUP('Données projet'!$B$11,Paramètres!$A$1:$I$89,5,0)</f>
        <v>185.20320000000009</v>
      </c>
      <c r="BF122" s="13">
        <f t="shared" si="91"/>
        <v>46.477875402099386</v>
      </c>
      <c r="BG122" s="20">
        <f t="shared" si="61"/>
        <v>403.5112063253232</v>
      </c>
      <c r="BH122" s="59">
        <f t="shared" si="62"/>
        <v>696.84453965865646</v>
      </c>
      <c r="BI122" s="59">
        <f ca="1">AVERAGE(OFFSET($BH$3,0,0,'Données projet'!$E$11+1,1))-AVERAGE(OFFSET($H$3,0,0,'Données projet'!$E$11+1,1))</f>
        <v>216.10252108537389</v>
      </c>
      <c r="BJ122" s="59">
        <f t="shared" si="92"/>
        <v>196.91968622092054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30.059486559454665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0</v>
      </c>
      <c r="BS122" s="22">
        <f t="shared" si="63"/>
        <v>30.059486559454665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>
        <f>BY122*VLOOKUP('Données projet'!$B$12,Paramètres!$A$1:$I$89,3,0)*VLOOKUP('Données projet'!$B$12,Paramètres!$A$1:$I$89,5,0)</f>
        <v>0</v>
      </c>
      <c r="CA122" s="13" t="e">
        <f t="shared" si="93"/>
        <v>#NUM!</v>
      </c>
      <c r="CB122" s="20" t="e">
        <f t="shared" si="64"/>
        <v>#NUM!</v>
      </c>
      <c r="CC122" s="59" t="e">
        <f t="shared" si="65"/>
        <v>#NUM!</v>
      </c>
      <c r="CD122" s="59">
        <f ca="1">AVERAGE(OFFSET($CC$3,0,0,'Données projet'!$E$12+1,1))-AVERAGE(OFFSET($H$3,0,0,'Données projet'!$E$12+1,1))</f>
        <v>152.85416952858094</v>
      </c>
      <c r="CE122" s="59">
        <f t="shared" si="94"/>
        <v>369.87619681979322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21.194606817195783</v>
      </c>
      <c r="CL122" s="21">
        <f>EXP(-LN(2)/25)*CL121+(1-EXP(-LN(2)/25))/(LN(2)/25)*Calculateur!CG122*Calculateur!CI122*VLOOKUP('Données projet'!$B$12,Paramètres!$A$1:$I$89,3,0)*0.475*44/12</f>
        <v>1.2190200261054691</v>
      </c>
      <c r="CM122" s="21">
        <f>EXP(-LN(2)/2)*CM121+(1-EXP(-LN(2)/2))/(LN(2)/2)*CG122*CJ122*VLOOKUP('Données projet'!$B$12,Paramètres!$A$1:$I$89,3,0)*0.475*44/12</f>
        <v>1.8072193677287952E-15</v>
      </c>
      <c r="CN122" s="22">
        <f t="shared" si="66"/>
        <v>22.413626843301255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56.160000000000181</v>
      </c>
      <c r="D123" s="11">
        <f t="shared" si="86"/>
        <v>16.193691060657081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558.51972046823164</v>
      </c>
      <c r="H123" s="66">
        <f t="shared" si="56"/>
        <v>419.34934526397802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8.3369999999999997</v>
      </c>
      <c r="N123" s="13">
        <f>IF('Données projet'!$A$36&gt;35,N122+M123-V122,IF(A123&lt;'Données projet'!$A$36,$K$205^A123,IF(A123='Données projet'!$A$36,'Données projet'!$B$36,N122+M123-V122)))</f>
        <v>418.51200000000011</v>
      </c>
      <c r="O123" s="13">
        <f>N123*VLOOKUP('Données projet'!$B$9,Paramètres!$A$1:$I$89,3,0)*VLOOKUP('Données projet'!$B$9,Paramètres!$A$1:$I$89,5,0)</f>
        <v>424.37116800000013</v>
      </c>
      <c r="P123" s="13">
        <f t="shared" si="87"/>
        <v>96.700410040517937</v>
      </c>
      <c r="Q123" s="20">
        <f t="shared" si="107"/>
        <v>907.53299842056879</v>
      </c>
      <c r="R123" s="59">
        <f t="shared" si="55"/>
        <v>1200.8663317539022</v>
      </c>
      <c r="S123" s="59">
        <f ca="1">AVERAGE(OFFSET($R$3,0,0,'Données projet'!$E$9+1,1))-AVERAGE(OFFSET($H$3,0,0,'Données projet'!$E$9+1,1))</f>
        <v>561.16051468364344</v>
      </c>
      <c r="T123" s="59">
        <f t="shared" si="88"/>
        <v>137.34523913145267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109.98864886242687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109.98864886242687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378.66965760000005</v>
      </c>
      <c r="AK123" s="13">
        <f t="shared" si="89"/>
        <v>87.438570486366189</v>
      </c>
      <c r="AL123" s="20">
        <f t="shared" si="58"/>
        <v>811.80516391708795</v>
      </c>
      <c r="AM123" s="59">
        <f t="shared" si="59"/>
        <v>1105.1384972504213</v>
      </c>
      <c r="AN123" s="59">
        <f ca="1">AVERAGE(OFFSET($AM$3,0,0,'Données projet'!$E$10+1,1))-AVERAGE(OFFSET($H$3,0,0,'Données projet'!$E$10+1,1))</f>
        <v>491.82493848755047</v>
      </c>
      <c r="AO123" s="59">
        <f t="shared" si="90"/>
        <v>119.46953275458026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98.14371744647319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98.14371744647319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212.00000000000009</v>
      </c>
      <c r="BE123" s="13">
        <f>BD123*VLOOKUP('Données projet'!$B$11,Paramètres!$A$1:$I$89,3,0)*VLOOKUP('Données projet'!$B$11,Paramètres!$A$1:$I$89,5,0)</f>
        <v>185.20320000000009</v>
      </c>
      <c r="BF123" s="13">
        <f t="shared" si="91"/>
        <v>46.477875402099386</v>
      </c>
      <c r="BG123" s="20">
        <f t="shared" si="61"/>
        <v>403.5112063253232</v>
      </c>
      <c r="BH123" s="59">
        <f t="shared" si="62"/>
        <v>696.84453965865646</v>
      </c>
      <c r="BI123" s="59">
        <f ca="1">AVERAGE(OFFSET($BH$3,0,0,'Données projet'!$E$11+1,1))-AVERAGE(OFFSET($H$3,0,0,'Données projet'!$E$11+1,1))</f>
        <v>216.10252108537389</v>
      </c>
      <c r="BJ123" s="59">
        <f t="shared" si="92"/>
        <v>196.91968622092054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29.47003836250018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0</v>
      </c>
      <c r="BS123" s="22">
        <f t="shared" si="63"/>
        <v>29.47003836250018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>
        <f>BY123*VLOOKUP('Données projet'!$B$12,Paramètres!$A$1:$I$89,3,0)*VLOOKUP('Données projet'!$B$12,Paramètres!$A$1:$I$89,5,0)</f>
        <v>0</v>
      </c>
      <c r="CA123" s="13" t="e">
        <f t="shared" si="93"/>
        <v>#NUM!</v>
      </c>
      <c r="CB123" s="20" t="e">
        <f t="shared" si="64"/>
        <v>#NUM!</v>
      </c>
      <c r="CC123" s="59" t="e">
        <f t="shared" si="65"/>
        <v>#NUM!</v>
      </c>
      <c r="CD123" s="59">
        <f ca="1">AVERAGE(OFFSET($CC$3,0,0,'Données projet'!$E$12+1,1))-AVERAGE(OFFSET($H$3,0,0,'Données projet'!$E$12+1,1))</f>
        <v>152.85416952858094</v>
      </c>
      <c r="CE123" s="59">
        <f t="shared" si="94"/>
        <v>369.87619681979322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20.778993504944253</v>
      </c>
      <c r="CL123" s="21">
        <f>EXP(-LN(2)/25)*CL122+(1-EXP(-LN(2)/25))/(LN(2)/25)*Calculateur!CG123*Calculateur!CI123*VLOOKUP('Données projet'!$B$12,Paramètres!$A$1:$I$89,3,0)*0.475*44/12</f>
        <v>1.1856858593861379</v>
      </c>
      <c r="CM123" s="21">
        <f>EXP(-LN(2)/2)*CM122+(1-EXP(-LN(2)/2))/(LN(2)/2)*CG123*CJ123*VLOOKUP('Données projet'!$B$12,Paramètres!$A$1:$I$89,3,0)*0.475*44/12</f>
        <v>1.277897070012696E-15</v>
      </c>
      <c r="CN123" s="22">
        <f t="shared" si="66"/>
        <v>21.96467936433039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56.628000000000185</v>
      </c>
      <c r="D124" s="11">
        <f t="shared" si="86"/>
        <v>16.312872953208569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563.05235262126064</v>
      </c>
      <c r="H124" s="66">
        <f t="shared" si="56"/>
        <v>420.37202039350524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8.3369999999999997</v>
      </c>
      <c r="N124" s="13">
        <f>IF('Données projet'!$A$36&gt;35,N123+M124-V123,IF(A124&lt;'Données projet'!$A$36,$K$205^A124,IF(A124='Données projet'!$A$36,'Données projet'!$B$36,N123+M124-V123)))</f>
        <v>426.8490000000001</v>
      </c>
      <c r="O124" s="13">
        <f>N124*VLOOKUP('Données projet'!$B$9,Paramètres!$A$1:$I$89,3,0)*VLOOKUP('Données projet'!$B$9,Paramètres!$A$1:$I$89,5,0)</f>
        <v>432.82488600000016</v>
      </c>
      <c r="P124" s="13">
        <f t="shared" si="87"/>
        <v>98.400554419502313</v>
      </c>
      <c r="Q124" s="20">
        <f t="shared" si="107"/>
        <v>925.21764206396665</v>
      </c>
      <c r="R124" s="59">
        <f t="shared" si="55"/>
        <v>1218.5509753972999</v>
      </c>
      <c r="S124" s="59">
        <f ca="1">AVERAGE(OFFSET($R$3,0,0,'Données projet'!$E$9+1,1))-AVERAGE(OFFSET($H$3,0,0,'Données projet'!$E$9+1,1))</f>
        <v>561.16051468364344</v>
      </c>
      <c r="T124" s="59">
        <f t="shared" si="88"/>
        <v>137.34523913145267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107.83183854468625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107.83183854468625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386.21297520000007</v>
      </c>
      <c r="AK124" s="13">
        <f t="shared" si="89"/>
        <v>88.975877247077207</v>
      </c>
      <c r="AL124" s="20">
        <f t="shared" si="58"/>
        <v>827.62058467865961</v>
      </c>
      <c r="AM124" s="59">
        <f t="shared" si="59"/>
        <v>1120.953918011993</v>
      </c>
      <c r="AN124" s="59">
        <f ca="1">AVERAGE(OFFSET($AM$3,0,0,'Données projet'!$E$10+1,1))-AVERAGE(OFFSET($H$3,0,0,'Données projet'!$E$10+1,1))</f>
        <v>491.82493848755047</v>
      </c>
      <c r="AO124" s="59">
        <f t="shared" si="90"/>
        <v>119.46953275458026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96.219179009104636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96.219179009104636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212.00000000000009</v>
      </c>
      <c r="BE124" s="13">
        <f>BD124*VLOOKUP('Données projet'!$B$11,Paramètres!$A$1:$I$89,3,0)*VLOOKUP('Données projet'!$B$11,Paramètres!$A$1:$I$89,5,0)</f>
        <v>185.20320000000009</v>
      </c>
      <c r="BF124" s="13">
        <f t="shared" si="91"/>
        <v>46.477875402099386</v>
      </c>
      <c r="BG124" s="20">
        <f t="shared" si="61"/>
        <v>403.5112063253232</v>
      </c>
      <c r="BH124" s="59">
        <f t="shared" si="62"/>
        <v>696.84453965865646</v>
      </c>
      <c r="BI124" s="59">
        <f ca="1">AVERAGE(OFFSET($BH$3,0,0,'Données projet'!$E$11+1,1))-AVERAGE(OFFSET($H$3,0,0,'Données projet'!$E$11+1,1))</f>
        <v>216.10252108537389</v>
      </c>
      <c r="BJ124" s="59">
        <f t="shared" si="92"/>
        <v>196.91968622092054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28.892148885160072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0</v>
      </c>
      <c r="BS124" s="22">
        <f t="shared" si="63"/>
        <v>28.892148885160072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>
        <f>BY124*VLOOKUP('Données projet'!$B$12,Paramètres!$A$1:$I$89,3,0)*VLOOKUP('Données projet'!$B$12,Paramètres!$A$1:$I$89,5,0)</f>
        <v>0</v>
      </c>
      <c r="CA124" s="13" t="e">
        <f t="shared" si="93"/>
        <v>#NUM!</v>
      </c>
      <c r="CB124" s="20" t="e">
        <f t="shared" si="64"/>
        <v>#NUM!</v>
      </c>
      <c r="CC124" s="59" t="e">
        <f t="shared" si="65"/>
        <v>#NUM!</v>
      </c>
      <c r="CD124" s="59">
        <f ca="1">AVERAGE(OFFSET($CC$3,0,0,'Données projet'!$E$12+1,1))-AVERAGE(OFFSET($H$3,0,0,'Données projet'!$E$12+1,1))</f>
        <v>152.85416952858094</v>
      </c>
      <c r="CE124" s="59">
        <f t="shared" si="94"/>
        <v>369.87619681979322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20.371530116246888</v>
      </c>
      <c r="CL124" s="21">
        <f>EXP(-LN(2)/25)*CL123+(1-EXP(-LN(2)/25))/(LN(2)/25)*Calculateur!CG124*Calculateur!CI124*VLOOKUP('Données projet'!$B$12,Paramètres!$A$1:$I$89,3,0)*0.475*44/12</f>
        <v>1.1532632172087145</v>
      </c>
      <c r="CM124" s="21">
        <f>EXP(-LN(2)/2)*CM123+(1-EXP(-LN(2)/2))/(LN(2)/2)*CG124*CJ124*VLOOKUP('Données projet'!$B$12,Paramètres!$A$1:$I$89,3,0)*0.475*44/12</f>
        <v>9.0360968386439761E-16</v>
      </c>
      <c r="CN124" s="22">
        <f t="shared" si="66"/>
        <v>21.524793333455602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57.096000000000188</v>
      </c>
      <c r="D125" s="11">
        <f t="shared" si="86"/>
        <v>16.431940248498069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567.58410016384607</v>
      </c>
      <c r="H125" s="66">
        <f t="shared" si="56"/>
        <v>421.39449593280108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8.3369999999999997</v>
      </c>
      <c r="N125" s="13">
        <f>IF('Données projet'!$A$36&gt;35,N124+M125-V124,IF(A125&lt;'Données projet'!$A$36,$K$205^A125,IF(A125='Données projet'!$A$36,'Données projet'!$B$36,N124+M125-V124)))</f>
        <v>435.18600000000009</v>
      </c>
      <c r="O125" s="13">
        <f>N125*VLOOKUP('Données projet'!$B$9,Paramètres!$A$1:$I$89,3,0)*VLOOKUP('Données projet'!$B$9,Paramètres!$A$1:$I$89,5,0)</f>
        <v>441.27860400000009</v>
      </c>
      <c r="P125" s="13">
        <f t="shared" si="87"/>
        <v>100.09683770849531</v>
      </c>
      <c r="Q125" s="20">
        <f t="shared" si="107"/>
        <v>942.89556097562934</v>
      </c>
      <c r="R125" s="59">
        <f t="shared" si="55"/>
        <v>1236.2288943089627</v>
      </c>
      <c r="S125" s="59">
        <f ca="1">AVERAGE(OFFSET($R$3,0,0,'Données projet'!$E$9+1,1))-AVERAGE(OFFSET($H$3,0,0,'Données projet'!$E$9+1,1))</f>
        <v>561.16051468364344</v>
      </c>
      <c r="T125" s="59">
        <f t="shared" si="88"/>
        <v>137.34523913145267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105.71732196175212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105.71732196175212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393.75629280000004</v>
      </c>
      <c r="AK125" s="13">
        <f t="shared" si="89"/>
        <v>90.509692727976613</v>
      </c>
      <c r="AL125" s="20">
        <f t="shared" si="58"/>
        <v>843.42992479455927</v>
      </c>
      <c r="AM125" s="59">
        <f t="shared" si="59"/>
        <v>1136.7632581278926</v>
      </c>
      <c r="AN125" s="59">
        <f ca="1">AVERAGE(OFFSET($AM$3,0,0,'Données projet'!$E$10+1,1))-AVERAGE(OFFSET($H$3,0,0,'Données projet'!$E$10+1,1))</f>
        <v>491.82493848755047</v>
      </c>
      <c r="AO125" s="59">
        <f t="shared" si="90"/>
        <v>119.46953275458026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94.332379596640337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94.332379596640337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212.00000000000009</v>
      </c>
      <c r="BE125" s="13">
        <f>BD125*VLOOKUP('Données projet'!$B$11,Paramètres!$A$1:$I$89,3,0)*VLOOKUP('Données projet'!$B$11,Paramètres!$A$1:$I$89,5,0)</f>
        <v>185.20320000000009</v>
      </c>
      <c r="BF125" s="13">
        <f t="shared" si="91"/>
        <v>46.477875402099386</v>
      </c>
      <c r="BG125" s="20">
        <f t="shared" si="61"/>
        <v>403.5112063253232</v>
      </c>
      <c r="BH125" s="59">
        <f t="shared" si="62"/>
        <v>696.84453965865646</v>
      </c>
      <c r="BI125" s="59">
        <f ca="1">AVERAGE(OFFSET($BH$3,0,0,'Données projet'!$E$11+1,1))-AVERAGE(OFFSET($H$3,0,0,'Données projet'!$E$11+1,1))</f>
        <v>216.10252108537389</v>
      </c>
      <c r="BJ125" s="59">
        <f t="shared" si="92"/>
        <v>196.91968622092054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28.32559146799283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0</v>
      </c>
      <c r="BS125" s="22">
        <f t="shared" si="63"/>
        <v>28.32559146799283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>
        <f>BY125*VLOOKUP('Données projet'!$B$12,Paramètres!$A$1:$I$89,3,0)*VLOOKUP('Données projet'!$B$12,Paramètres!$A$1:$I$89,5,0)</f>
        <v>0</v>
      </c>
      <c r="CA125" s="13" t="e">
        <f t="shared" si="93"/>
        <v>#NUM!</v>
      </c>
      <c r="CB125" s="20" t="e">
        <f t="shared" si="64"/>
        <v>#NUM!</v>
      </c>
      <c r="CC125" s="59" t="e">
        <f t="shared" si="65"/>
        <v>#NUM!</v>
      </c>
      <c r="CD125" s="59">
        <f ca="1">AVERAGE(OFFSET($CC$3,0,0,'Données projet'!$E$12+1,1))-AVERAGE(OFFSET($H$3,0,0,'Données projet'!$E$12+1,1))</f>
        <v>152.85416952858094</v>
      </c>
      <c r="CE125" s="59">
        <f t="shared" si="94"/>
        <v>369.87619681979322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19.972056836073751</v>
      </c>
      <c r="CL125" s="21">
        <f>EXP(-LN(2)/25)*CL124+(1-EXP(-LN(2)/25))/(LN(2)/25)*Calculateur!CG125*Calculateur!CI125*VLOOKUP('Données projet'!$B$12,Paramètres!$A$1:$I$89,3,0)*0.475*44/12</f>
        <v>1.1217271738866654</v>
      </c>
      <c r="CM125" s="21">
        <f>EXP(-LN(2)/2)*CM124+(1-EXP(-LN(2)/2))/(LN(2)/2)*CG125*CJ125*VLOOKUP('Données projet'!$B$12,Paramètres!$A$1:$I$89,3,0)*0.475*44/12</f>
        <v>6.3894853500634799E-16</v>
      </c>
      <c r="CN125" s="22">
        <f t="shared" si="66"/>
        <v>21.093784009960416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57.564000000000192</v>
      </c>
      <c r="D126" s="11">
        <f t="shared" si="86"/>
        <v>16.55089399470792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572.11497118722059</v>
      </c>
      <c r="H126" s="66">
        <f t="shared" si="56"/>
        <v>422.41677370744992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8.3369999999999997</v>
      </c>
      <c r="N126" s="13">
        <f>IF('Données projet'!$A$36&gt;35,N125+M126-V125,IF(A126&lt;'Données projet'!$A$36,$K$205^A126,IF(A126='Données projet'!$A$36,'Données projet'!$B$36,N125+M126-V125)))</f>
        <v>443.52300000000008</v>
      </c>
      <c r="O126" s="13">
        <f>N126*VLOOKUP('Données projet'!$B$9,Paramètres!$A$1:$I$89,3,0)*VLOOKUP('Données projet'!$B$9,Paramètres!$A$1:$I$89,5,0)</f>
        <v>449.73232200000018</v>
      </c>
      <c r="P126" s="13">
        <f t="shared" si="87"/>
        <v>101.7893424037276</v>
      </c>
      <c r="Q126" s="20">
        <f t="shared" si="107"/>
        <v>960.56689883649244</v>
      </c>
      <c r="R126" s="59">
        <f t="shared" si="55"/>
        <v>1253.9002321698258</v>
      </c>
      <c r="S126" s="59">
        <f ca="1">AVERAGE(OFFSET($R$3,0,0,'Données projet'!$E$9+1,1))-AVERAGE(OFFSET($H$3,0,0,'Données projet'!$E$9+1,1))</f>
        <v>561.16051468364344</v>
      </c>
      <c r="T126" s="59">
        <f t="shared" si="88"/>
        <v>137.34523913145267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103.64426975928157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103.64426975928157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401.29961040000006</v>
      </c>
      <c r="AK126" s="13">
        <f t="shared" si="89"/>
        <v>92.040091523913034</v>
      </c>
      <c r="AL126" s="20">
        <f t="shared" si="58"/>
        <v>859.23331418414864</v>
      </c>
      <c r="AM126" s="59">
        <f t="shared" si="59"/>
        <v>1152.5666475174819</v>
      </c>
      <c r="AN126" s="59">
        <f ca="1">AVERAGE(OFFSET($AM$3,0,0,'Données projet'!$E$10+1,1))-AVERAGE(OFFSET($H$3,0,0,'Données projet'!$E$10+1,1))</f>
        <v>491.82493848755047</v>
      </c>
      <c r="AO126" s="59">
        <f t="shared" si="90"/>
        <v>119.46953275458026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92.482579169820454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92.482579169820454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212.00000000000009</v>
      </c>
      <c r="BE126" s="13">
        <f>BD126*VLOOKUP('Données projet'!$B$11,Paramètres!$A$1:$I$89,3,0)*VLOOKUP('Données projet'!$B$11,Paramètres!$A$1:$I$89,5,0)</f>
        <v>185.20320000000009</v>
      </c>
      <c r="BF126" s="13">
        <f t="shared" si="91"/>
        <v>46.477875402099386</v>
      </c>
      <c r="BG126" s="20">
        <f t="shared" si="61"/>
        <v>403.5112063253232</v>
      </c>
      <c r="BH126" s="59">
        <f t="shared" si="62"/>
        <v>696.84453965865646</v>
      </c>
      <c r="BI126" s="59">
        <f ca="1">AVERAGE(OFFSET($BH$3,0,0,'Données projet'!$E$11+1,1))-AVERAGE(OFFSET($H$3,0,0,'Données projet'!$E$11+1,1))</f>
        <v>216.10252108537389</v>
      </c>
      <c r="BJ126" s="59">
        <f t="shared" si="92"/>
        <v>196.91968622092054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27.770143896210332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0</v>
      </c>
      <c r="BS126" s="22">
        <f t="shared" si="63"/>
        <v>27.770143896210332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>
        <f>BY126*VLOOKUP('Données projet'!$B$12,Paramètres!$A$1:$I$89,3,0)*VLOOKUP('Données projet'!$B$12,Paramètres!$A$1:$I$89,5,0)</f>
        <v>0</v>
      </c>
      <c r="CA126" s="13" t="e">
        <f t="shared" si="93"/>
        <v>#NUM!</v>
      </c>
      <c r="CB126" s="20" t="e">
        <f t="shared" si="64"/>
        <v>#NUM!</v>
      </c>
      <c r="CC126" s="59" t="e">
        <f t="shared" si="65"/>
        <v>#NUM!</v>
      </c>
      <c r="CD126" s="59">
        <f ca="1">AVERAGE(OFFSET($CC$3,0,0,'Données projet'!$E$12+1,1))-AVERAGE(OFFSET($H$3,0,0,'Données projet'!$E$12+1,1))</f>
        <v>152.85416952858094</v>
      </c>
      <c r="CE126" s="59">
        <f t="shared" si="94"/>
        <v>369.87619681979322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19.580416983270165</v>
      </c>
      <c r="CL126" s="21">
        <f>EXP(-LN(2)/25)*CL125+(1-EXP(-LN(2)/25))/(LN(2)/25)*Calculateur!CG126*Calculateur!CI126*VLOOKUP('Données projet'!$B$12,Paramètres!$A$1:$I$89,3,0)*0.475*44/12</f>
        <v>1.0910534853276663</v>
      </c>
      <c r="CM126" s="21">
        <f>EXP(-LN(2)/2)*CM125+(1-EXP(-LN(2)/2))/(LN(2)/2)*CG126*CJ126*VLOOKUP('Données projet'!$B$12,Paramètres!$A$1:$I$89,3,0)*0.475*44/12</f>
        <v>4.5180484193219881E-16</v>
      </c>
      <c r="CN126" s="22">
        <f t="shared" si="66"/>
        <v>20.671470468597832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58.032000000000195</v>
      </c>
      <c r="D127" s="11">
        <f t="shared" si="86"/>
        <v>16.669735221992848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576.64497364345516</v>
      </c>
      <c r="H127" s="66">
        <f t="shared" si="56"/>
        <v>423.43885551163788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>
        <f>VLOOKUP(A127,'Données projet'!$A$35:$I$55,2,0)</f>
        <v>451.86</v>
      </c>
      <c r="L127" s="12">
        <f>VLOOKUP(A127,'Données projet'!$A$35:$I$55,9,0)</f>
        <v>8.3369999999999997</v>
      </c>
      <c r="M127" s="12">
        <f t="array" ref="M127">INDEX(L:L,MIN(IF(ISNUMBER(L127:L323),ROW(L127:L323),"")))</f>
        <v>8.3369999999999997</v>
      </c>
      <c r="N127" s="13">
        <f>IF('Données projet'!$A$36&gt;35,N126+M127-V126,IF(A127&lt;'Données projet'!$A$36,$K$205^A127,IF(A127='Données projet'!$A$36,'Données projet'!$B$36,N126+M127-V126)))</f>
        <v>451.86000000000007</v>
      </c>
      <c r="O127" s="13">
        <f>N127*VLOOKUP('Données projet'!$B$9,Paramètres!$A$1:$I$89,3,0)*VLOOKUP('Données projet'!$B$9,Paramètres!$A$1:$I$89,5,0)</f>
        <v>458.18604000000011</v>
      </c>
      <c r="P127" s="13">
        <f t="shared" si="87"/>
        <v>103.47814772253717</v>
      </c>
      <c r="Q127" s="20">
        <f t="shared" si="107"/>
        <v>978.23179361675227</v>
      </c>
      <c r="R127" s="59">
        <f t="shared" si="55"/>
        <v>1271.5651269500856</v>
      </c>
      <c r="S127" s="59">
        <f ca="1">AVERAGE(OFFSET($R$3,0,0,'Données projet'!$E$9+1,1))-AVERAGE(OFFSET($H$3,0,0,'Données projet'!$E$9+1,1))</f>
        <v>561.16051468364344</v>
      </c>
      <c r="T127" s="59">
        <f t="shared" si="88"/>
        <v>137.34523913145267</v>
      </c>
      <c r="U127" s="15">
        <f>IF(ISNA(VLOOKUP(A127,'Données projet'!$A$35:$I$55,3,0)),0,VLOOKUP(A127,'Données projet'!$A$35:$I$55,3,0))</f>
        <v>10</v>
      </c>
      <c r="V127" s="15">
        <f>IF(ISNA(VLOOKUP(A127,'Données projet'!$A$35:$I$55,4,0)),0,VLOOKUP(A127,'Données projet'!$A$35:$I$55,4,0))</f>
        <v>52.53</v>
      </c>
      <c r="W127" s="16">
        <f>IF(ISNA(VLOOKUP(A127,'Données projet'!$A$35:$I$55,5,0)),0%,VLOOKUP(A127,'Données projet'!$A$35:$I$55,5,0)*VLOOKUP('Données projet'!$B$9,Paramètres!$A$1:$I$89,7,0))</f>
        <v>0.43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126.93170679331874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126.93170679331874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408.84292800000003</v>
      </c>
      <c r="AK127" s="13">
        <f t="shared" si="89"/>
        <v>93.567145264891124</v>
      </c>
      <c r="AL127" s="20">
        <f t="shared" si="58"/>
        <v>875.03087760301878</v>
      </c>
      <c r="AM127" s="59">
        <f t="shared" si="59"/>
        <v>1168.364210936352</v>
      </c>
      <c r="AN127" s="59">
        <f ca="1">AVERAGE(OFFSET($AM$3,0,0,'Données projet'!$E$10+1,1))-AVERAGE(OFFSET($H$3,0,0,'Données projet'!$E$10+1,1))</f>
        <v>491.82493848755047</v>
      </c>
      <c r="AO127" s="59">
        <f t="shared" si="90"/>
        <v>119.46953275458026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113.26213836942286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113.26213836942286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212.00000000000009</v>
      </c>
      <c r="BE127" s="13">
        <f>BD127*VLOOKUP('Données projet'!$B$11,Paramètres!$A$1:$I$89,3,0)*VLOOKUP('Données projet'!$B$11,Paramètres!$A$1:$I$89,5,0)</f>
        <v>185.20320000000009</v>
      </c>
      <c r="BF127" s="13">
        <f t="shared" si="91"/>
        <v>46.477875402099386</v>
      </c>
      <c r="BG127" s="20">
        <f t="shared" si="61"/>
        <v>403.5112063253232</v>
      </c>
      <c r="BH127" s="59">
        <f t="shared" si="62"/>
        <v>696.84453965865646</v>
      </c>
      <c r="BI127" s="59">
        <f ca="1">AVERAGE(OFFSET($BH$3,0,0,'Données projet'!$E$11+1,1))-AVERAGE(OFFSET($H$3,0,0,'Données projet'!$E$11+1,1))</f>
        <v>216.10252108537389</v>
      </c>
      <c r="BJ127" s="59">
        <f t="shared" si="92"/>
        <v>196.91968622092054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27.225588312520923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0</v>
      </c>
      <c r="BS127" s="22">
        <f t="shared" si="63"/>
        <v>27.225588312520923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>
        <f>BY127*VLOOKUP('Données projet'!$B$12,Paramètres!$A$1:$I$89,3,0)*VLOOKUP('Données projet'!$B$12,Paramètres!$A$1:$I$89,5,0)</f>
        <v>0</v>
      </c>
      <c r="CA127" s="13" t="e">
        <f t="shared" si="93"/>
        <v>#NUM!</v>
      </c>
      <c r="CB127" s="20" t="e">
        <f t="shared" si="64"/>
        <v>#NUM!</v>
      </c>
      <c r="CC127" s="59" t="e">
        <f t="shared" si="65"/>
        <v>#NUM!</v>
      </c>
      <c r="CD127" s="59">
        <f ca="1">AVERAGE(OFFSET($CC$3,0,0,'Données projet'!$E$12+1,1))-AVERAGE(OFFSET($H$3,0,0,'Données projet'!$E$12+1,1))</f>
        <v>152.85416952858094</v>
      </c>
      <c r="CE127" s="59">
        <f t="shared" si="94"/>
        <v>369.87619681979322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19.196456949103336</v>
      </c>
      <c r="CL127" s="21">
        <f>EXP(-LN(2)/25)*CL126+(1-EXP(-LN(2)/25))/(LN(2)/25)*Calculateur!CG127*Calculateur!CI127*VLOOKUP('Données projet'!$B$12,Paramètres!$A$1:$I$89,3,0)*0.475*44/12</f>
        <v>1.061218570395372</v>
      </c>
      <c r="CM127" s="21">
        <f>EXP(-LN(2)/2)*CM126+(1-EXP(-LN(2)/2))/(LN(2)/2)*CG127*CJ127*VLOOKUP('Données projet'!$B$12,Paramètres!$A$1:$I$89,3,0)*0.475*44/12</f>
        <v>3.1947426750317399E-16</v>
      </c>
      <c r="CN127" s="22">
        <f t="shared" si="66"/>
        <v>20.257675519498708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58.500000000000199</v>
      </c>
      <c r="D128" s="11">
        <f t="shared" si="86"/>
        <v>16.788464942932855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581.17411534895689</v>
      </c>
      <c r="H128" s="66">
        <f t="shared" si="56"/>
        <v>424.4607431089417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8.4949999999999939</v>
      </c>
      <c r="N128" s="13">
        <f>IF('Données projet'!$A$36&gt;35,N127+M128-V127,IF(A128&lt;'Données projet'!$A$36,$K$205^A128,IF(A128='Données projet'!$A$36,'Données projet'!$B$36,N127+M128-V127)))</f>
        <v>407.82500000000005</v>
      </c>
      <c r="O128" s="13">
        <f>N128*VLOOKUP('Données projet'!$B$9,Paramètres!$A$1:$I$89,3,0)*VLOOKUP('Données projet'!$B$9,Paramètres!$A$1:$I$89,5,0)</f>
        <v>413.53455000000014</v>
      </c>
      <c r="P128" s="13">
        <f t="shared" si="87"/>
        <v>94.515250828760969</v>
      </c>
      <c r="Q128" s="20">
        <f t="shared" si="107"/>
        <v>884.85340311009224</v>
      </c>
      <c r="R128" s="59">
        <f t="shared" si="55"/>
        <v>1178.1867364434256</v>
      </c>
      <c r="S128" s="59">
        <f ca="1">AVERAGE(OFFSET($R$3,0,0,'Données projet'!$E$9+1,1))-AVERAGE(OFFSET($H$3,0,0,'Données projet'!$E$9+1,1))</f>
        <v>561.16051468364344</v>
      </c>
      <c r="T128" s="59">
        <f t="shared" si="88"/>
        <v>137.34523913145267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124.44265344379825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124.44265344379825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369.00006000000002</v>
      </c>
      <c r="AK128" s="13">
        <f t="shared" si="89"/>
        <v>85.462702983001037</v>
      </c>
      <c r="AL128" s="20">
        <f t="shared" si="58"/>
        <v>791.52264552872691</v>
      </c>
      <c r="AM128" s="59">
        <f t="shared" si="59"/>
        <v>1084.8559788620603</v>
      </c>
      <c r="AN128" s="59">
        <f ca="1">AVERAGE(OFFSET($AM$3,0,0,'Données projet'!$E$10+1,1))-AVERAGE(OFFSET($H$3,0,0,'Données projet'!$E$10+1,1))</f>
        <v>491.82493848755047</v>
      </c>
      <c r="AO128" s="59">
        <f t="shared" si="90"/>
        <v>119.46953275458026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111.0411369190815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111.0411369190815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212.00000000000009</v>
      </c>
      <c r="BE128" s="13">
        <f>BD128*VLOOKUP('Données projet'!$B$11,Paramètres!$A$1:$I$89,3,0)*VLOOKUP('Données projet'!$B$11,Paramètres!$A$1:$I$89,5,0)</f>
        <v>185.20320000000009</v>
      </c>
      <c r="BF128" s="13">
        <f t="shared" si="91"/>
        <v>46.477875402099386</v>
      </c>
      <c r="BG128" s="20">
        <f t="shared" si="61"/>
        <v>403.5112063253232</v>
      </c>
      <c r="BH128" s="59">
        <f t="shared" si="62"/>
        <v>696.84453965865646</v>
      </c>
      <c r="BI128" s="59">
        <f ca="1">AVERAGE(OFFSET($BH$3,0,0,'Données projet'!$E$11+1,1))-AVERAGE(OFFSET($H$3,0,0,'Données projet'!$E$11+1,1))</f>
        <v>216.10252108537389</v>
      </c>
      <c r="BJ128" s="59">
        <f t="shared" si="92"/>
        <v>196.91968622092054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26.691711131681554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0</v>
      </c>
      <c r="BS128" s="22">
        <f t="shared" si="63"/>
        <v>26.691711131681554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>
        <f>BY128*VLOOKUP('Données projet'!$B$12,Paramètres!$A$1:$I$89,3,0)*VLOOKUP('Données projet'!$B$12,Paramètres!$A$1:$I$89,5,0)</f>
        <v>0</v>
      </c>
      <c r="CA128" s="13" t="e">
        <f t="shared" si="93"/>
        <v>#NUM!</v>
      </c>
      <c r="CB128" s="20" t="e">
        <f t="shared" si="64"/>
        <v>#NUM!</v>
      </c>
      <c r="CC128" s="59" t="e">
        <f t="shared" si="65"/>
        <v>#NUM!</v>
      </c>
      <c r="CD128" s="59">
        <f ca="1">AVERAGE(OFFSET($CC$3,0,0,'Données projet'!$E$12+1,1))-AVERAGE(OFFSET($H$3,0,0,'Données projet'!$E$12+1,1))</f>
        <v>152.85416952858094</v>
      </c>
      <c r="CE128" s="59">
        <f t="shared" si="94"/>
        <v>369.87619681979322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18.820026137014022</v>
      </c>
      <c r="CL128" s="21">
        <f>EXP(-LN(2)/25)*CL127+(1-EXP(-LN(2)/25))/(LN(2)/25)*Calculateur!CG128*Calculateur!CI128*VLOOKUP('Données projet'!$B$12,Paramètres!$A$1:$I$89,3,0)*0.475*44/12</f>
        <v>1.0321994927808513</v>
      </c>
      <c r="CM128" s="21">
        <f>EXP(-LN(2)/2)*CM127+(1-EXP(-LN(2)/2))/(LN(2)/2)*CG128*CJ128*VLOOKUP('Données projet'!$B$12,Paramètres!$A$1:$I$89,3,0)*0.475*44/12</f>
        <v>2.259024209660994E-16</v>
      </c>
      <c r="CN128" s="22">
        <f t="shared" si="66"/>
        <v>19.852225629794873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58.968000000000202</v>
      </c>
      <c r="D129" s="11">
        <f t="shared" si="86"/>
        <v>16.907084152971169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585.70240398784915</v>
      </c>
      <c r="H129" s="66">
        <f t="shared" si="56"/>
        <v>425.48243823309178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8.4949999999999939</v>
      </c>
      <c r="N129" s="13">
        <f>IF('Données projet'!$A$36&gt;35,N128+M129-V128,IF(A129&lt;'Données projet'!$A$36,$K$205^A129,IF(A129='Données projet'!$A$36,'Données projet'!$B$36,N128+M129-V128)))</f>
        <v>416.32000000000005</v>
      </c>
      <c r="O129" s="13">
        <f>N129*VLOOKUP('Données projet'!$B$9,Paramètres!$A$1:$I$89,3,0)*VLOOKUP('Données projet'!$B$9,Paramètres!$A$1:$I$89,5,0)</f>
        <v>422.14848000000012</v>
      </c>
      <c r="P129" s="13">
        <f t="shared" si="87"/>
        <v>96.252749018936356</v>
      </c>
      <c r="Q129" s="20">
        <f t="shared" si="107"/>
        <v>902.88214054131424</v>
      </c>
      <c r="R129" s="59">
        <f t="shared" si="55"/>
        <v>1196.2154738746476</v>
      </c>
      <c r="S129" s="59">
        <f ca="1">AVERAGE(OFFSET($R$3,0,0,'Données projet'!$E$9+1,1))-AVERAGE(OFFSET($H$3,0,0,'Données projet'!$E$9+1,1))</f>
        <v>561.16051468364344</v>
      </c>
      <c r="T129" s="59">
        <f t="shared" si="88"/>
        <v>137.34523913145267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122.00240891228921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122.00240891228921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376.68633600000004</v>
      </c>
      <c r="AK129" s="13">
        <f t="shared" si="89"/>
        <v>87.033785855430708</v>
      </c>
      <c r="AL129" s="20">
        <f t="shared" si="58"/>
        <v>807.64587889820859</v>
      </c>
      <c r="AM129" s="59">
        <f t="shared" si="59"/>
        <v>1100.9792122315419</v>
      </c>
      <c r="AN129" s="59">
        <f ca="1">AVERAGE(OFFSET($AM$3,0,0,'Données projet'!$E$10+1,1))-AVERAGE(OFFSET($H$3,0,0,'Données projet'!$E$10+1,1))</f>
        <v>491.82493848755047</v>
      </c>
      <c r="AO129" s="59">
        <f t="shared" si="90"/>
        <v>119.46953275458026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108.86368795250421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108.86368795250421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212.00000000000009</v>
      </c>
      <c r="BE129" s="13">
        <f>BD129*VLOOKUP('Données projet'!$B$11,Paramètres!$A$1:$I$89,3,0)*VLOOKUP('Données projet'!$B$11,Paramètres!$A$1:$I$89,5,0)</f>
        <v>185.20320000000009</v>
      </c>
      <c r="BF129" s="13">
        <f t="shared" si="91"/>
        <v>46.477875402099386</v>
      </c>
      <c r="BG129" s="20">
        <f t="shared" si="61"/>
        <v>403.5112063253232</v>
      </c>
      <c r="BH129" s="59">
        <f t="shared" si="62"/>
        <v>696.84453965865646</v>
      </c>
      <c r="BI129" s="59">
        <f ca="1">AVERAGE(OFFSET($BH$3,0,0,'Données projet'!$E$11+1,1))-AVERAGE(OFFSET($H$3,0,0,'Données projet'!$E$11+1,1))</f>
        <v>216.10252108537389</v>
      </c>
      <c r="BJ129" s="59">
        <f t="shared" si="92"/>
        <v>196.91968622092054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26.168302956725519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0</v>
      </c>
      <c r="BS129" s="22">
        <f t="shared" si="63"/>
        <v>26.168302956725519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>
        <f>BY129*VLOOKUP('Données projet'!$B$12,Paramètres!$A$1:$I$89,3,0)*VLOOKUP('Données projet'!$B$12,Paramètres!$A$1:$I$89,5,0)</f>
        <v>0</v>
      </c>
      <c r="CA129" s="13" t="e">
        <f t="shared" si="93"/>
        <v>#NUM!</v>
      </c>
      <c r="CB129" s="20" t="e">
        <f t="shared" si="64"/>
        <v>#NUM!</v>
      </c>
      <c r="CC129" s="59" t="e">
        <f t="shared" si="65"/>
        <v>#NUM!</v>
      </c>
      <c r="CD129" s="59">
        <f ca="1">AVERAGE(OFFSET($CC$3,0,0,'Données projet'!$E$12+1,1))-AVERAGE(OFFSET($H$3,0,0,'Données projet'!$E$12+1,1))</f>
        <v>152.85416952858094</v>
      </c>
      <c r="CE129" s="59">
        <f t="shared" si="94"/>
        <v>369.87619681979322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18.450976903549655</v>
      </c>
      <c r="CL129" s="21">
        <f>EXP(-LN(2)/25)*CL128+(1-EXP(-LN(2)/25))/(LN(2)/25)*Calculateur!CG129*Calculateur!CI129*VLOOKUP('Données projet'!$B$12,Paramètres!$A$1:$I$89,3,0)*0.475*44/12</f>
        <v>1.0039739433697468</v>
      </c>
      <c r="CM129" s="21">
        <f>EXP(-LN(2)/2)*CM128+(1-EXP(-LN(2)/2))/(LN(2)/2)*CG129*CJ129*VLOOKUP('Données projet'!$B$12,Paramètres!$A$1:$I$89,3,0)*0.475*44/12</f>
        <v>1.59737133751587E-16</v>
      </c>
      <c r="CN129" s="22">
        <f t="shared" si="66"/>
        <v>19.454950846919402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59.436000000000206</v>
      </c>
      <c r="D130" s="11">
        <f t="shared" si="86"/>
        <v>17.025593830837963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590.22984711524202</v>
      </c>
      <c r="H130" s="66">
        <f t="shared" si="56"/>
        <v>426.50394258870983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8.4949999999999939</v>
      </c>
      <c r="N130" s="13">
        <f>IF('Données projet'!$A$36&gt;35,N129+M130-V129,IF(A130&lt;'Données projet'!$A$36,$K$205^A130,IF(A130='Données projet'!$A$36,'Données projet'!$B$36,N129+M130-V129)))</f>
        <v>424.81500000000005</v>
      </c>
      <c r="O130" s="13">
        <f>N130*VLOOKUP('Données projet'!$B$9,Paramètres!$A$1:$I$89,3,0)*VLOOKUP('Données projet'!$B$9,Paramètres!$A$1:$I$89,5,0)</f>
        <v>430.7624100000001</v>
      </c>
      <c r="P130" s="13">
        <f t="shared" si="87"/>
        <v>97.986125003458554</v>
      </c>
      <c r="Q130" s="20">
        <f t="shared" si="107"/>
        <v>920.90369846435715</v>
      </c>
      <c r="R130" s="59">
        <f t="shared" si="55"/>
        <v>1214.2370317976904</v>
      </c>
      <c r="S130" s="59">
        <f ca="1">AVERAGE(OFFSET($R$3,0,0,'Données projet'!$E$9+1,1))-AVERAGE(OFFSET($H$3,0,0,'Données projet'!$E$9+1,1))</f>
        <v>561.16051468364344</v>
      </c>
      <c r="T130" s="59">
        <f t="shared" si="88"/>
        <v>137.34523913145267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119.61001608764087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119.61001608764087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384.37261200000006</v>
      </c>
      <c r="AK130" s="13">
        <f t="shared" si="89"/>
        <v>88.6011413417054</v>
      </c>
      <c r="AL130" s="20">
        <f t="shared" si="58"/>
        <v>823.76262040347035</v>
      </c>
      <c r="AM130" s="59">
        <f t="shared" si="59"/>
        <v>1117.0959537368037</v>
      </c>
      <c r="AN130" s="59">
        <f ca="1">AVERAGE(OFFSET($AM$3,0,0,'Données projet'!$E$10+1,1))-AVERAGE(OFFSET($H$3,0,0,'Données projet'!$E$10+1,1))</f>
        <v>491.82493848755047</v>
      </c>
      <c r="AO130" s="59">
        <f t="shared" si="90"/>
        <v>119.46953275458026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106.72893743204877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106.72893743204877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212.00000000000009</v>
      </c>
      <c r="BE130" s="13">
        <f>BD130*VLOOKUP('Données projet'!$B$11,Paramètres!$A$1:$I$89,3,0)*VLOOKUP('Données projet'!$B$11,Paramètres!$A$1:$I$89,5,0)</f>
        <v>185.20320000000009</v>
      </c>
      <c r="BF130" s="13">
        <f t="shared" si="91"/>
        <v>46.477875402099386</v>
      </c>
      <c r="BG130" s="20">
        <f t="shared" si="61"/>
        <v>403.5112063253232</v>
      </c>
      <c r="BH130" s="59">
        <f t="shared" si="62"/>
        <v>696.84453965865646</v>
      </c>
      <c r="BI130" s="59">
        <f ca="1">AVERAGE(OFFSET($BH$3,0,0,'Données projet'!$E$11+1,1))-AVERAGE(OFFSET($H$3,0,0,'Données projet'!$E$11+1,1))</f>
        <v>216.10252108537389</v>
      </c>
      <c r="BJ130" s="59">
        <f t="shared" si="92"/>
        <v>196.91968622092054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25.655158496832907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0</v>
      </c>
      <c r="BS130" s="22">
        <f t="shared" si="63"/>
        <v>25.655158496832907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>
        <f>BY130*VLOOKUP('Données projet'!$B$12,Paramètres!$A$1:$I$89,3,0)*VLOOKUP('Données projet'!$B$12,Paramètres!$A$1:$I$89,5,0)</f>
        <v>0</v>
      </c>
      <c r="CA130" s="13" t="e">
        <f t="shared" si="93"/>
        <v>#NUM!</v>
      </c>
      <c r="CB130" s="20" t="e">
        <f t="shared" si="64"/>
        <v>#NUM!</v>
      </c>
      <c r="CC130" s="59" t="e">
        <f t="shared" si="65"/>
        <v>#NUM!</v>
      </c>
      <c r="CD130" s="59">
        <f ca="1">AVERAGE(OFFSET($CC$3,0,0,'Données projet'!$E$12+1,1))-AVERAGE(OFFSET($H$3,0,0,'Données projet'!$E$12+1,1))</f>
        <v>152.85416952858094</v>
      </c>
      <c r="CE130" s="59">
        <f t="shared" si="94"/>
        <v>369.87619681979322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18.08916450045572</v>
      </c>
      <c r="CL130" s="21">
        <f>EXP(-LN(2)/25)*CL129+(1-EXP(-LN(2)/25))/(LN(2)/25)*Calculateur!CG130*Calculateur!CI130*VLOOKUP('Données projet'!$B$12,Paramètres!$A$1:$I$89,3,0)*0.475*44/12</f>
        <v>0.97652022309160602</v>
      </c>
      <c r="CM130" s="21">
        <f>EXP(-LN(2)/2)*CM129+(1-EXP(-LN(2)/2))/(LN(2)/2)*CG130*CJ130*VLOOKUP('Données projet'!$B$12,Paramètres!$A$1:$I$89,3,0)*0.475*44/12</f>
        <v>1.129512104830497E-16</v>
      </c>
      <c r="CN130" s="22">
        <f t="shared" si="66"/>
        <v>19.065684723547324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59.90400000000021</v>
      </c>
      <c r="D131" s="11">
        <f t="shared" si="86"/>
        <v>17.143994938960237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594.75645216039641</v>
      </c>
      <c r="H131" s="66">
        <f t="shared" si="56"/>
        <v>427.52525785202272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8.4949999999999939</v>
      </c>
      <c r="N131" s="13">
        <f>IF('Données projet'!$A$36&gt;35,N130+M131-V130,IF(A131&lt;'Données projet'!$A$36,$K$205^A131,IF(A131='Données projet'!$A$36,'Données projet'!$B$36,N130+M131-V130)))</f>
        <v>433.31000000000006</v>
      </c>
      <c r="O131" s="13">
        <f>N131*VLOOKUP('Données projet'!$B$9,Paramètres!$A$1:$I$89,3,0)*VLOOKUP('Données projet'!$B$9,Paramètres!$A$1:$I$89,5,0)</f>
        <v>439.37634000000008</v>
      </c>
      <c r="P131" s="13">
        <f t="shared" si="87"/>
        <v>99.71547071419873</v>
      </c>
      <c r="Q131" s="20">
        <f t="shared" ref="Q131:Q153" si="108">(O131+P131)*0.475*44/12</f>
        <v>938.91823699389624</v>
      </c>
      <c r="R131" s="59">
        <f t="shared" ref="R131:R194" si="109">Q131+(I131+J131)*44/12</f>
        <v>1232.2515703272295</v>
      </c>
      <c r="S131" s="59">
        <f ca="1">AVERAGE(OFFSET($R$3,0,0,'Données projet'!$E$9+1,1))-AVERAGE(OFFSET($H$3,0,0,'Données projet'!$E$9+1,1))</f>
        <v>561.16051468364344</v>
      </c>
      <c r="T131" s="59">
        <f t="shared" si="88"/>
        <v>137.34523913145267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117.26453662706835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117.26453662706835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392.05888800000002</v>
      </c>
      <c r="AK131" s="13">
        <f t="shared" si="89"/>
        <v>90.164852568581111</v>
      </c>
      <c r="AL131" s="20">
        <f t="shared" si="58"/>
        <v>839.87301482361215</v>
      </c>
      <c r="AM131" s="59">
        <f t="shared" si="59"/>
        <v>1133.2063481569455</v>
      </c>
      <c r="AN131" s="59">
        <f ca="1">AVERAGE(OFFSET($AM$3,0,0,'Données projet'!$E$10+1,1))-AVERAGE(OFFSET($H$3,0,0,'Données projet'!$E$10+1,1))</f>
        <v>491.82493848755047</v>
      </c>
      <c r="AO131" s="59">
        <f t="shared" si="90"/>
        <v>119.46953275458026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104.63604806723021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104.63604806723021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212.00000000000009</v>
      </c>
      <c r="BE131" s="13">
        <f>BD131*VLOOKUP('Données projet'!$B$11,Paramètres!$A$1:$I$89,3,0)*VLOOKUP('Données projet'!$B$11,Paramètres!$A$1:$I$89,5,0)</f>
        <v>185.20320000000009</v>
      </c>
      <c r="BF131" s="13">
        <f t="shared" si="91"/>
        <v>46.477875402099386</v>
      </c>
      <c r="BG131" s="20">
        <f t="shared" si="61"/>
        <v>403.5112063253232</v>
      </c>
      <c r="BH131" s="59">
        <f t="shared" si="62"/>
        <v>696.84453965865646</v>
      </c>
      <c r="BI131" s="59">
        <f ca="1">AVERAGE(OFFSET($BH$3,0,0,'Données projet'!$E$11+1,1))-AVERAGE(OFFSET($H$3,0,0,'Données projet'!$E$11+1,1))</f>
        <v>216.10252108537389</v>
      </c>
      <c r="BJ131" s="59">
        <f t="shared" si="92"/>
        <v>196.91968622092054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25.152076486811577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0</v>
      </c>
      <c r="BS131" s="22">
        <f t="shared" si="63"/>
        <v>25.152076486811577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>
        <f>BY131*VLOOKUP('Données projet'!$B$12,Paramètres!$A$1:$I$89,3,0)*VLOOKUP('Données projet'!$B$12,Paramètres!$A$1:$I$89,5,0)</f>
        <v>0</v>
      </c>
      <c r="CA131" s="13" t="e">
        <f t="shared" si="93"/>
        <v>#NUM!</v>
      </c>
      <c r="CB131" s="20" t="e">
        <f t="shared" si="64"/>
        <v>#NUM!</v>
      </c>
      <c r="CC131" s="59" t="e">
        <f t="shared" si="65"/>
        <v>#NUM!</v>
      </c>
      <c r="CD131" s="59">
        <f ca="1">AVERAGE(OFFSET($CC$3,0,0,'Données projet'!$E$12+1,1))-AVERAGE(OFFSET($H$3,0,0,'Données projet'!$E$12+1,1))</f>
        <v>152.85416952858094</v>
      </c>
      <c r="CE131" s="59">
        <f t="shared" si="94"/>
        <v>369.87619681979322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17.734447017902681</v>
      </c>
      <c r="CL131" s="21">
        <f>EXP(-LN(2)/25)*CL130+(1-EXP(-LN(2)/25))/(LN(2)/25)*Calculateur!CG131*Calculateur!CI131*VLOOKUP('Données projet'!$B$12,Paramètres!$A$1:$I$89,3,0)*0.475*44/12</f>
        <v>0.94981722623819942</v>
      </c>
      <c r="CM131" s="21">
        <f>EXP(-LN(2)/2)*CM130+(1-EXP(-LN(2)/2))/(LN(2)/2)*CG131*CJ131*VLOOKUP('Données projet'!$B$12,Paramètres!$A$1:$I$89,3,0)*0.475*44/12</f>
        <v>7.9868566875793499E-17</v>
      </c>
      <c r="CN131" s="22">
        <f t="shared" si="66"/>
        <v>18.684264244140881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60.372000000000213</v>
      </c>
      <c r="D132" s="11">
        <f t="shared" si="86"/>
        <v>17.262288423858621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599.28222642978756</v>
      </c>
      <c r="H132" s="66">
        <f t="shared" ref="H132:H195" si="110">(B132+E132+F132)*44/12+(C132+D132)*0.475*44/12</f>
        <v>428.54638567155416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8.4949999999999939</v>
      </c>
      <c r="N132" s="13">
        <f>IF('Données projet'!$A$36&gt;35,N131+M132-V131,IF(A132&lt;'Données projet'!$A$36,$K$205^A132,IF(A132='Données projet'!$A$36,'Données projet'!$B$36,N131+M132-V131)))</f>
        <v>441.80500000000006</v>
      </c>
      <c r="O132" s="13">
        <f>N132*VLOOKUP('Données projet'!$B$9,Paramètres!$A$1:$I$89,3,0)*VLOOKUP('Données projet'!$B$9,Paramètres!$A$1:$I$89,5,0)</f>
        <v>447.99027000000012</v>
      </c>
      <c r="P132" s="13">
        <f t="shared" si="87"/>
        <v>101.44087427222479</v>
      </c>
      <c r="Q132" s="20">
        <f t="shared" si="108"/>
        <v>956.92590960745827</v>
      </c>
      <c r="R132" s="59">
        <f t="shared" si="109"/>
        <v>1250.2592429407916</v>
      </c>
      <c r="S132" s="59">
        <f ca="1">AVERAGE(OFFSET($R$3,0,0,'Données projet'!$E$9+1,1))-AVERAGE(OFFSET($H$3,0,0,'Données projet'!$E$9+1,1))</f>
        <v>561.16051468364344</v>
      </c>
      <c r="T132" s="59">
        <f t="shared" si="88"/>
        <v>137.34523913145267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114.96505058811644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114.96505058811644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399.7451640000001</v>
      </c>
      <c r="AK132" s="13">
        <f t="shared" si="89"/>
        <v>91.724999217004651</v>
      </c>
      <c r="AL132" s="20">
        <f t="shared" ref="AL132:AL153" si="112">(AJ132+AK132)*0.475*44/12</f>
        <v>855.97720093628323</v>
      </c>
      <c r="AM132" s="59">
        <f t="shared" ref="AM132:AM195" si="113">AL132+(AD132+AE132)*44/12</f>
        <v>1149.3105342696165</v>
      </c>
      <c r="AN132" s="59">
        <f ca="1">AVERAGE(OFFSET($AM$3,0,0,'Données projet'!$E$10+1,1))-AVERAGE(OFFSET($H$3,0,0,'Données projet'!$E$10+1,1))</f>
        <v>491.82493848755047</v>
      </c>
      <c r="AO132" s="59">
        <f t="shared" si="90"/>
        <v>119.46953275458026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102.58419898631928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102.58419898631928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212.00000000000009</v>
      </c>
      <c r="BE132" s="13">
        <f>BD132*VLOOKUP('Données projet'!$B$11,Paramètres!$A$1:$I$89,3,0)*VLOOKUP('Données projet'!$B$11,Paramètres!$A$1:$I$89,5,0)</f>
        <v>185.20320000000009</v>
      </c>
      <c r="BF132" s="13">
        <f t="shared" si="91"/>
        <v>46.477875402099386</v>
      </c>
      <c r="BG132" s="20">
        <f t="shared" ref="BG132:BG153" si="115">(BE132+BF132)*0.475*44/12</f>
        <v>403.5112063253232</v>
      </c>
      <c r="BH132" s="59">
        <f t="shared" ref="BH132:BH195" si="116">BG132+(AY132+AZ132)*44/12</f>
        <v>696.84453965865646</v>
      </c>
      <c r="BI132" s="59">
        <f ca="1">AVERAGE(OFFSET($BH$3,0,0,'Données projet'!$E$11+1,1))-AVERAGE(OFFSET($H$3,0,0,'Données projet'!$E$11+1,1))</f>
        <v>216.10252108537389</v>
      </c>
      <c r="BJ132" s="59">
        <f t="shared" si="92"/>
        <v>196.91968622092054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24.658859608157037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0</v>
      </c>
      <c r="BS132" s="22">
        <f t="shared" ref="BS132:BS153" si="117">SUM(BP132:BR132)</f>
        <v>24.658859608157037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>
        <f>BY132*VLOOKUP('Données projet'!$B$12,Paramètres!$A$1:$I$89,3,0)*VLOOKUP('Données projet'!$B$12,Paramètres!$A$1:$I$89,5,0)</f>
        <v>0</v>
      </c>
      <c r="CA132" s="13" t="e">
        <f t="shared" si="93"/>
        <v>#NUM!</v>
      </c>
      <c r="CB132" s="20" t="e">
        <f t="shared" ref="CB132:CB153" si="118">(BZ132+CA132)*0.475*44/12</f>
        <v>#NUM!</v>
      </c>
      <c r="CC132" s="59" t="e">
        <f t="shared" ref="CC132:CC195" si="119">CB132+(BT132+BU132)*44/12</f>
        <v>#NUM!</v>
      </c>
      <c r="CD132" s="59">
        <f ca="1">AVERAGE(OFFSET($CC$3,0,0,'Données projet'!$E$12+1,1))-AVERAGE(OFFSET($H$3,0,0,'Données projet'!$E$12+1,1))</f>
        <v>152.85416952858094</v>
      </c>
      <c r="CE132" s="59">
        <f t="shared" si="94"/>
        <v>369.87619681979322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17.386685328826207</v>
      </c>
      <c r="CL132" s="21">
        <f>EXP(-LN(2)/25)*CL131+(1-EXP(-LN(2)/25))/(LN(2)/25)*Calculateur!CG132*Calculateur!CI132*VLOOKUP('Données projet'!$B$12,Paramètres!$A$1:$I$89,3,0)*0.475*44/12</f>
        <v>0.92384442423799873</v>
      </c>
      <c r="CM132" s="21">
        <f>EXP(-LN(2)/2)*CM131+(1-EXP(-LN(2)/2))/(LN(2)/2)*CG132*CJ132*VLOOKUP('Données projet'!$B$12,Paramètres!$A$1:$I$89,3,0)*0.475*44/12</f>
        <v>5.6475605241524851E-17</v>
      </c>
      <c r="CN132" s="22">
        <f t="shared" ref="CN132:CN153" si="120">SUM(CK132:CM132)</f>
        <v>18.310529753064205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60.840000000000217</v>
      </c>
      <c r="D133" s="11">
        <f t="shared" ref="D133:D196" si="140">IFERROR(EXP(-1.0587+0.8836*LN(C133)+0.284),0)</f>
        <v>17.380475216531508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603.80717711006946</v>
      </c>
      <c r="H133" s="66">
        <f t="shared" si="110"/>
        <v>429.5673276687927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8.4949999999999939</v>
      </c>
      <c r="N133" s="13">
        <f>IF('Données projet'!$A$36&gt;35,N132+M133-V132,IF(A133&lt;'Données projet'!$A$36,$K$205^A133,IF(A133='Données projet'!$A$36,'Données projet'!$B$36,N132+M133-V132)))</f>
        <v>450.30000000000007</v>
      </c>
      <c r="O133" s="13">
        <f>N133*VLOOKUP('Données projet'!$B$9,Paramètres!$A$1:$I$89,3,0)*VLOOKUP('Données projet'!$B$9,Paramètres!$A$1:$I$89,5,0)</f>
        <v>456.60420000000011</v>
      </c>
      <c r="P133" s="13">
        <f t="shared" ref="P133:P196" si="141">EXP(-1.0587+0.8836*LN(O133)+0.284)</f>
        <v>103.16242021595343</v>
      </c>
      <c r="Q133" s="20">
        <f t="shared" si="108"/>
        <v>974.92686354278567</v>
      </c>
      <c r="R133" s="59">
        <f t="shared" si="109"/>
        <v>1268.2601968761189</v>
      </c>
      <c r="S133" s="59">
        <f ca="1">AVERAGE(OFFSET($R$3,0,0,'Données projet'!$E$9+1,1))-AVERAGE(OFFSET($H$3,0,0,'Données projet'!$E$9+1,1))</f>
        <v>561.16051468364344</v>
      </c>
      <c r="T133" s="59">
        <f t="shared" ref="T133:T196" si="142">$T$3</f>
        <v>137.34523913145267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112.71065606784039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112.71065606784039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407.43144000000007</v>
      </c>
      <c r="AK133" s="13">
        <f t="shared" ref="AK133:AK153" si="143">EXP(-1.0587+0.8836*LN(AJ133)+0.284)</f>
        <v>93.281657728412767</v>
      </c>
      <c r="AL133" s="20">
        <f t="shared" si="112"/>
        <v>872.07531187698567</v>
      </c>
      <c r="AM133" s="59">
        <f t="shared" si="113"/>
        <v>1165.408645210319</v>
      </c>
      <c r="AN133" s="59">
        <f ca="1">AVERAGE(OFFSET($AM$3,0,0,'Données projet'!$E$10+1,1))-AVERAGE(OFFSET($H$3,0,0,'Données projet'!$E$10+1,1))</f>
        <v>491.82493848755047</v>
      </c>
      <c r="AO133" s="59">
        <f t="shared" ref="AO133:AO196" si="144">$AO$3</f>
        <v>119.46953275458026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100.57258541438065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100.57258541438065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212.00000000000009</v>
      </c>
      <c r="BE133" s="13">
        <f>BD133*VLOOKUP('Données projet'!$B$11,Paramètres!$A$1:$I$89,3,0)*VLOOKUP('Données projet'!$B$11,Paramètres!$A$1:$I$89,5,0)</f>
        <v>185.20320000000009</v>
      </c>
      <c r="BF133" s="13">
        <f t="shared" ref="BF133:BF153" si="145">EXP(-1.0587+0.8836*LN(BE133)+0.284)</f>
        <v>46.477875402099386</v>
      </c>
      <c r="BG133" s="20">
        <f t="shared" si="115"/>
        <v>403.5112063253232</v>
      </c>
      <c r="BH133" s="59">
        <f t="shared" si="116"/>
        <v>696.84453965865646</v>
      </c>
      <c r="BI133" s="59">
        <f ca="1">AVERAGE(OFFSET($BH$3,0,0,'Données projet'!$E$11+1,1))-AVERAGE(OFFSET($H$3,0,0,'Données projet'!$E$11+1,1))</f>
        <v>216.10252108537389</v>
      </c>
      <c r="BJ133" s="59">
        <f t="shared" ref="BJ133:BJ196" si="146">$BJ$3</f>
        <v>196.91968622092054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24.17531441166032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0</v>
      </c>
      <c r="BS133" s="22">
        <f t="shared" si="117"/>
        <v>24.17531441166032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>
        <f>BY133*VLOOKUP('Données projet'!$B$12,Paramètres!$A$1:$I$89,3,0)*VLOOKUP('Données projet'!$B$12,Paramètres!$A$1:$I$89,5,0)</f>
        <v>0</v>
      </c>
      <c r="CA133" s="13" t="e">
        <f t="shared" ref="CA133:CA153" si="147">EXP(-1.0587+0.8836*LN(BZ133)+0.284)</f>
        <v>#NUM!</v>
      </c>
      <c r="CB133" s="20" t="e">
        <f t="shared" si="118"/>
        <v>#NUM!</v>
      </c>
      <c r="CC133" s="59" t="e">
        <f t="shared" si="119"/>
        <v>#NUM!</v>
      </c>
      <c r="CD133" s="59">
        <f ca="1">AVERAGE(OFFSET($CC$3,0,0,'Données projet'!$E$12+1,1))-AVERAGE(OFFSET($H$3,0,0,'Données projet'!$E$12+1,1))</f>
        <v>152.85416952858094</v>
      </c>
      <c r="CE133" s="59">
        <f t="shared" ref="CE133:CE196" si="148">$CE$3</f>
        <v>369.87619681979322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17.045743034358836</v>
      </c>
      <c r="CL133" s="21">
        <f>EXP(-LN(2)/25)*CL132+(1-EXP(-LN(2)/25))/(LN(2)/25)*Calculateur!CG133*Calculateur!CI133*VLOOKUP('Données projet'!$B$12,Paramètres!$A$1:$I$89,3,0)*0.475*44/12</f>
        <v>0.89858184987434386</v>
      </c>
      <c r="CM133" s="21">
        <f>EXP(-LN(2)/2)*CM132+(1-EXP(-LN(2)/2))/(LN(2)/2)*CG133*CJ133*VLOOKUP('Données projet'!$B$12,Paramètres!$A$1:$I$89,3,0)*0.475*44/12</f>
        <v>3.9934283437896749E-17</v>
      </c>
      <c r="CN133" s="22">
        <f t="shared" si="120"/>
        <v>17.944324884233179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61.30800000000022</v>
      </c>
      <c r="D134" s="11">
        <f t="shared" si="140"/>
        <v>17.498556232826935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608.33131127094646</v>
      </c>
      <c r="H134" s="66">
        <f t="shared" si="110"/>
        <v>430.58808543884061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8.4949999999999939</v>
      </c>
      <c r="N134" s="13">
        <f>IF('Données projet'!$A$36&gt;35,N133+M134-V133,IF(A134&lt;'Données projet'!$A$36,$K$205^A134,IF(A134='Données projet'!$A$36,'Données projet'!$B$36,N133+M134-V133)))</f>
        <v>458.79500000000007</v>
      </c>
      <c r="O134" s="13">
        <f>N134*VLOOKUP('Données projet'!$B$9,Paramètres!$A$1:$I$89,3,0)*VLOOKUP('Données projet'!$B$9,Paramètres!$A$1:$I$89,5,0)</f>
        <v>465.21813000000009</v>
      </c>
      <c r="P134" s="13">
        <f t="shared" si="141"/>
        <v>104.88018971159772</v>
      </c>
      <c r="Q134" s="20">
        <f t="shared" si="108"/>
        <v>992.92124016436617</v>
      </c>
      <c r="R134" s="59">
        <f t="shared" si="109"/>
        <v>1286.2545734976995</v>
      </c>
      <c r="S134" s="59">
        <f ca="1">AVERAGE(OFFSET($R$3,0,0,'Données projet'!$E$9+1,1))-AVERAGE(OFFSET($H$3,0,0,'Données projet'!$E$9+1,1))</f>
        <v>561.16051468364344</v>
      </c>
      <c r="T134" s="59">
        <f t="shared" si="142"/>
        <v>137.34523913145267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110.50046884906207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110.50046884906207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415.11771600000009</v>
      </c>
      <c r="AK134" s="13">
        <f t="shared" si="143"/>
        <v>94.834901495024482</v>
      </c>
      <c r="AL134" s="20">
        <f t="shared" si="112"/>
        <v>888.16747547050124</v>
      </c>
      <c r="AM134" s="59">
        <f t="shared" si="113"/>
        <v>1181.5008088038346</v>
      </c>
      <c r="AN134" s="59">
        <f ca="1">AVERAGE(OFFSET($AM$3,0,0,'Données projet'!$E$10+1,1))-AVERAGE(OFFSET($H$3,0,0,'Données projet'!$E$10+1,1))</f>
        <v>491.82493848755047</v>
      </c>
      <c r="AO134" s="59">
        <f t="shared" si="144"/>
        <v>119.46953275458026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98.600418357624619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98.600418357624619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212.00000000000009</v>
      </c>
      <c r="BE134" s="13">
        <f>BD134*VLOOKUP('Données projet'!$B$11,Paramètres!$A$1:$I$89,3,0)*VLOOKUP('Données projet'!$B$11,Paramètres!$A$1:$I$89,5,0)</f>
        <v>185.20320000000009</v>
      </c>
      <c r="BF134" s="13">
        <f t="shared" si="145"/>
        <v>46.477875402099386</v>
      </c>
      <c r="BG134" s="20">
        <f t="shared" si="115"/>
        <v>403.5112063253232</v>
      </c>
      <c r="BH134" s="59">
        <f t="shared" si="116"/>
        <v>696.84453965865646</v>
      </c>
      <c r="BI134" s="59">
        <f ca="1">AVERAGE(OFFSET($BH$3,0,0,'Données projet'!$E$11+1,1))-AVERAGE(OFFSET($H$3,0,0,'Données projet'!$E$11+1,1))</f>
        <v>216.10252108537389</v>
      </c>
      <c r="BJ134" s="59">
        <f t="shared" si="146"/>
        <v>196.91968622092054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23.701251241533456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0</v>
      </c>
      <c r="BS134" s="22">
        <f t="shared" si="117"/>
        <v>23.701251241533456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>
        <f>BY134*VLOOKUP('Données projet'!$B$12,Paramètres!$A$1:$I$89,3,0)*VLOOKUP('Données projet'!$B$12,Paramètres!$A$1:$I$89,5,0)</f>
        <v>0</v>
      </c>
      <c r="CA134" s="13" t="e">
        <f t="shared" si="147"/>
        <v>#NUM!</v>
      </c>
      <c r="CB134" s="20" t="e">
        <f t="shared" si="118"/>
        <v>#NUM!</v>
      </c>
      <c r="CC134" s="59" t="e">
        <f t="shared" si="119"/>
        <v>#NUM!</v>
      </c>
      <c r="CD134" s="59">
        <f ca="1">AVERAGE(OFFSET($CC$3,0,0,'Données projet'!$E$12+1,1))-AVERAGE(OFFSET($H$3,0,0,'Données projet'!$E$12+1,1))</f>
        <v>152.85416952858094</v>
      </c>
      <c r="CE134" s="59">
        <f t="shared" si="148"/>
        <v>369.87619681979322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16.711486410331702</v>
      </c>
      <c r="CL134" s="21">
        <f>EXP(-LN(2)/25)*CL133+(1-EXP(-LN(2)/25))/(LN(2)/25)*Calculateur!CG134*Calculateur!CI134*VLOOKUP('Données projet'!$B$12,Paramètres!$A$1:$I$89,3,0)*0.475*44/12</f>
        <v>0.87401008193516416</v>
      </c>
      <c r="CM134" s="21">
        <f>EXP(-LN(2)/2)*CM133+(1-EXP(-LN(2)/2))/(LN(2)/2)*CG134*CJ134*VLOOKUP('Données projet'!$B$12,Paramètres!$A$1:$I$89,3,0)*0.475*44/12</f>
        <v>2.8237802620762425E-17</v>
      </c>
      <c r="CN134" s="22">
        <f t="shared" si="120"/>
        <v>17.585496492266866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61.776000000000224</v>
      </c>
      <c r="D135" s="11">
        <f t="shared" si="140"/>
        <v>17.616532373802929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612.85463586795424</v>
      </c>
      <c r="H135" s="66">
        <f t="shared" si="110"/>
        <v>431.60866055104043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8.4949999999999939</v>
      </c>
      <c r="N135" s="13">
        <f>IF('Données projet'!$A$36&gt;35,N134+M135-V134,IF(A135&lt;'Données projet'!$A$36,$K$205^A135,IF(A135='Données projet'!$A$36,'Données projet'!$B$36,N134+M135-V134)))</f>
        <v>467.29000000000008</v>
      </c>
      <c r="O135" s="13">
        <f>N135*VLOOKUP('Données projet'!$B$9,Paramètres!$A$1:$I$89,3,0)*VLOOKUP('Données projet'!$B$9,Paramètres!$A$1:$I$89,5,0)</f>
        <v>473.83206000000007</v>
      </c>
      <c r="P135" s="13">
        <f t="shared" si="141"/>
        <v>106.59426074758882</v>
      </c>
      <c r="Q135" s="20">
        <f t="shared" si="108"/>
        <v>1010.9091753020506</v>
      </c>
      <c r="R135" s="59">
        <f t="shared" si="109"/>
        <v>1304.242508635384</v>
      </c>
      <c r="S135" s="59">
        <f ca="1">AVERAGE(OFFSET($R$3,0,0,'Données projet'!$E$9+1,1))-AVERAGE(OFFSET($H$3,0,0,'Données projet'!$E$9+1,1))</f>
        <v>561.16051468364344</v>
      </c>
      <c r="T135" s="59">
        <f t="shared" si="142"/>
        <v>137.34523913145267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108.33362205356291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108.33362205356291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422.80399200000005</v>
      </c>
      <c r="AK135" s="13">
        <f t="shared" si="143"/>
        <v>96.384801035640152</v>
      </c>
      <c r="AL135" s="20">
        <f t="shared" si="112"/>
        <v>904.25381453707325</v>
      </c>
      <c r="AM135" s="59">
        <f t="shared" si="113"/>
        <v>1197.5871478704066</v>
      </c>
      <c r="AN135" s="59">
        <f ca="1">AVERAGE(OFFSET($AM$3,0,0,'Données projet'!$E$10+1,1))-AVERAGE(OFFSET($H$3,0,0,'Données projet'!$E$10+1,1))</f>
        <v>491.82493848755047</v>
      </c>
      <c r="AO135" s="59">
        <f t="shared" si="144"/>
        <v>119.46953275458026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96.666924293948441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96.666924293948441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212.00000000000009</v>
      </c>
      <c r="BE135" s="13">
        <f>BD135*VLOOKUP('Données projet'!$B$11,Paramètres!$A$1:$I$89,3,0)*VLOOKUP('Données projet'!$B$11,Paramètres!$A$1:$I$89,5,0)</f>
        <v>185.20320000000009</v>
      </c>
      <c r="BF135" s="13">
        <f t="shared" si="145"/>
        <v>46.477875402099386</v>
      </c>
      <c r="BG135" s="20">
        <f t="shared" si="115"/>
        <v>403.5112063253232</v>
      </c>
      <c r="BH135" s="59">
        <f t="shared" si="116"/>
        <v>696.84453965865646</v>
      </c>
      <c r="BI135" s="59">
        <f ca="1">AVERAGE(OFFSET($BH$3,0,0,'Données projet'!$E$11+1,1))-AVERAGE(OFFSET($H$3,0,0,'Données projet'!$E$11+1,1))</f>
        <v>216.10252108537389</v>
      </c>
      <c r="BJ135" s="59">
        <f t="shared" si="146"/>
        <v>196.91968622092054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23.236484161022798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0</v>
      </c>
      <c r="BS135" s="22">
        <f t="shared" si="117"/>
        <v>23.236484161022798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>
        <f>BY135*VLOOKUP('Données projet'!$B$12,Paramètres!$A$1:$I$89,3,0)*VLOOKUP('Données projet'!$B$12,Paramètres!$A$1:$I$89,5,0)</f>
        <v>0</v>
      </c>
      <c r="CA135" s="13" t="e">
        <f t="shared" si="147"/>
        <v>#NUM!</v>
      </c>
      <c r="CB135" s="20" t="e">
        <f t="shared" si="118"/>
        <v>#NUM!</v>
      </c>
      <c r="CC135" s="59" t="e">
        <f t="shared" si="119"/>
        <v>#NUM!</v>
      </c>
      <c r="CD135" s="59">
        <f ca="1">AVERAGE(OFFSET($CC$3,0,0,'Données projet'!$E$12+1,1))-AVERAGE(OFFSET($H$3,0,0,'Données projet'!$E$12+1,1))</f>
        <v>152.85416952858094</v>
      </c>
      <c r="CE135" s="59">
        <f t="shared" si="148"/>
        <v>369.87619681979322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16.383784354825334</v>
      </c>
      <c r="CL135" s="21">
        <f>EXP(-LN(2)/25)*CL134+(1-EXP(-LN(2)/25))/(LN(2)/25)*Calculateur!CG135*Calculateur!CI135*VLOOKUP('Données projet'!$B$12,Paramètres!$A$1:$I$89,3,0)*0.475*44/12</f>
        <v>0.85011023028245447</v>
      </c>
      <c r="CM135" s="21">
        <f>EXP(-LN(2)/2)*CM134+(1-EXP(-LN(2)/2))/(LN(2)/2)*CG135*CJ135*VLOOKUP('Données projet'!$B$12,Paramètres!$A$1:$I$89,3,0)*0.475*44/12</f>
        <v>1.9967141718948375E-17</v>
      </c>
      <c r="CN135" s="22">
        <f t="shared" si="120"/>
        <v>17.233894585107787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62.244000000000227</v>
      </c>
      <c r="D136" s="11">
        <f t="shared" si="140"/>
        <v>17.734404526076489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617.37715774515357</v>
      </c>
      <c r="H136" s="66">
        <f t="shared" si="110"/>
        <v>432.6290545495836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8.4949999999999939</v>
      </c>
      <c r="N136" s="13">
        <f>IF('Données projet'!$A$36&gt;35,N135+M136-V135,IF(A136&lt;'Données projet'!$A$36,$K$205^A136,IF(A136='Données projet'!$A$36,'Données projet'!$B$36,N135+M136-V135)))</f>
        <v>475.78500000000008</v>
      </c>
      <c r="O136" s="13">
        <f>N136*VLOOKUP('Données projet'!$B$9,Paramètres!$A$1:$I$89,3,0)*VLOOKUP('Données projet'!$B$9,Paramètres!$A$1:$I$89,5,0)</f>
        <v>482.44599000000011</v>
      </c>
      <c r="P136" s="13">
        <f t="shared" si="141"/>
        <v>108.30470831445831</v>
      </c>
      <c r="Q136" s="20">
        <f t="shared" si="108"/>
        <v>1028.8907995643483</v>
      </c>
      <c r="R136" s="59">
        <f t="shared" si="109"/>
        <v>1322.2241328976816</v>
      </c>
      <c r="S136" s="59">
        <f ca="1">AVERAGE(OFFSET($R$3,0,0,'Données projet'!$E$9+1,1))-AVERAGE(OFFSET($H$3,0,0,'Données projet'!$E$9+1,1))</f>
        <v>561.16051468364344</v>
      </c>
      <c r="T136" s="59">
        <f t="shared" si="142"/>
        <v>137.34523913145267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106.20926580207743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106.20926580207743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430.49026800000007</v>
      </c>
      <c r="AK136" s="13">
        <f t="shared" si="143"/>
        <v>97.93142415829584</v>
      </c>
      <c r="AL136" s="20">
        <f t="shared" si="112"/>
        <v>920.33444717569864</v>
      </c>
      <c r="AM136" s="59">
        <f t="shared" si="113"/>
        <v>1213.6677805090319</v>
      </c>
      <c r="AN136" s="59">
        <f ca="1">AVERAGE(OFFSET($AM$3,0,0,'Données projet'!$E$10+1,1))-AVERAGE(OFFSET($H$3,0,0,'Données projet'!$E$10+1,1))</f>
        <v>491.82493848755047</v>
      </c>
      <c r="AO136" s="59">
        <f t="shared" si="144"/>
        <v>119.46953275458026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94.771344869546013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94.771344869546013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212.00000000000009</v>
      </c>
      <c r="BE136" s="13">
        <f>BD136*VLOOKUP('Données projet'!$B$11,Paramètres!$A$1:$I$89,3,0)*VLOOKUP('Données projet'!$B$11,Paramètres!$A$1:$I$89,5,0)</f>
        <v>185.20320000000009</v>
      </c>
      <c r="BF136" s="13">
        <f t="shared" si="145"/>
        <v>46.477875402099386</v>
      </c>
      <c r="BG136" s="20">
        <f t="shared" si="115"/>
        <v>403.5112063253232</v>
      </c>
      <c r="BH136" s="59">
        <f t="shared" si="116"/>
        <v>696.84453965865646</v>
      </c>
      <c r="BI136" s="59">
        <f ca="1">AVERAGE(OFFSET($BH$3,0,0,'Données projet'!$E$11+1,1))-AVERAGE(OFFSET($H$3,0,0,'Données projet'!$E$11+1,1))</f>
        <v>216.10252108537389</v>
      </c>
      <c r="BJ136" s="59">
        <f t="shared" si="146"/>
        <v>196.91968622092054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22.780830879481027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0</v>
      </c>
      <c r="BS136" s="22">
        <f t="shared" si="117"/>
        <v>22.780830879481027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>
        <f>BY136*VLOOKUP('Données projet'!$B$12,Paramètres!$A$1:$I$89,3,0)*VLOOKUP('Données projet'!$B$12,Paramètres!$A$1:$I$89,5,0)</f>
        <v>0</v>
      </c>
      <c r="CA136" s="13" t="e">
        <f t="shared" si="147"/>
        <v>#NUM!</v>
      </c>
      <c r="CB136" s="20" t="e">
        <f t="shared" si="118"/>
        <v>#NUM!</v>
      </c>
      <c r="CC136" s="59" t="e">
        <f t="shared" si="119"/>
        <v>#NUM!</v>
      </c>
      <c r="CD136" s="59">
        <f ca="1">AVERAGE(OFFSET($CC$3,0,0,'Données projet'!$E$12+1,1))-AVERAGE(OFFSET($H$3,0,0,'Données projet'!$E$12+1,1))</f>
        <v>152.85416952858094</v>
      </c>
      <c r="CE136" s="59">
        <f t="shared" si="148"/>
        <v>369.87619681979322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16.062508336748927</v>
      </c>
      <c r="CL136" s="21">
        <f>EXP(-LN(2)/25)*CL135+(1-EXP(-LN(2)/25))/(LN(2)/25)*Calculateur!CG136*Calculateur!CI136*VLOOKUP('Données projet'!$B$12,Paramètres!$A$1:$I$89,3,0)*0.475*44/12</f>
        <v>0.82686392133002673</v>
      </c>
      <c r="CM136" s="21">
        <f>EXP(-LN(2)/2)*CM135+(1-EXP(-LN(2)/2))/(LN(2)/2)*CG136*CJ136*VLOOKUP('Données projet'!$B$12,Paramètres!$A$1:$I$89,3,0)*0.475*44/12</f>
        <v>1.4118901310381213E-17</v>
      </c>
      <c r="CN136" s="22">
        <f t="shared" si="120"/>
        <v>16.889372258078954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62.712000000000231</v>
      </c>
      <c r="D137" s="11">
        <f t="shared" si="140"/>
        <v>17.852173562161887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621.89888363774276</v>
      </c>
      <c r="H137" s="66">
        <f t="shared" si="110"/>
        <v>433.649268954099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>
        <f>VLOOKUP(A137,'Données projet'!$A$35:$I$55,2,0)</f>
        <v>484.28</v>
      </c>
      <c r="L137" s="12">
        <f>VLOOKUP(A137,'Données projet'!$A$35:$I$55,9,0)</f>
        <v>8.4949999999999939</v>
      </c>
      <c r="M137" s="12">
        <f t="array" ref="M137">INDEX(L:L,MIN(IF(ISNUMBER(L137:L333),ROW(L137:L333),"")))</f>
        <v>8.4949999999999939</v>
      </c>
      <c r="N137" s="13">
        <f>IF('Données projet'!$A$36&gt;35,N136+M137-V136,IF(A137&lt;'Données projet'!$A$36,$K$205^A137,IF(A137='Données projet'!$A$36,'Données projet'!$B$36,N136+M137-V136)))</f>
        <v>484.28000000000009</v>
      </c>
      <c r="O137" s="13">
        <f>N137*VLOOKUP('Données projet'!$B$9,Paramètres!$A$1:$I$89,3,0)*VLOOKUP('Données projet'!$B$9,Paramètres!$A$1:$I$89,5,0)</f>
        <v>491.05992000000009</v>
      </c>
      <c r="P137" s="13">
        <f t="shared" si="141"/>
        <v>110.01160457151093</v>
      </c>
      <c r="Q137" s="20">
        <f t="shared" si="108"/>
        <v>1046.8662386287149</v>
      </c>
      <c r="R137" s="59">
        <f t="shared" si="109"/>
        <v>1340.1995719620481</v>
      </c>
      <c r="S137" s="59">
        <f ca="1">AVERAGE(OFFSET($R$3,0,0,'Données projet'!$E$9+1,1))-AVERAGE(OFFSET($H$3,0,0,'Données projet'!$E$9+1,1))</f>
        <v>561.16051468364344</v>
      </c>
      <c r="T137" s="59">
        <f t="shared" si="142"/>
        <v>137.34523913145267</v>
      </c>
      <c r="U137" s="15">
        <f>IF(ISNA(VLOOKUP(A137,'Données projet'!$A$35:$I$55,3,0)),0,VLOOKUP(A137,'Données projet'!$A$35:$I$55,3,0))</f>
        <v>11</v>
      </c>
      <c r="V137" s="15">
        <f>IF(ISNA(VLOOKUP(A137,'Données projet'!$A$35:$I$55,4,0)),0,VLOOKUP(A137,'Données projet'!$A$35:$I$55,4,0))</f>
        <v>54.95</v>
      </c>
      <c r="W137" s="16">
        <f>IF(ISNA(VLOOKUP(A137,'Données projet'!$A$35:$I$55,5,0)),0%,VLOOKUP(A137,'Données projet'!$A$35:$I$55,5,0)*VLOOKUP('Données projet'!$B$9,Paramètres!$A$1:$I$89,7,0))</f>
        <v>0.43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130.61286223982765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130.61286223982765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438.17654400000004</v>
      </c>
      <c r="AK137" s="13">
        <f t="shared" si="143"/>
        <v>99.474836110971893</v>
      </c>
      <c r="AL137" s="20">
        <f t="shared" si="112"/>
        <v>936.40948702660933</v>
      </c>
      <c r="AM137" s="59">
        <f t="shared" si="113"/>
        <v>1229.7428203599427</v>
      </c>
      <c r="AN137" s="59">
        <f ca="1">AVERAGE(OFFSET($AM$3,0,0,'Données projet'!$E$10+1,1))-AVERAGE(OFFSET($H$3,0,0,'Données projet'!$E$10+1,1))</f>
        <v>491.82493848755047</v>
      </c>
      <c r="AO137" s="59">
        <f t="shared" si="144"/>
        <v>119.46953275458026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116.54686169092314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116.54686169092314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212.00000000000009</v>
      </c>
      <c r="BE137" s="13">
        <f>BD137*VLOOKUP('Données projet'!$B$11,Paramètres!$A$1:$I$89,3,0)*VLOOKUP('Données projet'!$B$11,Paramètres!$A$1:$I$89,5,0)</f>
        <v>185.20320000000009</v>
      </c>
      <c r="BF137" s="13">
        <f t="shared" si="145"/>
        <v>46.477875402099386</v>
      </c>
      <c r="BG137" s="20">
        <f t="shared" si="115"/>
        <v>403.5112063253232</v>
      </c>
      <c r="BH137" s="59">
        <f t="shared" si="116"/>
        <v>696.84453965865646</v>
      </c>
      <c r="BI137" s="59">
        <f ca="1">AVERAGE(OFFSET($BH$3,0,0,'Données projet'!$E$11+1,1))-AVERAGE(OFFSET($H$3,0,0,'Données projet'!$E$11+1,1))</f>
        <v>216.10252108537389</v>
      </c>
      <c r="BJ137" s="59">
        <f t="shared" si="146"/>
        <v>196.91968622092054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22.334112680869229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0</v>
      </c>
      <c r="BS137" s="22">
        <f t="shared" si="117"/>
        <v>22.334112680869229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>
        <f>BY137*VLOOKUP('Données projet'!$B$12,Paramètres!$A$1:$I$89,3,0)*VLOOKUP('Données projet'!$B$12,Paramètres!$A$1:$I$89,5,0)</f>
        <v>0</v>
      </c>
      <c r="CA137" s="13" t="e">
        <f t="shared" si="147"/>
        <v>#NUM!</v>
      </c>
      <c r="CB137" s="20" t="e">
        <f t="shared" si="118"/>
        <v>#NUM!</v>
      </c>
      <c r="CC137" s="59" t="e">
        <f t="shared" si="119"/>
        <v>#NUM!</v>
      </c>
      <c r="CD137" s="59">
        <f ca="1">AVERAGE(OFFSET($CC$3,0,0,'Données projet'!$E$12+1,1))-AVERAGE(OFFSET($H$3,0,0,'Données projet'!$E$12+1,1))</f>
        <v>152.85416952858094</v>
      </c>
      <c r="CE137" s="59">
        <f t="shared" si="148"/>
        <v>369.87619681979322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15.747532345427976</v>
      </c>
      <c r="CL137" s="21">
        <f>EXP(-LN(2)/25)*CL136+(1-EXP(-LN(2)/25))/(LN(2)/25)*Calculateur!CG137*Calculateur!CI137*VLOOKUP('Données projet'!$B$12,Paramètres!$A$1:$I$89,3,0)*0.475*44/12</f>
        <v>0.80425328391837336</v>
      </c>
      <c r="CM137" s="21">
        <f>EXP(-LN(2)/2)*CM136+(1-EXP(-LN(2)/2))/(LN(2)/2)*CG137*CJ137*VLOOKUP('Données projet'!$B$12,Paramètres!$A$1:$I$89,3,0)*0.475*44/12</f>
        <v>9.9835708594741873E-18</v>
      </c>
      <c r="CN137" s="22">
        <f t="shared" si="120"/>
        <v>16.551785629346348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63.180000000000234</v>
      </c>
      <c r="D138" s="11">
        <f t="shared" si="140"/>
        <v>17.969840340798424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626.41982017458622</v>
      </c>
      <c r="H138" s="66">
        <f t="shared" si="110"/>
        <v>434.66930526022429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8.561000000000007</v>
      </c>
      <c r="N138" s="13">
        <f>IF('Données projet'!$A$36&gt;35,N137+M138-V137,IF(A138&lt;'Données projet'!$A$36,$K$205^A138,IF(A138='Données projet'!$A$36,'Données projet'!$B$36,N137+M138-V137)))</f>
        <v>437.89100000000013</v>
      </c>
      <c r="O138" s="13">
        <f>N138*VLOOKUP('Données projet'!$B$9,Paramètres!$A$1:$I$89,3,0)*VLOOKUP('Données projet'!$B$9,Paramètres!$A$1:$I$89,5,0)</f>
        <v>444.02147400000018</v>
      </c>
      <c r="P138" s="13">
        <f t="shared" si="141"/>
        <v>100.64639331620877</v>
      </c>
      <c r="Q138" s="20">
        <f t="shared" si="108"/>
        <v>948.62986890906393</v>
      </c>
      <c r="R138" s="59">
        <f t="shared" si="109"/>
        <v>1241.9632022423973</v>
      </c>
      <c r="S138" s="59">
        <f ca="1">AVERAGE(OFFSET($R$3,0,0,'Données projet'!$E$9+1,1))-AVERAGE(OFFSET($H$3,0,0,'Données projet'!$E$9+1,1))</f>
        <v>561.16051468364344</v>
      </c>
      <c r="T138" s="59">
        <f t="shared" si="142"/>
        <v>137.34523913145267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128.05162367728423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128.05162367728423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396.20377680000007</v>
      </c>
      <c r="AK138" s="13">
        <f t="shared" si="143"/>
        <v>91.006612614056621</v>
      </c>
      <c r="AL138" s="20">
        <f t="shared" si="112"/>
        <v>848.55809489614876</v>
      </c>
      <c r="AM138" s="59">
        <f t="shared" si="113"/>
        <v>1141.891428229482</v>
      </c>
      <c r="AN138" s="59">
        <f ca="1">AVERAGE(OFFSET($AM$3,0,0,'Données projet'!$E$10+1,1))-AVERAGE(OFFSET($H$3,0,0,'Données projet'!$E$10+1,1))</f>
        <v>491.82493848755047</v>
      </c>
      <c r="AO138" s="59">
        <f t="shared" si="144"/>
        <v>119.46953275458026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114.26144881973055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114.26144881973055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212.00000000000009</v>
      </c>
      <c r="BE138" s="13">
        <f>BD138*VLOOKUP('Données projet'!$B$11,Paramètres!$A$1:$I$89,3,0)*VLOOKUP('Données projet'!$B$11,Paramètres!$A$1:$I$89,5,0)</f>
        <v>185.20320000000009</v>
      </c>
      <c r="BF138" s="13">
        <f t="shared" si="145"/>
        <v>46.477875402099386</v>
      </c>
      <c r="BG138" s="20">
        <f t="shared" si="115"/>
        <v>403.5112063253232</v>
      </c>
      <c r="BH138" s="59">
        <f t="shared" si="116"/>
        <v>696.84453965865646</v>
      </c>
      <c r="BI138" s="59">
        <f ca="1">AVERAGE(OFFSET($BH$3,0,0,'Données projet'!$E$11+1,1))-AVERAGE(OFFSET($H$3,0,0,'Données projet'!$E$11+1,1))</f>
        <v>216.10252108537389</v>
      </c>
      <c r="BJ138" s="59">
        <f t="shared" si="146"/>
        <v>196.91968622092054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21.896154353661011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0</v>
      </c>
      <c r="BS138" s="22">
        <f t="shared" si="117"/>
        <v>21.896154353661011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>
        <f>BY138*VLOOKUP('Données projet'!$B$12,Paramètres!$A$1:$I$89,3,0)*VLOOKUP('Données projet'!$B$12,Paramètres!$A$1:$I$89,5,0)</f>
        <v>0</v>
      </c>
      <c r="CA138" s="13" t="e">
        <f t="shared" si="147"/>
        <v>#NUM!</v>
      </c>
      <c r="CB138" s="20" t="e">
        <f t="shared" si="118"/>
        <v>#NUM!</v>
      </c>
      <c r="CC138" s="59" t="e">
        <f t="shared" si="119"/>
        <v>#NUM!</v>
      </c>
      <c r="CD138" s="59">
        <f ca="1">AVERAGE(OFFSET($CC$3,0,0,'Données projet'!$E$12+1,1))-AVERAGE(OFFSET($H$3,0,0,'Données projet'!$E$12+1,1))</f>
        <v>152.85416952858094</v>
      </c>
      <c r="CE138" s="59">
        <f t="shared" si="148"/>
        <v>369.87619681979322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15.438732841180444</v>
      </c>
      <c r="CL138" s="21">
        <f>EXP(-LN(2)/25)*CL137+(1-EXP(-LN(2)/25))/(LN(2)/25)*Calculateur!CG138*Calculateur!CI138*VLOOKUP('Données projet'!$B$12,Paramètres!$A$1:$I$89,3,0)*0.475*44/12</f>
        <v>0.78226093557578336</v>
      </c>
      <c r="CM138" s="21">
        <f>EXP(-LN(2)/2)*CM137+(1-EXP(-LN(2)/2))/(LN(2)/2)*CG138*CJ138*VLOOKUP('Données projet'!$B$12,Paramètres!$A$1:$I$89,3,0)*0.475*44/12</f>
        <v>7.0594506551906064E-18</v>
      </c>
      <c r="CN138" s="22">
        <f t="shared" si="120"/>
        <v>16.220993776756227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63.648000000000238</v>
      </c>
      <c r="D139" s="11">
        <f t="shared" si="140"/>
        <v>18.087405707268417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630.93997388067032</v>
      </c>
      <c r="H139" s="66">
        <f t="shared" si="110"/>
        <v>435.68916494015957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8.561000000000007</v>
      </c>
      <c r="N139" s="13">
        <f>IF('Données projet'!$A$36&gt;35,N138+M139-V138,IF(A139&lt;'Données projet'!$A$36,$K$205^A139,IF(A139='Données projet'!$A$36,'Données projet'!$B$36,N138+M139-V138)))</f>
        <v>446.45200000000011</v>
      </c>
      <c r="O139" s="13">
        <f>N139*VLOOKUP('Données projet'!$B$9,Paramètres!$A$1:$I$89,3,0)*VLOOKUP('Données projet'!$B$9,Paramètres!$A$1:$I$89,5,0)</f>
        <v>452.70232800000014</v>
      </c>
      <c r="P139" s="13">
        <f t="shared" si="141"/>
        <v>102.3830802016391</v>
      </c>
      <c r="Q139" s="20">
        <f t="shared" si="108"/>
        <v>966.77375261785494</v>
      </c>
      <c r="R139" s="59">
        <f t="shared" si="109"/>
        <v>1260.1070859511883</v>
      </c>
      <c r="S139" s="59">
        <f ca="1">AVERAGE(OFFSET($R$3,0,0,'Données projet'!$E$9+1,1))-AVERAGE(OFFSET($H$3,0,0,'Données projet'!$E$9+1,1))</f>
        <v>561.16051468364344</v>
      </c>
      <c r="T139" s="59">
        <f t="shared" si="142"/>
        <v>137.34523913145267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125.54060944075101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125.54060944075101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403.94976960000008</v>
      </c>
      <c r="AK139" s="13">
        <f t="shared" si="143"/>
        <v>92.576961887454956</v>
      </c>
      <c r="AL139" s="20">
        <f t="shared" si="112"/>
        <v>864.78405734065075</v>
      </c>
      <c r="AM139" s="59">
        <f t="shared" si="113"/>
        <v>1158.1173906739841</v>
      </c>
      <c r="AN139" s="59">
        <f ca="1">AVERAGE(OFFSET($AM$3,0,0,'Données projet'!$E$10+1,1))-AVERAGE(OFFSET($H$3,0,0,'Données projet'!$E$10+1,1))</f>
        <v>491.82493848755047</v>
      </c>
      <c r="AO139" s="59">
        <f t="shared" si="144"/>
        <v>119.46953275458026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112.02085150097784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112.02085150097784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212.00000000000009</v>
      </c>
      <c r="BE139" s="13">
        <f>BD139*VLOOKUP('Données projet'!$B$11,Paramètres!$A$1:$I$89,3,0)*VLOOKUP('Données projet'!$B$11,Paramètres!$A$1:$I$89,5,0)</f>
        <v>185.20320000000009</v>
      </c>
      <c r="BF139" s="13">
        <f t="shared" si="145"/>
        <v>46.477875402099386</v>
      </c>
      <c r="BG139" s="20">
        <f t="shared" si="115"/>
        <v>403.5112063253232</v>
      </c>
      <c r="BH139" s="59">
        <f t="shared" si="116"/>
        <v>696.84453965865646</v>
      </c>
      <c r="BI139" s="59">
        <f ca="1">AVERAGE(OFFSET($BH$3,0,0,'Données projet'!$E$11+1,1))-AVERAGE(OFFSET($H$3,0,0,'Données projet'!$E$11+1,1))</f>
        <v>216.10252108537389</v>
      </c>
      <c r="BJ139" s="59">
        <f t="shared" si="146"/>
        <v>196.91968622092054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21.466784122121144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0</v>
      </c>
      <c r="BS139" s="22">
        <f t="shared" si="117"/>
        <v>21.466784122121144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>
        <f>BY139*VLOOKUP('Données projet'!$B$12,Paramètres!$A$1:$I$89,3,0)*VLOOKUP('Données projet'!$B$12,Paramètres!$A$1:$I$89,5,0)</f>
        <v>0</v>
      </c>
      <c r="CA139" s="13" t="e">
        <f t="shared" si="147"/>
        <v>#NUM!</v>
      </c>
      <c r="CB139" s="20" t="e">
        <f t="shared" si="118"/>
        <v>#NUM!</v>
      </c>
      <c r="CC139" s="59" t="e">
        <f t="shared" si="119"/>
        <v>#NUM!</v>
      </c>
      <c r="CD139" s="59">
        <f ca="1">AVERAGE(OFFSET($CC$3,0,0,'Données projet'!$E$12+1,1))-AVERAGE(OFFSET($H$3,0,0,'Données projet'!$E$12+1,1))</f>
        <v>152.85416952858094</v>
      </c>
      <c r="CE139" s="59">
        <f t="shared" si="148"/>
        <v>369.87619681979322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15.135988706862108</v>
      </c>
      <c r="CL139" s="21">
        <f>EXP(-LN(2)/25)*CL138+(1-EXP(-LN(2)/25))/(LN(2)/25)*Calculateur!CG139*Calculateur!CI139*VLOOKUP('Données projet'!$B$12,Paramètres!$A$1:$I$89,3,0)*0.475*44/12</f>
        <v>0.76086996915514882</v>
      </c>
      <c r="CM139" s="21">
        <f>EXP(-LN(2)/2)*CM138+(1-EXP(-LN(2)/2))/(LN(2)/2)*CG139*CJ139*VLOOKUP('Données projet'!$B$12,Paramètres!$A$1:$I$89,3,0)*0.475*44/12</f>
        <v>4.9917854297370937E-18</v>
      </c>
      <c r="CN139" s="22">
        <f t="shared" si="120"/>
        <v>15.896858676017256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64.116000000000241</v>
      </c>
      <c r="D140" s="11">
        <f t="shared" si="140"/>
        <v>18.204870493705315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635.45935117948159</v>
      </c>
      <c r="H140" s="66">
        <f t="shared" si="110"/>
        <v>436.7088494432038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8.561000000000007</v>
      </c>
      <c r="N140" s="13">
        <f>IF('Données projet'!$A$36&gt;35,N139+M140-V139,IF(A140&lt;'Données projet'!$A$36,$K$205^A140,IF(A140='Données projet'!$A$36,'Données projet'!$B$36,N139+M140-V139)))</f>
        <v>455.01300000000015</v>
      </c>
      <c r="O140" s="13">
        <f>N140*VLOOKUP('Données projet'!$B$9,Paramètres!$A$1:$I$89,3,0)*VLOOKUP('Données projet'!$B$9,Paramètres!$A$1:$I$89,5,0)</f>
        <v>461.38318200000015</v>
      </c>
      <c r="P140" s="13">
        <f t="shared" si="141"/>
        <v>104.11589479796984</v>
      </c>
      <c r="Q140" s="20">
        <f t="shared" si="108"/>
        <v>984.91089208979758</v>
      </c>
      <c r="R140" s="59">
        <f t="shared" si="109"/>
        <v>1278.244225423131</v>
      </c>
      <c r="S140" s="59">
        <f ca="1">AVERAGE(OFFSET($R$3,0,0,'Données projet'!$E$9+1,1))-AVERAGE(OFFSET($H$3,0,0,'Données projet'!$E$9+1,1))</f>
        <v>561.16051468364344</v>
      </c>
      <c r="T140" s="59">
        <f t="shared" si="142"/>
        <v>137.34523913145267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123.07883466182876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123.07883466182876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411.69576240000009</v>
      </c>
      <c r="AK140" s="13">
        <f t="shared" si="143"/>
        <v>94.143809754569304</v>
      </c>
      <c r="AL140" s="20">
        <f t="shared" si="112"/>
        <v>881.00392150254174</v>
      </c>
      <c r="AM140" s="59">
        <f t="shared" si="113"/>
        <v>1174.337254835875</v>
      </c>
      <c r="AN140" s="59">
        <f ca="1">AVERAGE(OFFSET($AM$3,0,0,'Données projet'!$E$10+1,1))-AVERAGE(OFFSET($H$3,0,0,'Données projet'!$E$10+1,1))</f>
        <v>491.82493848755047</v>
      </c>
      <c r="AO140" s="59">
        <f t="shared" si="144"/>
        <v>119.46953275458026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109.82419092901645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109.82419092901645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212.00000000000009</v>
      </c>
      <c r="BE140" s="13">
        <f>BD140*VLOOKUP('Données projet'!$B$11,Paramètres!$A$1:$I$89,3,0)*VLOOKUP('Données projet'!$B$11,Paramètres!$A$1:$I$89,5,0)</f>
        <v>185.20320000000009</v>
      </c>
      <c r="BF140" s="13">
        <f t="shared" si="145"/>
        <v>46.477875402099386</v>
      </c>
      <c r="BG140" s="20">
        <f t="shared" si="115"/>
        <v>403.5112063253232</v>
      </c>
      <c r="BH140" s="59">
        <f t="shared" si="116"/>
        <v>696.84453965865646</v>
      </c>
      <c r="BI140" s="59">
        <f ca="1">AVERAGE(OFFSET($BH$3,0,0,'Données projet'!$E$11+1,1))-AVERAGE(OFFSET($H$3,0,0,'Données projet'!$E$11+1,1))</f>
        <v>216.10252108537389</v>
      </c>
      <c r="BJ140" s="59">
        <f t="shared" si="146"/>
        <v>196.91968622092054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21.045833578931791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0</v>
      </c>
      <c r="BS140" s="22">
        <f t="shared" si="117"/>
        <v>21.045833578931791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>
        <f>BY140*VLOOKUP('Données projet'!$B$12,Paramètres!$A$1:$I$89,3,0)*VLOOKUP('Données projet'!$B$12,Paramètres!$A$1:$I$89,5,0)</f>
        <v>0</v>
      </c>
      <c r="CA140" s="13" t="e">
        <f t="shared" si="147"/>
        <v>#NUM!</v>
      </c>
      <c r="CB140" s="20" t="e">
        <f t="shared" si="118"/>
        <v>#NUM!</v>
      </c>
      <c r="CC140" s="59" t="e">
        <f t="shared" si="119"/>
        <v>#NUM!</v>
      </c>
      <c r="CD140" s="59">
        <f ca="1">AVERAGE(OFFSET($CC$3,0,0,'Données projet'!$E$12+1,1))-AVERAGE(OFFSET($H$3,0,0,'Données projet'!$E$12+1,1))</f>
        <v>152.85416952858094</v>
      </c>
      <c r="CE140" s="59">
        <f t="shared" si="148"/>
        <v>369.87619681979322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14.839181200362065</v>
      </c>
      <c r="CL140" s="21">
        <f>EXP(-LN(2)/25)*CL139+(1-EXP(-LN(2)/25))/(LN(2)/25)*Calculateur!CG140*Calculateur!CI140*VLOOKUP('Données projet'!$B$12,Paramètres!$A$1:$I$89,3,0)*0.475*44/12</f>
        <v>0.74006393983618857</v>
      </c>
      <c r="CM140" s="21">
        <f>EXP(-LN(2)/2)*CM139+(1-EXP(-LN(2)/2))/(LN(2)/2)*CG140*CJ140*VLOOKUP('Données projet'!$B$12,Paramètres!$A$1:$I$89,3,0)*0.475*44/12</f>
        <v>3.5297253275953032E-18</v>
      </c>
      <c r="CN140" s="22">
        <f t="shared" si="120"/>
        <v>15.579245140198253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64.584000000000245</v>
      </c>
      <c r="D141" s="11">
        <f t="shared" si="140"/>
        <v>18.322235519392791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639.97795839531466</v>
      </c>
      <c r="H141" s="66">
        <f t="shared" si="110"/>
        <v>437.72836019627618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8.561000000000007</v>
      </c>
      <c r="N141" s="13">
        <f>IF('Données projet'!$A$36&gt;35,N140+M141-V140,IF(A141&lt;'Données projet'!$A$36,$K$205^A141,IF(A141='Données projet'!$A$36,'Données projet'!$B$36,N140+M141-V140)))</f>
        <v>463.57400000000018</v>
      </c>
      <c r="O141" s="13">
        <f>N141*VLOOKUP('Données projet'!$B$9,Paramètres!$A$1:$I$89,3,0)*VLOOKUP('Données projet'!$B$9,Paramètres!$A$1:$I$89,5,0)</f>
        <v>470.06403600000021</v>
      </c>
      <c r="P141" s="13">
        <f t="shared" si="141"/>
        <v>105.84491836289756</v>
      </c>
      <c r="Q141" s="20">
        <f t="shared" si="108"/>
        <v>1003.0414288487136</v>
      </c>
      <c r="R141" s="59">
        <f t="shared" si="109"/>
        <v>1296.3747621820469</v>
      </c>
      <c r="S141" s="59">
        <f ca="1">AVERAGE(OFFSET($R$3,0,0,'Données projet'!$E$9+1,1))-AVERAGE(OFFSET($H$3,0,0,'Données projet'!$E$9+1,1))</f>
        <v>561.16051468364344</v>
      </c>
      <c r="T141" s="59">
        <f t="shared" si="142"/>
        <v>137.34523913145267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120.66533378478684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120.66533378478684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419.44175520000016</v>
      </c>
      <c r="AK141" s="13">
        <f t="shared" si="143"/>
        <v>95.707229690339801</v>
      </c>
      <c r="AL141" s="20">
        <f t="shared" si="112"/>
        <v>897.21781535067532</v>
      </c>
      <c r="AM141" s="59">
        <f t="shared" si="113"/>
        <v>1190.5511486840087</v>
      </c>
      <c r="AN141" s="59">
        <f ca="1">AVERAGE(OFFSET($AM$3,0,0,'Données projet'!$E$10+1,1))-AVERAGE(OFFSET($H$3,0,0,'Données projet'!$E$10+1,1))</f>
        <v>491.82493848755047</v>
      </c>
      <c r="AO141" s="59">
        <f t="shared" si="144"/>
        <v>119.46953275458026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107.67060553104058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107.67060553104058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212.00000000000009</v>
      </c>
      <c r="BE141" s="13">
        <f>BD141*VLOOKUP('Données projet'!$B$11,Paramètres!$A$1:$I$89,3,0)*VLOOKUP('Données projet'!$B$11,Paramètres!$A$1:$I$89,5,0)</f>
        <v>185.20320000000009</v>
      </c>
      <c r="BF141" s="13">
        <f t="shared" si="145"/>
        <v>46.477875402099386</v>
      </c>
      <c r="BG141" s="20">
        <f t="shared" si="115"/>
        <v>403.5112063253232</v>
      </c>
      <c r="BH141" s="59">
        <f t="shared" si="116"/>
        <v>696.84453965865646</v>
      </c>
      <c r="BI141" s="59">
        <f ca="1">AVERAGE(OFFSET($BH$3,0,0,'Données projet'!$E$11+1,1))-AVERAGE(OFFSET($H$3,0,0,'Données projet'!$E$11+1,1))</f>
        <v>216.10252108537389</v>
      </c>
      <c r="BJ141" s="59">
        <f t="shared" si="146"/>
        <v>196.91968622092054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20.633137619139905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0</v>
      </c>
      <c r="BS141" s="22">
        <f t="shared" si="117"/>
        <v>20.633137619139905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>
        <f>BY141*VLOOKUP('Données projet'!$B$12,Paramètres!$A$1:$I$89,3,0)*VLOOKUP('Données projet'!$B$12,Paramètres!$A$1:$I$89,5,0)</f>
        <v>0</v>
      </c>
      <c r="CA141" s="13" t="e">
        <f t="shared" si="147"/>
        <v>#NUM!</v>
      </c>
      <c r="CB141" s="20" t="e">
        <f t="shared" si="118"/>
        <v>#NUM!</v>
      </c>
      <c r="CC141" s="59" t="e">
        <f t="shared" si="119"/>
        <v>#NUM!</v>
      </c>
      <c r="CD141" s="59">
        <f ca="1">AVERAGE(OFFSET($CC$3,0,0,'Données projet'!$E$12+1,1))-AVERAGE(OFFSET($H$3,0,0,'Données projet'!$E$12+1,1))</f>
        <v>152.85416952858094</v>
      </c>
      <c r="CE141" s="59">
        <f t="shared" si="148"/>
        <v>369.87619681979322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14.548193908029784</v>
      </c>
      <c r="CL141" s="21">
        <f>EXP(-LN(2)/25)*CL140+(1-EXP(-LN(2)/25))/(LN(2)/25)*Calculateur!CG141*Calculateur!CI141*VLOOKUP('Données projet'!$B$12,Paramètres!$A$1:$I$89,3,0)*0.475*44/12</f>
        <v>0.71982685248309686</v>
      </c>
      <c r="CM141" s="21">
        <f>EXP(-LN(2)/2)*CM140+(1-EXP(-LN(2)/2))/(LN(2)/2)*CG141*CJ141*VLOOKUP('Données projet'!$B$12,Paramètres!$A$1:$I$89,3,0)*0.475*44/12</f>
        <v>2.4958927148685468E-18</v>
      </c>
      <c r="CN141" s="22">
        <f t="shared" si="120"/>
        <v>15.268020760512881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65.052000000000248</v>
      </c>
      <c r="D142" s="11">
        <f t="shared" si="140"/>
        <v>18.439501591054739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644.49580175551216</v>
      </c>
      <c r="H142" s="66">
        <f t="shared" si="110"/>
        <v>438.74769860442075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8.561000000000007</v>
      </c>
      <c r="N142" s="13">
        <f>IF('Données projet'!$A$36&gt;35,N141+M142-V141,IF(A142&lt;'Données projet'!$A$36,$K$205^A142,IF(A142='Données projet'!$A$36,'Données projet'!$B$36,N141+M142-V141)))</f>
        <v>472.13500000000022</v>
      </c>
      <c r="O142" s="13">
        <f>N142*VLOOKUP('Données projet'!$B$9,Paramètres!$A$1:$I$89,3,0)*VLOOKUP('Données projet'!$B$9,Paramètres!$A$1:$I$89,5,0)</f>
        <v>478.74489000000028</v>
      </c>
      <c r="P142" s="13">
        <f t="shared" si="141"/>
        <v>107.57022898108299</v>
      </c>
      <c r="Q142" s="20">
        <f t="shared" si="108"/>
        <v>1021.1654988920533</v>
      </c>
      <c r="R142" s="59">
        <f t="shared" si="109"/>
        <v>1314.4988322253866</v>
      </c>
      <c r="S142" s="59">
        <f ca="1">AVERAGE(OFFSET($R$3,0,0,'Données projet'!$E$9+1,1))-AVERAGE(OFFSET($H$3,0,0,'Données projet'!$E$9+1,1))</f>
        <v>561.16051468364344</v>
      </c>
      <c r="T142" s="59">
        <f t="shared" si="142"/>
        <v>137.34523913145267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118.29916018785352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118.29916018785352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427.18774800000017</v>
      </c>
      <c r="AK142" s="13">
        <f t="shared" si="143"/>
        <v>97.267292300579669</v>
      </c>
      <c r="AL142" s="20">
        <f t="shared" si="112"/>
        <v>913.4258618568432</v>
      </c>
      <c r="AM142" s="59">
        <f t="shared" si="113"/>
        <v>1206.7591951901766</v>
      </c>
      <c r="AN142" s="59">
        <f ca="1">AVERAGE(OFFSET($AM$3,0,0,'Données projet'!$E$10+1,1))-AVERAGE(OFFSET($H$3,0,0,'Données projet'!$E$10+1,1))</f>
        <v>491.82493848755047</v>
      </c>
      <c r="AO142" s="59">
        <f t="shared" si="144"/>
        <v>119.46953275458026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105.55925062916162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105.55925062916162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212.00000000000009</v>
      </c>
      <c r="BE142" s="13">
        <f>BD142*VLOOKUP('Données projet'!$B$11,Paramètres!$A$1:$I$89,3,0)*VLOOKUP('Données projet'!$B$11,Paramètres!$A$1:$I$89,5,0)</f>
        <v>185.20320000000009</v>
      </c>
      <c r="BF142" s="13">
        <f t="shared" si="145"/>
        <v>46.477875402099386</v>
      </c>
      <c r="BG142" s="20">
        <f t="shared" si="115"/>
        <v>403.5112063253232</v>
      </c>
      <c r="BH142" s="59">
        <f t="shared" si="116"/>
        <v>696.84453965865646</v>
      </c>
      <c r="BI142" s="59">
        <f ca="1">AVERAGE(OFFSET($BH$3,0,0,'Données projet'!$E$11+1,1))-AVERAGE(OFFSET($H$3,0,0,'Données projet'!$E$11+1,1))</f>
        <v>216.10252108537389</v>
      </c>
      <c r="BJ142" s="59">
        <f t="shared" si="146"/>
        <v>196.91968622092054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20.228534375399857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0</v>
      </c>
      <c r="BS142" s="22">
        <f t="shared" si="117"/>
        <v>20.228534375399857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>
        <f>BY142*VLOOKUP('Données projet'!$B$12,Paramètres!$A$1:$I$89,3,0)*VLOOKUP('Données projet'!$B$12,Paramètres!$A$1:$I$89,5,0)</f>
        <v>0</v>
      </c>
      <c r="CA142" s="13" t="e">
        <f t="shared" si="147"/>
        <v>#NUM!</v>
      </c>
      <c r="CB142" s="20" t="e">
        <f t="shared" si="118"/>
        <v>#NUM!</v>
      </c>
      <c r="CC142" s="59" t="e">
        <f t="shared" si="119"/>
        <v>#NUM!</v>
      </c>
      <c r="CD142" s="59">
        <f ca="1">AVERAGE(OFFSET($CC$3,0,0,'Données projet'!$E$12+1,1))-AVERAGE(OFFSET($H$3,0,0,'Données projet'!$E$12+1,1))</f>
        <v>152.85416952858094</v>
      </c>
      <c r="CE142" s="59">
        <f t="shared" si="148"/>
        <v>369.87619681979322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14.262912699015416</v>
      </c>
      <c r="CL142" s="21">
        <f>EXP(-LN(2)/25)*CL141+(1-EXP(-LN(2)/25))/(LN(2)/25)*Calculateur!CG142*Calculateur!CI142*VLOOKUP('Données projet'!$B$12,Paramètres!$A$1:$I$89,3,0)*0.475*44/12</f>
        <v>0.70014314934789756</v>
      </c>
      <c r="CM142" s="21">
        <f>EXP(-LN(2)/2)*CM141+(1-EXP(-LN(2)/2))/(LN(2)/2)*CG142*CJ142*VLOOKUP('Données projet'!$B$12,Paramètres!$A$1:$I$89,3,0)*0.475*44/12</f>
        <v>1.7648626637976516E-18</v>
      </c>
      <c r="CN142" s="22">
        <f t="shared" si="120"/>
        <v>14.963055848363314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65.520000000000252</v>
      </c>
      <c r="D143" s="11">
        <f t="shared" si="140"/>
        <v>18.556669503136781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649.01288739263669</v>
      </c>
      <c r="H143" s="66">
        <f t="shared" si="110"/>
        <v>439.76686605129692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8.561000000000007</v>
      </c>
      <c r="N143" s="13">
        <f>IF('Données projet'!$A$36&gt;35,N142+M143-V142,IF(A143&lt;'Données projet'!$A$36,$K$205^A143,IF(A143='Données projet'!$A$36,'Données projet'!$B$36,N142+M143-V142)))</f>
        <v>480.69600000000025</v>
      </c>
      <c r="O143" s="13">
        <f>N143*VLOOKUP('Données projet'!$B$9,Paramètres!$A$1:$I$89,3,0)*VLOOKUP('Données projet'!$B$9,Paramètres!$A$1:$I$89,5,0)</f>
        <v>487.42574400000029</v>
      </c>
      <c r="P143" s="13">
        <f t="shared" si="141"/>
        <v>109.29190174330421</v>
      </c>
      <c r="Q143" s="20">
        <f t="shared" si="108"/>
        <v>1039.2832330029219</v>
      </c>
      <c r="R143" s="59">
        <f t="shared" si="109"/>
        <v>1332.6165663362551</v>
      </c>
      <c r="S143" s="59">
        <f ca="1">AVERAGE(OFFSET($R$3,0,0,'Données projet'!$E$9+1,1))-AVERAGE(OFFSET($H$3,0,0,'Données projet'!$E$9+1,1))</f>
        <v>561.16051468364344</v>
      </c>
      <c r="T143" s="59">
        <f t="shared" si="142"/>
        <v>137.34523913145267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115.97938581193267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115.97938581193267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434.93374080000024</v>
      </c>
      <c r="AK143" s="13">
        <f t="shared" si="143"/>
        <v>98.824065483970173</v>
      </c>
      <c r="AL143" s="20">
        <f t="shared" si="112"/>
        <v>929.62817927791514</v>
      </c>
      <c r="AM143" s="59">
        <f t="shared" si="113"/>
        <v>1222.9615126112485</v>
      </c>
      <c r="AN143" s="59">
        <f ca="1">AVERAGE(OFFSET($AM$3,0,0,'Données projet'!$E$10+1,1))-AVERAGE(OFFSET($H$3,0,0,'Données projet'!$E$10+1,1))</f>
        <v>491.82493848755047</v>
      </c>
      <c r="AO143" s="59">
        <f t="shared" si="144"/>
        <v>119.46953275458026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103.48929810910919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103.48929810910919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212.00000000000009</v>
      </c>
      <c r="BE143" s="13">
        <f>BD143*VLOOKUP('Données projet'!$B$11,Paramètres!$A$1:$I$89,3,0)*VLOOKUP('Données projet'!$B$11,Paramètres!$A$1:$I$89,5,0)</f>
        <v>185.20320000000009</v>
      </c>
      <c r="BF143" s="13">
        <f t="shared" si="145"/>
        <v>46.477875402099386</v>
      </c>
      <c r="BG143" s="20">
        <f t="shared" si="115"/>
        <v>403.5112063253232</v>
      </c>
      <c r="BH143" s="59">
        <f t="shared" si="116"/>
        <v>696.84453965865646</v>
      </c>
      <c r="BI143" s="59">
        <f ca="1">AVERAGE(OFFSET($BH$3,0,0,'Données projet'!$E$11+1,1))-AVERAGE(OFFSET($H$3,0,0,'Données projet'!$E$11+1,1))</f>
        <v>216.10252108537389</v>
      </c>
      <c r="BJ143" s="59">
        <f t="shared" si="146"/>
        <v>196.91968622092054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19.831865154485939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0</v>
      </c>
      <c r="BS143" s="22">
        <f t="shared" si="117"/>
        <v>19.831865154485939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>
        <f>BY143*VLOOKUP('Données projet'!$B$12,Paramètres!$A$1:$I$89,3,0)*VLOOKUP('Données projet'!$B$12,Paramètres!$A$1:$I$89,5,0)</f>
        <v>0</v>
      </c>
      <c r="CA143" s="13" t="e">
        <f t="shared" si="147"/>
        <v>#NUM!</v>
      </c>
      <c r="CB143" s="20" t="e">
        <f t="shared" si="118"/>
        <v>#NUM!</v>
      </c>
      <c r="CC143" s="59" t="e">
        <f t="shared" si="119"/>
        <v>#NUM!</v>
      </c>
      <c r="CD143" s="59">
        <f ca="1">AVERAGE(OFFSET($CC$3,0,0,'Données projet'!$E$12+1,1))-AVERAGE(OFFSET($H$3,0,0,'Données projet'!$E$12+1,1))</f>
        <v>152.85416952858094</v>
      </c>
      <c r="CE143" s="59">
        <f t="shared" si="148"/>
        <v>369.87619681979322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13.983225680505464</v>
      </c>
      <c r="CL143" s="21">
        <f>EXP(-LN(2)/25)*CL142+(1-EXP(-LN(2)/25))/(LN(2)/25)*Calculateur!CG143*Calculateur!CI143*VLOOKUP('Données projet'!$B$12,Paramètres!$A$1:$I$89,3,0)*0.475*44/12</f>
        <v>0.68099769811005129</v>
      </c>
      <c r="CM143" s="21">
        <f>EXP(-LN(2)/2)*CM142+(1-EXP(-LN(2)/2))/(LN(2)/2)*CG143*CJ143*VLOOKUP('Données projet'!$B$12,Paramètres!$A$1:$I$89,3,0)*0.475*44/12</f>
        <v>1.2479463574342734E-18</v>
      </c>
      <c r="CN143" s="22">
        <f t="shared" si="120"/>
        <v>14.664223378615516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65.988000000000255</v>
      </c>
      <c r="D144" s="11">
        <f t="shared" si="140"/>
        <v>18.673740038079515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653.5292213465807</v>
      </c>
      <c r="H144" s="66">
        <f t="shared" si="110"/>
        <v>440.78586389965557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8.561000000000007</v>
      </c>
      <c r="N144" s="13">
        <f>IF('Données projet'!$A$36&gt;35,N143+M144-V143,IF(A144&lt;'Données projet'!$A$36,$K$205^A144,IF(A144='Données projet'!$A$36,'Données projet'!$B$36,N143+M144-V143)))</f>
        <v>489.25700000000029</v>
      </c>
      <c r="O144" s="13">
        <f>N144*VLOOKUP('Données projet'!$B$9,Paramètres!$A$1:$I$89,3,0)*VLOOKUP('Données projet'!$B$9,Paramètres!$A$1:$I$89,5,0)</f>
        <v>496.10659800000036</v>
      </c>
      <c r="P144" s="13">
        <f t="shared" si="141"/>
        <v>111.01000891248539</v>
      </c>
      <c r="Q144" s="20">
        <f t="shared" si="108"/>
        <v>1057.3947570392459</v>
      </c>
      <c r="R144" s="59">
        <f t="shared" si="109"/>
        <v>1350.7280903725791</v>
      </c>
      <c r="S144" s="59">
        <f ca="1">AVERAGE(OFFSET($R$3,0,0,'Données projet'!$E$9+1,1))-AVERAGE(OFFSET($H$3,0,0,'Données projet'!$E$9+1,1))</f>
        <v>561.16051468364344</v>
      </c>
      <c r="T144" s="59">
        <f t="shared" si="142"/>
        <v>137.34523913145267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113.70510079660097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113.70510079660097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442.67973360000025</v>
      </c>
      <c r="AK144" s="13">
        <f t="shared" si="143"/>
        <v>100.37761458218634</v>
      </c>
      <c r="AL144" s="20">
        <f t="shared" si="112"/>
        <v>945.82488141730835</v>
      </c>
      <c r="AM144" s="59">
        <f t="shared" si="113"/>
        <v>1239.1582147506417</v>
      </c>
      <c r="AN144" s="59">
        <f ca="1">AVERAGE(OFFSET($AM$3,0,0,'Données projet'!$E$10+1,1))-AVERAGE(OFFSET($H$3,0,0,'Données projet'!$E$10+1,1))</f>
        <v>491.82493848755047</v>
      </c>
      <c r="AO144" s="59">
        <f t="shared" si="144"/>
        <v>119.46953275458026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101.4599360954286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101.4599360954286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212.00000000000009</v>
      </c>
      <c r="BE144" s="13">
        <f>BD144*VLOOKUP('Données projet'!$B$11,Paramètres!$A$1:$I$89,3,0)*VLOOKUP('Données projet'!$B$11,Paramètres!$A$1:$I$89,5,0)</f>
        <v>185.20320000000009</v>
      </c>
      <c r="BF144" s="13">
        <f t="shared" si="145"/>
        <v>46.477875402099386</v>
      </c>
      <c r="BG144" s="20">
        <f t="shared" si="115"/>
        <v>403.5112063253232</v>
      </c>
      <c r="BH144" s="59">
        <f t="shared" si="116"/>
        <v>696.84453965865646</v>
      </c>
      <c r="BI144" s="59">
        <f ca="1">AVERAGE(OFFSET($BH$3,0,0,'Données projet'!$E$11+1,1))-AVERAGE(OFFSET($H$3,0,0,'Données projet'!$E$11+1,1))</f>
        <v>216.10252108537389</v>
      </c>
      <c r="BJ144" s="59">
        <f t="shared" si="146"/>
        <v>196.91968622092054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19.442974375049808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0</v>
      </c>
      <c r="BS144" s="22">
        <f t="shared" si="117"/>
        <v>19.442974375049808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>
        <f>BY144*VLOOKUP('Données projet'!$B$12,Paramètres!$A$1:$I$89,3,0)*VLOOKUP('Données projet'!$B$12,Paramètres!$A$1:$I$89,5,0)</f>
        <v>0</v>
      </c>
      <c r="CA144" s="13" t="e">
        <f t="shared" si="147"/>
        <v>#NUM!</v>
      </c>
      <c r="CB144" s="20" t="e">
        <f t="shared" si="118"/>
        <v>#NUM!</v>
      </c>
      <c r="CC144" s="59" t="e">
        <f t="shared" si="119"/>
        <v>#NUM!</v>
      </c>
      <c r="CD144" s="59">
        <f ca="1">AVERAGE(OFFSET($CC$3,0,0,'Données projet'!$E$12+1,1))-AVERAGE(OFFSET($H$3,0,0,'Données projet'!$E$12+1,1))</f>
        <v>152.85416952858094</v>
      </c>
      <c r="CE144" s="59">
        <f t="shared" si="148"/>
        <v>369.87619681979322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13.709023153836256</v>
      </c>
      <c r="CL144" s="21">
        <f>EXP(-LN(2)/25)*CL143+(1-EXP(-LN(2)/25))/(LN(2)/25)*Calculateur!CG144*Calculateur!CI144*VLOOKUP('Données projet'!$B$12,Paramètres!$A$1:$I$89,3,0)*0.475*44/12</f>
        <v>0.66237578024311938</v>
      </c>
      <c r="CM144" s="21">
        <f>EXP(-LN(2)/2)*CM143+(1-EXP(-LN(2)/2))/(LN(2)/2)*CG144*CJ144*VLOOKUP('Données projet'!$B$12,Paramètres!$A$1:$I$89,3,0)*0.475*44/12</f>
        <v>8.8243133189882579E-19</v>
      </c>
      <c r="CN144" s="22">
        <f t="shared" si="120"/>
        <v>14.371398934079375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66.456000000000259</v>
      </c>
      <c r="D145" s="11">
        <f t="shared" si="140"/>
        <v>18.790713966583677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658.04480956661291</v>
      </c>
      <c r="H145" s="66">
        <f t="shared" si="110"/>
        <v>441.80469349180032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8.561000000000007</v>
      </c>
      <c r="N145" s="13">
        <f>IF('Données projet'!$A$36&gt;35,N144+M145-V144,IF(A145&lt;'Données projet'!$A$36,$K$205^A145,IF(A145='Données projet'!$A$36,'Données projet'!$B$36,N144+M145-V144)))</f>
        <v>497.81800000000032</v>
      </c>
      <c r="O145" s="13">
        <f>N145*VLOOKUP('Données projet'!$B$9,Paramètres!$A$1:$I$89,3,0)*VLOOKUP('Données projet'!$B$9,Paramètres!$A$1:$I$89,5,0)</f>
        <v>504.78745200000037</v>
      </c>
      <c r="P145" s="13">
        <f t="shared" si="141"/>
        <v>112.7246200777754</v>
      </c>
      <c r="Q145" s="20">
        <f t="shared" si="108"/>
        <v>1075.5001922021258</v>
      </c>
      <c r="R145" s="59">
        <f t="shared" si="109"/>
        <v>1368.8335255354591</v>
      </c>
      <c r="S145" s="59">
        <f ca="1">AVERAGE(OFFSET($R$3,0,0,'Données projet'!$E$9+1,1))-AVERAGE(OFFSET($H$3,0,0,'Données projet'!$E$9+1,1))</f>
        <v>561.16051468364344</v>
      </c>
      <c r="T145" s="59">
        <f t="shared" si="142"/>
        <v>137.34523913145267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111.47541312324304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111.47541312324304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450.42572640000031</v>
      </c>
      <c r="AK145" s="13">
        <f t="shared" si="143"/>
        <v>101.92800251921889</v>
      </c>
      <c r="AL145" s="20">
        <f t="shared" si="112"/>
        <v>962.01607786763998</v>
      </c>
      <c r="AM145" s="59">
        <f t="shared" si="113"/>
        <v>1255.3494112009732</v>
      </c>
      <c r="AN145" s="59">
        <f ca="1">AVERAGE(OFFSET($AM$3,0,0,'Données projet'!$E$10+1,1))-AVERAGE(OFFSET($H$3,0,0,'Données projet'!$E$10+1,1))</f>
        <v>491.82493848755047</v>
      </c>
      <c r="AO145" s="59">
        <f t="shared" si="144"/>
        <v>119.46953275458026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99.470368633047684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99.470368633047684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212.00000000000009</v>
      </c>
      <c r="BE145" s="13">
        <f>BD145*VLOOKUP('Données projet'!$B$11,Paramètres!$A$1:$I$89,3,0)*VLOOKUP('Données projet'!$B$11,Paramètres!$A$1:$I$89,5,0)</f>
        <v>185.20320000000009</v>
      </c>
      <c r="BF145" s="13">
        <f t="shared" si="145"/>
        <v>46.477875402099386</v>
      </c>
      <c r="BG145" s="20">
        <f t="shared" si="115"/>
        <v>403.5112063253232</v>
      </c>
      <c r="BH145" s="59">
        <f t="shared" si="116"/>
        <v>696.84453965865646</v>
      </c>
      <c r="BI145" s="59">
        <f ca="1">AVERAGE(OFFSET($BH$3,0,0,'Données projet'!$E$11+1,1))-AVERAGE(OFFSET($H$3,0,0,'Données projet'!$E$11+1,1))</f>
        <v>216.10252108537389</v>
      </c>
      <c r="BJ145" s="59">
        <f t="shared" si="146"/>
        <v>196.91968622092054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19.061709506598465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0</v>
      </c>
      <c r="BS145" s="22">
        <f t="shared" si="117"/>
        <v>19.061709506598465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>
        <f>BY145*VLOOKUP('Données projet'!$B$12,Paramètres!$A$1:$I$89,3,0)*VLOOKUP('Données projet'!$B$12,Paramètres!$A$1:$I$89,5,0)</f>
        <v>0</v>
      </c>
      <c r="CA145" s="13" t="e">
        <f t="shared" si="147"/>
        <v>#NUM!</v>
      </c>
      <c r="CB145" s="20" t="e">
        <f t="shared" si="118"/>
        <v>#NUM!</v>
      </c>
      <c r="CC145" s="59" t="e">
        <f t="shared" si="119"/>
        <v>#NUM!</v>
      </c>
      <c r="CD145" s="59">
        <f ca="1">AVERAGE(OFFSET($CC$3,0,0,'Données projet'!$E$12+1,1))-AVERAGE(OFFSET($H$3,0,0,'Données projet'!$E$12+1,1))</f>
        <v>152.85416952858094</v>
      </c>
      <c r="CE145" s="59">
        <f t="shared" si="148"/>
        <v>369.87619681979322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13.440197571468003</v>
      </c>
      <c r="CL145" s="21">
        <f>EXP(-LN(2)/25)*CL144+(1-EXP(-LN(2)/25))/(LN(2)/25)*Calculateur!CG145*Calculateur!CI145*VLOOKUP('Données projet'!$B$12,Paramètres!$A$1:$I$89,3,0)*0.475*44/12</f>
        <v>0.64426307969954288</v>
      </c>
      <c r="CM145" s="21">
        <f>EXP(-LN(2)/2)*CM144+(1-EXP(-LN(2)/2))/(LN(2)/2)*CG145*CJ145*VLOOKUP('Données projet'!$B$12,Paramètres!$A$1:$I$89,3,0)*0.475*44/12</f>
        <v>6.2397317871713671E-19</v>
      </c>
      <c r="CN145" s="22">
        <f t="shared" si="120"/>
        <v>14.084460651167547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66.924000000000262</v>
      </c>
      <c r="D146" s="11">
        <f t="shared" si="140"/>
        <v>18.90759204786773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662.559657913367</v>
      </c>
      <c r="H146" s="66">
        <f t="shared" si="110"/>
        <v>442.82335615003672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8.561000000000007</v>
      </c>
      <c r="N146" s="13">
        <f>IF('Données projet'!$A$36&gt;35,N145+M146-V145,IF(A146&lt;'Données projet'!$A$36,$K$205^A146,IF(A146='Données projet'!$A$36,'Données projet'!$B$36,N145+M146-V145)))</f>
        <v>506.37900000000036</v>
      </c>
      <c r="O146" s="13">
        <f>N146*VLOOKUP('Données projet'!$B$9,Paramètres!$A$1:$I$89,3,0)*VLOOKUP('Données projet'!$B$9,Paramètres!$A$1:$I$89,5,0)</f>
        <v>513.46830600000044</v>
      </c>
      <c r="P146" s="13">
        <f t="shared" si="141"/>
        <v>114.43580229772893</v>
      </c>
      <c r="Q146" s="20">
        <f t="shared" si="108"/>
        <v>1093.5996552852121</v>
      </c>
      <c r="R146" s="59">
        <f t="shared" si="109"/>
        <v>1386.9329886185453</v>
      </c>
      <c r="S146" s="59">
        <f ca="1">AVERAGE(OFFSET($R$3,0,0,'Données projet'!$E$9+1,1))-AVERAGE(OFFSET($H$3,0,0,'Données projet'!$E$9+1,1))</f>
        <v>561.16051468364344</v>
      </c>
      <c r="T146" s="59">
        <f t="shared" si="142"/>
        <v>137.34523913145267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109.28944826518448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109.28944826518448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458.17171920000033</v>
      </c>
      <c r="AK146" s="13">
        <f t="shared" si="143"/>
        <v>103.47528993084117</v>
      </c>
      <c r="AL146" s="20">
        <f t="shared" si="112"/>
        <v>978.20187423621553</v>
      </c>
      <c r="AM146" s="59">
        <f t="shared" si="113"/>
        <v>1271.5352075695489</v>
      </c>
      <c r="AN146" s="59">
        <f ca="1">AVERAGE(OFFSET($AM$3,0,0,'Données projet'!$E$10+1,1))-AVERAGE(OFFSET($H$3,0,0,'Données projet'!$E$10+1,1))</f>
        <v>491.82493848755047</v>
      </c>
      <c r="AO146" s="59">
        <f t="shared" si="144"/>
        <v>119.46953275458026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97.519815375087731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97.519815375087731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212.00000000000009</v>
      </c>
      <c r="BE146" s="13">
        <f>BD146*VLOOKUP('Données projet'!$B$11,Paramètres!$A$1:$I$89,3,0)*VLOOKUP('Données projet'!$B$11,Paramètres!$A$1:$I$89,5,0)</f>
        <v>185.20320000000009</v>
      </c>
      <c r="BF146" s="13">
        <f t="shared" si="145"/>
        <v>46.477875402099386</v>
      </c>
      <c r="BG146" s="20">
        <f t="shared" si="115"/>
        <v>403.5112063253232</v>
      </c>
      <c r="BH146" s="59">
        <f t="shared" si="116"/>
        <v>696.84453965865646</v>
      </c>
      <c r="BI146" s="59">
        <f ca="1">AVERAGE(OFFSET($BH$3,0,0,'Données projet'!$E$11+1,1))-AVERAGE(OFFSET($H$3,0,0,'Données projet'!$E$11+1,1))</f>
        <v>216.10252108537389</v>
      </c>
      <c r="BJ146" s="59">
        <f t="shared" si="146"/>
        <v>196.91968622092054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18.687921009668848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0</v>
      </c>
      <c r="BS146" s="22">
        <f t="shared" si="117"/>
        <v>18.687921009668848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>
        <f>BY146*VLOOKUP('Données projet'!$B$12,Paramètres!$A$1:$I$89,3,0)*VLOOKUP('Données projet'!$B$12,Paramètres!$A$1:$I$89,5,0)</f>
        <v>0</v>
      </c>
      <c r="CA146" s="13" t="e">
        <f t="shared" si="147"/>
        <v>#NUM!</v>
      </c>
      <c r="CB146" s="20" t="e">
        <f t="shared" si="118"/>
        <v>#NUM!</v>
      </c>
      <c r="CC146" s="59" t="e">
        <f t="shared" si="119"/>
        <v>#NUM!</v>
      </c>
      <c r="CD146" s="59">
        <f ca="1">AVERAGE(OFFSET($CC$3,0,0,'Données projet'!$E$12+1,1))-AVERAGE(OFFSET($H$3,0,0,'Données projet'!$E$12+1,1))</f>
        <v>152.85416952858094</v>
      </c>
      <c r="CE146" s="59">
        <f t="shared" si="148"/>
        <v>369.87619681979322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13.176643494802578</v>
      </c>
      <c r="CL146" s="21">
        <f>EXP(-LN(2)/25)*CL145+(1-EXP(-LN(2)/25))/(LN(2)/25)*Calculateur!CG146*Calculateur!CI146*VLOOKUP('Données projet'!$B$12,Paramètres!$A$1:$I$89,3,0)*0.475*44/12</f>
        <v>0.626645671904836</v>
      </c>
      <c r="CM146" s="21">
        <f>EXP(-LN(2)/2)*CM145+(1-EXP(-LN(2)/2))/(LN(2)/2)*CG146*CJ146*VLOOKUP('Données projet'!$B$12,Paramètres!$A$1:$I$89,3,0)*0.475*44/12</f>
        <v>4.412156659494129E-19</v>
      </c>
      <c r="CN146" s="22">
        <f t="shared" si="120"/>
        <v>13.803289166707414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67.392000000000266</v>
      </c>
      <c r="D147" s="11">
        <f t="shared" si="140"/>
        <v>19.024375029918055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667.07377216077305</v>
      </c>
      <c r="H147" s="66">
        <f t="shared" si="110"/>
        <v>443.84185317710774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>
        <f>VLOOKUP(A147,'Données projet'!$A$35:$I$55,2,0)</f>
        <v>514.94000000000005</v>
      </c>
      <c r="L147" s="12">
        <f>VLOOKUP(A147,'Données projet'!$A$35:$I$55,9,0)</f>
        <v>8.561000000000007</v>
      </c>
      <c r="M147" s="12">
        <f t="array" ref="M147">INDEX(L:L,MIN(IF(ISNUMBER(L147:L343),ROW(L147:L343),"")))</f>
        <v>8.561000000000007</v>
      </c>
      <c r="N147" s="13">
        <f>IF('Données projet'!$A$36&gt;35,N146+M147-V146,IF(A147&lt;'Données projet'!$A$36,$K$205^A147,IF(A147='Données projet'!$A$36,'Données projet'!$B$36,N146+M147-V146)))</f>
        <v>514.9400000000004</v>
      </c>
      <c r="O147" s="13">
        <f>N147*VLOOKUP('Données projet'!$B$9,Paramètres!$A$1:$I$89,3,0)*VLOOKUP('Données projet'!$B$9,Paramètres!$A$1:$I$89,5,0)</f>
        <v>522.14916000000051</v>
      </c>
      <c r="P147" s="13">
        <f t="shared" si="141"/>
        <v>116.14362023352821</v>
      </c>
      <c r="Q147" s="20">
        <f t="shared" si="108"/>
        <v>1111.6932589067289</v>
      </c>
      <c r="R147" s="59">
        <f t="shared" si="109"/>
        <v>1405.0265922400622</v>
      </c>
      <c r="S147" s="59">
        <f ca="1">AVERAGE(OFFSET($R$3,0,0,'Données projet'!$E$9+1,1))-AVERAGE(OFFSET($H$3,0,0,'Données projet'!$E$9+1,1))</f>
        <v>561.16051468364344</v>
      </c>
      <c r="T147" s="59">
        <f t="shared" si="142"/>
        <v>137.34523913145267</v>
      </c>
      <c r="U147" s="15">
        <f>IF(ISNA(VLOOKUP(A147,'Données projet'!$A$35:$I$55,3,0)),0,VLOOKUP(A147,'Données projet'!$A$35:$I$55,3,0))</f>
        <v>12</v>
      </c>
      <c r="V147" s="15">
        <f>IF(ISNA(VLOOKUP(A147,'Données projet'!$A$35:$I$55,4,0)),0,VLOOKUP(A147,'Données projet'!$A$35:$I$55,4,0))</f>
        <v>56.01</v>
      </c>
      <c r="W147" s="16">
        <f>IF(ISNA(VLOOKUP(A147,'Données projet'!$A$35:$I$55,5,0)),0%,VLOOKUP(A147,'Données projet'!$A$35:$I$55,5,0)*VLOOKUP('Données projet'!$B$9,Paramètres!$A$1:$I$89,7,0))</f>
        <v>0.43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134.14357183013595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134.14357183013595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465.91771200000034</v>
      </c>
      <c r="AK147" s="13">
        <f t="shared" si="143"/>
        <v>105.0195352850718</v>
      </c>
      <c r="AL147" s="20">
        <f t="shared" si="112"/>
        <v>994.38237235483382</v>
      </c>
      <c r="AM147" s="59">
        <f t="shared" si="113"/>
        <v>1287.7157056881672</v>
      </c>
      <c r="AN147" s="59">
        <f ca="1">AVERAGE(OFFSET($AM$3,0,0,'Données projet'!$E$10+1,1))-AVERAGE(OFFSET($H$3,0,0,'Données projet'!$E$10+1,1))</f>
        <v>491.82493848755047</v>
      </c>
      <c r="AO147" s="59">
        <f t="shared" si="144"/>
        <v>119.46953275458026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119.69734101765982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119.69734101765982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212.00000000000009</v>
      </c>
      <c r="BE147" s="13">
        <f>BD147*VLOOKUP('Données projet'!$B$11,Paramètres!$A$1:$I$89,3,0)*VLOOKUP('Données projet'!$B$11,Paramètres!$A$1:$I$89,5,0)</f>
        <v>185.20320000000009</v>
      </c>
      <c r="BF147" s="13">
        <f t="shared" si="145"/>
        <v>46.477875402099386</v>
      </c>
      <c r="BG147" s="20">
        <f t="shared" si="115"/>
        <v>403.5112063253232</v>
      </c>
      <c r="BH147" s="59">
        <f t="shared" si="116"/>
        <v>696.84453965865646</v>
      </c>
      <c r="BI147" s="59">
        <f ca="1">AVERAGE(OFFSET($BH$3,0,0,'Données projet'!$E$11+1,1))-AVERAGE(OFFSET($H$3,0,0,'Données projet'!$E$11+1,1))</f>
        <v>216.10252108537389</v>
      </c>
      <c r="BJ147" s="59">
        <f t="shared" si="146"/>
        <v>196.91968622092054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18.321462277175549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0</v>
      </c>
      <c r="BS147" s="22">
        <f t="shared" si="117"/>
        <v>18.321462277175549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>
        <f>BY147*VLOOKUP('Données projet'!$B$12,Paramètres!$A$1:$I$89,3,0)*VLOOKUP('Données projet'!$B$12,Paramètres!$A$1:$I$89,5,0)</f>
        <v>0</v>
      </c>
      <c r="CA147" s="13" t="e">
        <f t="shared" si="147"/>
        <v>#NUM!</v>
      </c>
      <c r="CB147" s="20" t="e">
        <f t="shared" si="118"/>
        <v>#NUM!</v>
      </c>
      <c r="CC147" s="59" t="e">
        <f t="shared" si="119"/>
        <v>#NUM!</v>
      </c>
      <c r="CD147" s="59">
        <f ca="1">AVERAGE(OFFSET($CC$3,0,0,'Données projet'!$E$12+1,1))-AVERAGE(OFFSET($H$3,0,0,'Données projet'!$E$12+1,1))</f>
        <v>152.85416952858094</v>
      </c>
      <c r="CE147" s="59">
        <f t="shared" si="148"/>
        <v>369.87619681979322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12.918257552828447</v>
      </c>
      <c r="CL147" s="21">
        <f>EXP(-LN(2)/25)*CL146+(1-EXP(-LN(2)/25))/(LN(2)/25)*Calculateur!CG147*Calculateur!CI147*VLOOKUP('Données projet'!$B$12,Paramètres!$A$1:$I$89,3,0)*0.475*44/12</f>
        <v>0.60951001305273456</v>
      </c>
      <c r="CM147" s="21">
        <f>EXP(-LN(2)/2)*CM146+(1-EXP(-LN(2)/2))/(LN(2)/2)*CG147*CJ147*VLOOKUP('Données projet'!$B$12,Paramètres!$A$1:$I$89,3,0)*0.475*44/12</f>
        <v>3.1198658935856835E-19</v>
      </c>
      <c r="CN147" s="22">
        <f t="shared" si="120"/>
        <v>13.527767565881181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67.860000000000269</v>
      </c>
      <c r="D148" s="11">
        <f t="shared" si="140"/>
        <v>19.141063649731827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671.58715799793197</v>
      </c>
      <c r="H148" s="66">
        <f t="shared" si="110"/>
        <v>444.86018585661668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8.7559999999999949</v>
      </c>
      <c r="N148" s="13">
        <f>IF('Données projet'!$A$36&gt;35,N147+M148-V147,IF(A148&lt;'Données projet'!$A$36,$K$205^A148,IF(A148='Données projet'!$A$36,'Données projet'!$B$36,N147+M148-V147)))</f>
        <v>467.68600000000038</v>
      </c>
      <c r="O148" s="13">
        <f>N148*VLOOKUP('Données projet'!$B$9,Paramètres!$A$1:$I$89,3,0)*VLOOKUP('Données projet'!$B$9,Paramètres!$A$1:$I$89,5,0)</f>
        <v>474.23360400000035</v>
      </c>
      <c r="P148" s="13">
        <f t="shared" si="141"/>
        <v>106.67407433181496</v>
      </c>
      <c r="Q148" s="20">
        <f t="shared" si="108"/>
        <v>1011.7475397612449</v>
      </c>
      <c r="R148" s="59">
        <f t="shared" si="109"/>
        <v>1305.0808730945782</v>
      </c>
      <c r="S148" s="59">
        <f ca="1">AVERAGE(OFFSET($R$3,0,0,'Données projet'!$E$9+1,1))-AVERAGE(OFFSET($H$3,0,0,'Données projet'!$E$9+1,1))</f>
        <v>561.16051468364344</v>
      </c>
      <c r="T148" s="59">
        <f t="shared" si="142"/>
        <v>137.34523913145267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131.51309820604681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131.51309820604681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423.16229280000039</v>
      </c>
      <c r="AK148" s="13">
        <f t="shared" si="143"/>
        <v>96.456970178534121</v>
      </c>
      <c r="AL148" s="20">
        <f t="shared" si="112"/>
        <v>905.00354968761405</v>
      </c>
      <c r="AM148" s="59">
        <f t="shared" si="113"/>
        <v>1198.3368830209474</v>
      </c>
      <c r="AN148" s="59">
        <f ca="1">AVERAGE(OFFSET($AM$3,0,0,'Données projet'!$E$10+1,1))-AVERAGE(OFFSET($H$3,0,0,'Données projet'!$E$10+1,1))</f>
        <v>491.82493848755047</v>
      </c>
      <c r="AO148" s="59">
        <f t="shared" si="144"/>
        <v>119.46953275458026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117.35014916847258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117.35014916847258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212.00000000000009</v>
      </c>
      <c r="BE148" s="13">
        <f>BD148*VLOOKUP('Données projet'!$B$11,Paramètres!$A$1:$I$89,3,0)*VLOOKUP('Données projet'!$B$11,Paramètres!$A$1:$I$89,5,0)</f>
        <v>185.20320000000009</v>
      </c>
      <c r="BF148" s="13">
        <f t="shared" si="145"/>
        <v>46.477875402099386</v>
      </c>
      <c r="BG148" s="20">
        <f t="shared" si="115"/>
        <v>403.5112063253232</v>
      </c>
      <c r="BH148" s="59">
        <f t="shared" si="116"/>
        <v>696.84453965865646</v>
      </c>
      <c r="BI148" s="59">
        <f ca="1">AVERAGE(OFFSET($BH$3,0,0,'Données projet'!$E$11+1,1))-AVERAGE(OFFSET($H$3,0,0,'Données projet'!$E$11+1,1))</f>
        <v>216.10252108537389</v>
      </c>
      <c r="BJ148" s="59">
        <f t="shared" si="146"/>
        <v>196.91968622092054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17.962189576908688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0</v>
      </c>
      <c r="BS148" s="22">
        <f t="shared" si="117"/>
        <v>17.962189576908688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>
        <f>BY148*VLOOKUP('Données projet'!$B$12,Paramètres!$A$1:$I$89,3,0)*VLOOKUP('Données projet'!$B$12,Paramètres!$A$1:$I$89,5,0)</f>
        <v>0</v>
      </c>
      <c r="CA148" s="13" t="e">
        <f t="shared" si="147"/>
        <v>#NUM!</v>
      </c>
      <c r="CB148" s="20" t="e">
        <f t="shared" si="118"/>
        <v>#NUM!</v>
      </c>
      <c r="CC148" s="59" t="e">
        <f t="shared" si="119"/>
        <v>#NUM!</v>
      </c>
      <c r="CD148" s="59">
        <f ca="1">AVERAGE(OFFSET($CC$3,0,0,'Données projet'!$E$12+1,1))-AVERAGE(OFFSET($H$3,0,0,'Données projet'!$E$12+1,1))</f>
        <v>152.85416952858094</v>
      </c>
      <c r="CE148" s="59">
        <f t="shared" si="148"/>
        <v>369.87619681979322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12.664938401576565</v>
      </c>
      <c r="CL148" s="21">
        <f>EXP(-LN(2)/25)*CL147+(1-EXP(-LN(2)/25))/(LN(2)/25)*Calculateur!CG148*Calculateur!CI148*VLOOKUP('Données projet'!$B$12,Paramètres!$A$1:$I$89,3,0)*0.475*44/12</f>
        <v>0.59284292969306895</v>
      </c>
      <c r="CM148" s="21">
        <f>EXP(-LN(2)/2)*CM147+(1-EXP(-LN(2)/2))/(LN(2)/2)*CG148*CJ148*VLOOKUP('Données projet'!$B$12,Paramètres!$A$1:$I$89,3,0)*0.475*44/12</f>
        <v>2.2060783297470645E-19</v>
      </c>
      <c r="CN148" s="22">
        <f t="shared" si="120"/>
        <v>13.257781331269634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68.328000000000273</v>
      </c>
      <c r="D149" s="11">
        <f t="shared" si="140"/>
        <v>19.257658633553223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676.09982103093932</v>
      </c>
      <c r="H149" s="66">
        <f t="shared" si="110"/>
        <v>445.87835545343899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8.7559999999999949</v>
      </c>
      <c r="N149" s="13">
        <f>IF('Données projet'!$A$36&gt;35,N148+M149-V148,IF(A149&lt;'Données projet'!$A$36,$K$205^A149,IF(A149='Données projet'!$A$36,'Données projet'!$B$36,N148+M149-V148)))</f>
        <v>476.44200000000035</v>
      </c>
      <c r="O149" s="13">
        <f>N149*VLOOKUP('Données projet'!$B$9,Paramètres!$A$1:$I$89,3,0)*VLOOKUP('Données projet'!$B$9,Paramètres!$A$1:$I$89,5,0)</f>
        <v>483.11218800000034</v>
      </c>
      <c r="P149" s="13">
        <f t="shared" si="141"/>
        <v>108.43684480906832</v>
      </c>
      <c r="Q149" s="20">
        <f t="shared" si="108"/>
        <v>1030.2812321424612</v>
      </c>
      <c r="R149" s="59">
        <f t="shared" si="109"/>
        <v>1323.6145654757945</v>
      </c>
      <c r="S149" s="59">
        <f ca="1">AVERAGE(OFFSET($R$3,0,0,'Données projet'!$E$9+1,1))-AVERAGE(OFFSET($H$3,0,0,'Données projet'!$E$9+1,1))</f>
        <v>561.16051468364344</v>
      </c>
      <c r="T149" s="59">
        <f t="shared" si="142"/>
        <v>137.34523913145267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128.93420656529554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128.93420656529554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431.08472160000031</v>
      </c>
      <c r="AK149" s="13">
        <f t="shared" si="143"/>
        <v>98.050904791241848</v>
      </c>
      <c r="AL149" s="20">
        <f t="shared" si="112"/>
        <v>921.57788263141322</v>
      </c>
      <c r="AM149" s="59">
        <f t="shared" si="113"/>
        <v>1214.9112159647466</v>
      </c>
      <c r="AN149" s="59">
        <f ca="1">AVERAGE(OFFSET($AM$3,0,0,'Données projet'!$E$10+1,1))-AVERAGE(OFFSET($H$3,0,0,'Données projet'!$E$10+1,1))</f>
        <v>491.82493848755047</v>
      </c>
      <c r="AO149" s="59">
        <f t="shared" si="144"/>
        <v>119.46953275458026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115.04898431980223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115.04898431980223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212.00000000000009</v>
      </c>
      <c r="BE149" s="13">
        <f>BD149*VLOOKUP('Données projet'!$B$11,Paramètres!$A$1:$I$89,3,0)*VLOOKUP('Données projet'!$B$11,Paramètres!$A$1:$I$89,5,0)</f>
        <v>185.20320000000009</v>
      </c>
      <c r="BF149" s="13">
        <f t="shared" si="145"/>
        <v>46.477875402099386</v>
      </c>
      <c r="BG149" s="20">
        <f t="shared" si="115"/>
        <v>403.5112063253232</v>
      </c>
      <c r="BH149" s="59">
        <f t="shared" si="116"/>
        <v>696.84453965865646</v>
      </c>
      <c r="BI149" s="59">
        <f ca="1">AVERAGE(OFFSET($BH$3,0,0,'Données projet'!$E$11+1,1))-AVERAGE(OFFSET($H$3,0,0,'Données projet'!$E$11+1,1))</f>
        <v>216.10252108537389</v>
      </c>
      <c r="BJ149" s="59">
        <f t="shared" si="146"/>
        <v>196.91968622092054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17.609961995159349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0</v>
      </c>
      <c r="BS149" s="22">
        <f t="shared" si="117"/>
        <v>17.609961995159349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>
        <f>BY149*VLOOKUP('Données projet'!$B$12,Paramètres!$A$1:$I$89,3,0)*VLOOKUP('Données projet'!$B$12,Paramètres!$A$1:$I$89,5,0)</f>
        <v>0</v>
      </c>
      <c r="CA149" s="13" t="e">
        <f t="shared" si="147"/>
        <v>#NUM!</v>
      </c>
      <c r="CB149" s="20" t="e">
        <f t="shared" si="118"/>
        <v>#NUM!</v>
      </c>
      <c r="CC149" s="59" t="e">
        <f t="shared" si="119"/>
        <v>#NUM!</v>
      </c>
      <c r="CD149" s="59">
        <f ca="1">AVERAGE(OFFSET($CC$3,0,0,'Données projet'!$E$12+1,1))-AVERAGE(OFFSET($H$3,0,0,'Données projet'!$E$12+1,1))</f>
        <v>152.85416952858094</v>
      </c>
      <c r="CE149" s="59">
        <f t="shared" si="148"/>
        <v>369.87619681979322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12.416586684371309</v>
      </c>
      <c r="CL149" s="21">
        <f>EXP(-LN(2)/25)*CL148+(1-EXP(-LN(2)/25))/(LN(2)/25)*Calculateur!CG149*Calculateur!CI149*VLOOKUP('Données projet'!$B$12,Paramètres!$A$1:$I$89,3,0)*0.475*44/12</f>
        <v>0.57663160860435725</v>
      </c>
      <c r="CM149" s="21">
        <f>EXP(-LN(2)/2)*CM148+(1-EXP(-LN(2)/2))/(LN(2)/2)*CG149*CJ149*VLOOKUP('Données projet'!$B$12,Paramètres!$A$1:$I$89,3,0)*0.475*44/12</f>
        <v>1.5599329467928418E-19</v>
      </c>
      <c r="CN149" s="22">
        <f t="shared" si="120"/>
        <v>12.993218292975666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68.796000000000276</v>
      </c>
      <c r="D150" s="11">
        <f t="shared" si="140"/>
        <v>19.374160697102795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680.61176678465529</v>
      </c>
      <c r="H150" s="66">
        <f t="shared" si="110"/>
        <v>446.89636321412115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8.7559999999999949</v>
      </c>
      <c r="N150" s="13">
        <f>IF('Données projet'!$A$36&gt;35,N149+M150-V149,IF(A150&lt;'Données projet'!$A$36,$K$205^A150,IF(A150='Données projet'!$A$36,'Données projet'!$B$36,N149+M150-V149)))</f>
        <v>485.19800000000032</v>
      </c>
      <c r="O150" s="13">
        <f>N150*VLOOKUP('Données projet'!$B$9,Paramètres!$A$1:$I$89,3,0)*VLOOKUP('Données projet'!$B$9,Paramètres!$A$1:$I$89,5,0)</f>
        <v>491.99077200000033</v>
      </c>
      <c r="P150" s="13">
        <f t="shared" si="141"/>
        <v>110.19584819739978</v>
      </c>
      <c r="Q150" s="20">
        <f t="shared" si="108"/>
        <v>1048.8083635104717</v>
      </c>
      <c r="R150" s="59">
        <f t="shared" si="109"/>
        <v>1342.141696843805</v>
      </c>
      <c r="S150" s="59">
        <f ca="1">AVERAGE(OFFSET($R$3,0,0,'Données projet'!$E$9+1,1))-AVERAGE(OFFSET($H$3,0,0,'Données projet'!$E$9+1,1))</f>
        <v>561.16051468364344</v>
      </c>
      <c r="T150" s="59">
        <f t="shared" si="142"/>
        <v>137.34523913145267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126.40588541665083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126.40588541665083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439.00715040000023</v>
      </c>
      <c r="AK150" s="13">
        <f t="shared" si="143"/>
        <v>99.641433121906957</v>
      </c>
      <c r="AL150" s="20">
        <f t="shared" si="112"/>
        <v>938.14628296732155</v>
      </c>
      <c r="AM150" s="59">
        <f t="shared" si="113"/>
        <v>1231.4796163006549</v>
      </c>
      <c r="AN150" s="59">
        <f ca="1">AVERAGE(OFFSET($AM$3,0,0,'Données projet'!$E$10+1,1))-AVERAGE(OFFSET($H$3,0,0,'Données projet'!$E$10+1,1))</f>
        <v>491.82493848755047</v>
      </c>
      <c r="AO150" s="59">
        <f t="shared" si="144"/>
        <v>119.46953275458026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112.79294391024234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112.79294391024234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212.00000000000009</v>
      </c>
      <c r="BE150" s="13">
        <f>BD150*VLOOKUP('Données projet'!$B$11,Paramètres!$A$1:$I$89,3,0)*VLOOKUP('Données projet'!$B$11,Paramètres!$A$1:$I$89,5,0)</f>
        <v>185.20320000000009</v>
      </c>
      <c r="BF150" s="13">
        <f t="shared" si="145"/>
        <v>46.477875402099386</v>
      </c>
      <c r="BG150" s="20">
        <f t="shared" si="115"/>
        <v>403.5112063253232</v>
      </c>
      <c r="BH150" s="59">
        <f t="shared" si="116"/>
        <v>696.84453965865646</v>
      </c>
      <c r="BI150" s="59">
        <f ca="1">AVERAGE(OFFSET($BH$3,0,0,'Données projet'!$E$11+1,1))-AVERAGE(OFFSET($H$3,0,0,'Données projet'!$E$11+1,1))</f>
        <v>216.10252108537389</v>
      </c>
      <c r="BJ150" s="59">
        <f t="shared" si="146"/>
        <v>196.91968622092054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17.264641381450502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0</v>
      </c>
      <c r="BS150" s="22">
        <f t="shared" si="117"/>
        <v>17.264641381450502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>
        <f>BY150*VLOOKUP('Données projet'!$B$12,Paramètres!$A$1:$I$89,3,0)*VLOOKUP('Données projet'!$B$12,Paramètres!$A$1:$I$89,5,0)</f>
        <v>0</v>
      </c>
      <c r="CA150" s="13" t="e">
        <f t="shared" si="147"/>
        <v>#NUM!</v>
      </c>
      <c r="CB150" s="20" t="e">
        <f t="shared" si="118"/>
        <v>#NUM!</v>
      </c>
      <c r="CC150" s="59" t="e">
        <f t="shared" si="119"/>
        <v>#NUM!</v>
      </c>
      <c r="CD150" s="59">
        <f ca="1">AVERAGE(OFFSET($CC$3,0,0,'Données projet'!$E$12+1,1))-AVERAGE(OFFSET($H$3,0,0,'Données projet'!$E$12+1,1))</f>
        <v>152.85416952858094</v>
      </c>
      <c r="CE150" s="59">
        <f t="shared" si="148"/>
        <v>369.87619681979322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12.173104992860857</v>
      </c>
      <c r="CL150" s="21">
        <f>EXP(-LN(2)/25)*CL149+(1-EXP(-LN(2)/25))/(LN(2)/25)*Calculateur!CG150*Calculateur!CI150*VLOOKUP('Données projet'!$B$12,Paramètres!$A$1:$I$89,3,0)*0.475*44/12</f>
        <v>0.56086358694333271</v>
      </c>
      <c r="CM150" s="21">
        <f>EXP(-LN(2)/2)*CM149+(1-EXP(-LN(2)/2))/(LN(2)/2)*CG150*CJ150*VLOOKUP('Données projet'!$B$12,Paramètres!$A$1:$I$89,3,0)*0.475*44/12</f>
        <v>1.1030391648735322E-19</v>
      </c>
      <c r="CN150" s="22">
        <f t="shared" si="120"/>
        <v>12.73396857980419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69.26400000000028</v>
      </c>
      <c r="D151" s="11">
        <f t="shared" si="140"/>
        <v>19.490570545800512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685.12300070442723</v>
      </c>
      <c r="H151" s="66">
        <f t="shared" si="110"/>
        <v>447.91421036726967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8.7559999999999949</v>
      </c>
      <c r="N151" s="13">
        <f>IF('Données projet'!$A$36&gt;35,N150+M151-V150,IF(A151&lt;'Données projet'!$A$36,$K$205^A151,IF(A151='Données projet'!$A$36,'Données projet'!$B$36,N150+M151-V150)))</f>
        <v>493.95400000000029</v>
      </c>
      <c r="O151" s="13">
        <f>N151*VLOOKUP('Données projet'!$B$9,Paramètres!$A$1:$I$89,3,0)*VLOOKUP('Données projet'!$B$9,Paramètres!$A$1:$I$89,5,0)</f>
        <v>500.86935600000032</v>
      </c>
      <c r="P151" s="13">
        <f t="shared" si="141"/>
        <v>111.95116032032719</v>
      </c>
      <c r="Q151" s="20">
        <f t="shared" si="108"/>
        <v>1067.3290659245704</v>
      </c>
      <c r="R151" s="59">
        <f t="shared" si="109"/>
        <v>1360.6623992579036</v>
      </c>
      <c r="S151" s="59">
        <f ca="1">AVERAGE(OFFSET($R$3,0,0,'Données projet'!$E$9+1,1))-AVERAGE(OFFSET($H$3,0,0,'Données projet'!$E$9+1,1))</f>
        <v>561.16051468364344</v>
      </c>
      <c r="T151" s="59">
        <f t="shared" si="142"/>
        <v>137.34523913145267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123.92714310360742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123.92714310360742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446.92957920000026</v>
      </c>
      <c r="AK151" s="13">
        <f t="shared" si="143"/>
        <v>101.22862373176935</v>
      </c>
      <c r="AL151" s="20">
        <f t="shared" si="112"/>
        <v>954.70887010616536</v>
      </c>
      <c r="AM151" s="59">
        <f t="shared" si="113"/>
        <v>1248.0422034394987</v>
      </c>
      <c r="AN151" s="59">
        <f ca="1">AVERAGE(OFFSET($AM$3,0,0,'Données projet'!$E$10+1,1))-AVERAGE(OFFSET($H$3,0,0,'Données projet'!$E$10+1,1))</f>
        <v>491.82493848755047</v>
      </c>
      <c r="AO151" s="59">
        <f t="shared" si="144"/>
        <v>119.46953275458026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110.58114307706515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110.58114307706515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212.00000000000009</v>
      </c>
      <c r="BE151" s="13">
        <f>BD151*VLOOKUP('Données projet'!$B$11,Paramètres!$A$1:$I$89,3,0)*VLOOKUP('Données projet'!$B$11,Paramètres!$A$1:$I$89,5,0)</f>
        <v>185.20320000000009</v>
      </c>
      <c r="BF151" s="13">
        <f t="shared" si="145"/>
        <v>46.477875402099386</v>
      </c>
      <c r="BG151" s="20">
        <f t="shared" si="115"/>
        <v>403.5112063253232</v>
      </c>
      <c r="BH151" s="59">
        <f t="shared" si="116"/>
        <v>696.84453965865646</v>
      </c>
      <c r="BI151" s="59">
        <f ca="1">AVERAGE(OFFSET($BH$3,0,0,'Données projet'!$E$11+1,1))-AVERAGE(OFFSET($H$3,0,0,'Données projet'!$E$11+1,1))</f>
        <v>216.10252108537389</v>
      </c>
      <c r="BJ151" s="59">
        <f t="shared" si="146"/>
        <v>196.91968622092054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16.926092294351712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0</v>
      </c>
      <c r="BS151" s="22">
        <f t="shared" si="117"/>
        <v>16.926092294351712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>
        <f>BY151*VLOOKUP('Données projet'!$B$12,Paramètres!$A$1:$I$89,3,0)*VLOOKUP('Données projet'!$B$12,Paramètres!$A$1:$I$89,5,0)</f>
        <v>0</v>
      </c>
      <c r="CA151" s="13" t="e">
        <f t="shared" si="147"/>
        <v>#NUM!</v>
      </c>
      <c r="CB151" s="20" t="e">
        <f t="shared" si="118"/>
        <v>#NUM!</v>
      </c>
      <c r="CC151" s="59" t="e">
        <f t="shared" si="119"/>
        <v>#NUM!</v>
      </c>
      <c r="CD151" s="59">
        <f ca="1">AVERAGE(OFFSET($CC$3,0,0,'Données projet'!$E$12+1,1))-AVERAGE(OFFSET($H$3,0,0,'Données projet'!$E$12+1,1))</f>
        <v>152.85416952858094</v>
      </c>
      <c r="CE151" s="59">
        <f t="shared" si="148"/>
        <v>369.87619681979322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11.934397828811758</v>
      </c>
      <c r="CL151" s="21">
        <f>EXP(-LN(2)/25)*CL150+(1-EXP(-LN(2)/25))/(LN(2)/25)*Calculateur!CG151*Calculateur!CI151*VLOOKUP('Données projet'!$B$12,Paramètres!$A$1:$I$89,3,0)*0.475*44/12</f>
        <v>0.54552674266383316</v>
      </c>
      <c r="CM151" s="21">
        <f>EXP(-LN(2)/2)*CM150+(1-EXP(-LN(2)/2))/(LN(2)/2)*CG151*CJ151*VLOOKUP('Données projet'!$B$12,Paramètres!$A$1:$I$89,3,0)*0.475*44/12</f>
        <v>7.7996647339642089E-20</v>
      </c>
      <c r="CN151" s="22">
        <f t="shared" si="120"/>
        <v>12.479924571475591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69.732000000000284</v>
      </c>
      <c r="D152" s="11">
        <f t="shared" si="140"/>
        <v>19.606888874982584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689.63352815776261</v>
      </c>
      <c r="H152" s="66">
        <f t="shared" si="110"/>
        <v>448.93189812392848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8.7559999999999949</v>
      </c>
      <c r="N152" s="13">
        <f>IF('Données projet'!$A$36&gt;35,N151+M152-V151,IF(A152&lt;'Données projet'!$A$36,$K$205^A152,IF(A152='Données projet'!$A$36,'Données projet'!$B$36,N151+M152-V151)))</f>
        <v>502.71000000000026</v>
      </c>
      <c r="O152" s="13">
        <f>N152*VLOOKUP('Données projet'!$B$9,Paramètres!$A$1:$I$89,3,0)*VLOOKUP('Données projet'!$B$9,Paramètres!$A$1:$I$89,5,0)</f>
        <v>509.74794000000031</v>
      </c>
      <c r="P152" s="13">
        <f t="shared" si="141"/>
        <v>113.70285415925724</v>
      </c>
      <c r="Q152" s="20">
        <f t="shared" si="108"/>
        <v>1085.8434664940403</v>
      </c>
      <c r="R152" s="59">
        <f t="shared" si="109"/>
        <v>1379.1767998273735</v>
      </c>
      <c r="S152" s="59">
        <f ca="1">AVERAGE(OFFSET($R$3,0,0,'Données projet'!$E$9+1,1))-AVERAGE(OFFSET($H$3,0,0,'Données projet'!$E$9+1,1))</f>
        <v>561.16051468364344</v>
      </c>
      <c r="T152" s="59">
        <f t="shared" si="142"/>
        <v>137.34523913145267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121.49700741543927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121.49700741543927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454.85200800000018</v>
      </c>
      <c r="AK152" s="13">
        <f t="shared" si="143"/>
        <v>102.81254261217163</v>
      </c>
      <c r="AL152" s="20">
        <f t="shared" si="112"/>
        <v>971.26575898286592</v>
      </c>
      <c r="AM152" s="59">
        <f t="shared" si="113"/>
        <v>1264.5990923161992</v>
      </c>
      <c r="AN152" s="59">
        <f ca="1">AVERAGE(OFFSET($AM$3,0,0,'Données projet'!$E$10+1,1))-AVERAGE(OFFSET($H$3,0,0,'Données projet'!$E$10+1,1))</f>
        <v>491.82493848755047</v>
      </c>
      <c r="AO152" s="59">
        <f t="shared" si="144"/>
        <v>119.46953275458026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108.41271430916126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108.41271430916126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212.00000000000009</v>
      </c>
      <c r="BE152" s="13">
        <f>BD152*VLOOKUP('Données projet'!$B$11,Paramètres!$A$1:$I$89,3,0)*VLOOKUP('Données projet'!$B$11,Paramètres!$A$1:$I$89,5,0)</f>
        <v>185.20320000000009</v>
      </c>
      <c r="BF152" s="13">
        <f t="shared" si="145"/>
        <v>46.477875402099386</v>
      </c>
      <c r="BG152" s="20">
        <f t="shared" si="115"/>
        <v>403.5112063253232</v>
      </c>
      <c r="BH152" s="59">
        <f t="shared" si="116"/>
        <v>696.84453965865646</v>
      </c>
      <c r="BI152" s="59">
        <f ca="1">AVERAGE(OFFSET($BH$3,0,0,'Données projet'!$E$11+1,1))-AVERAGE(OFFSET($H$3,0,0,'Données projet'!$E$11+1,1))</f>
        <v>216.10252108537389</v>
      </c>
      <c r="BJ152" s="59">
        <f t="shared" si="146"/>
        <v>196.91968622092054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16.594181948356375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0</v>
      </c>
      <c r="BS152" s="22">
        <f t="shared" si="117"/>
        <v>16.594181948356375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>
        <f>BY152*VLOOKUP('Données projet'!$B$12,Paramètres!$A$1:$I$89,3,0)*VLOOKUP('Données projet'!$B$12,Paramètres!$A$1:$I$89,5,0)</f>
        <v>0</v>
      </c>
      <c r="CA152" s="13" t="e">
        <f t="shared" si="147"/>
        <v>#NUM!</v>
      </c>
      <c r="CB152" s="20" t="e">
        <f t="shared" si="118"/>
        <v>#NUM!</v>
      </c>
      <c r="CC152" s="59" t="e">
        <f t="shared" si="119"/>
        <v>#NUM!</v>
      </c>
      <c r="CD152" s="59">
        <f ca="1">AVERAGE(OFFSET($CC$3,0,0,'Données projet'!$E$12+1,1))-AVERAGE(OFFSET($H$3,0,0,'Données projet'!$E$12+1,1))</f>
        <v>152.85416952858094</v>
      </c>
      <c r="CE152" s="59">
        <f t="shared" si="148"/>
        <v>369.87619681979322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11.700371566652667</v>
      </c>
      <c r="CL152" s="21">
        <f>EXP(-LN(2)/25)*CL151+(1-EXP(-LN(2)/25))/(LN(2)/25)*Calculateur!CG152*Calculateur!CI152*VLOOKUP('Données projet'!$B$12,Paramètres!$A$1:$I$89,3,0)*0.475*44/12</f>
        <v>0.53060928519768602</v>
      </c>
      <c r="CM152" s="21">
        <f>EXP(-LN(2)/2)*CM151+(1-EXP(-LN(2)/2))/(LN(2)/2)*CG152*CJ152*VLOOKUP('Données projet'!$B$12,Paramètres!$A$1:$I$89,3,0)*0.475*44/12</f>
        <v>5.5151958243676612E-20</v>
      </c>
      <c r="CN152" s="22">
        <f t="shared" si="120"/>
        <v>12.230980851850353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70.200000000000287</v>
      </c>
      <c r="D153" s="11">
        <f t="shared" si="140"/>
        <v>19.723116370112255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694.14335443595644</v>
      </c>
      <c r="H153" s="66">
        <f t="shared" si="110"/>
        <v>449.94942767794601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8.7559999999999949</v>
      </c>
      <c r="N153" s="13">
        <f>IF('Données projet'!$A$36&gt;35,N152+M153-V152,IF(A153&lt;'Données projet'!$A$36,$K$205^A153,IF(A153='Données projet'!$A$36,'Données projet'!$B$36,N152+M153-V152)))</f>
        <v>511.46600000000024</v>
      </c>
      <c r="O153" s="13">
        <f>N153*VLOOKUP('Données projet'!$B$9,Paramètres!$A$1:$I$89,3,0)*VLOOKUP('Données projet'!$B$9,Paramètres!$A$1:$I$89,5,0)</f>
        <v>518.62652400000024</v>
      </c>
      <c r="P153" s="13">
        <f t="shared" si="141"/>
        <v>115.45100000763091</v>
      </c>
      <c r="Q153" s="20">
        <f t="shared" si="108"/>
        <v>1104.3516876466242</v>
      </c>
      <c r="R153" s="59">
        <f t="shared" si="109"/>
        <v>1397.6850209799575</v>
      </c>
      <c r="S153" s="59">
        <f ca="1">AVERAGE(OFFSET($R$3,0,0,'Données projet'!$E$9+1,1))-AVERAGE(OFFSET($H$3,0,0,'Données projet'!$E$9+1,1))</f>
        <v>561.16051468364344</v>
      </c>
      <c r="T153" s="59">
        <f t="shared" si="142"/>
        <v>137.34523913145267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119.11452520587969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119.11452520587969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462.77443680000022</v>
      </c>
      <c r="AK153" s="13">
        <f t="shared" si="143"/>
        <v>104.39325332394039</v>
      </c>
      <c r="AL153" s="20">
        <f t="shared" si="112"/>
        <v>987.81706029919644</v>
      </c>
      <c r="AM153" s="59">
        <f t="shared" si="113"/>
        <v>1281.1503936325298</v>
      </c>
      <c r="AN153" s="59">
        <f ca="1">AVERAGE(OFFSET($AM$3,0,0,'Données projet'!$E$10+1,1))-AVERAGE(OFFSET($H$3,0,0,'Données projet'!$E$10+1,1))</f>
        <v>491.82493848755047</v>
      </c>
      <c r="AO153" s="59">
        <f t="shared" si="144"/>
        <v>119.46953275458026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106.28680710678501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106.28680710678501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212.00000000000009</v>
      </c>
      <c r="BE153" s="13">
        <f>BD153*VLOOKUP('Données projet'!$B$11,Paramètres!$A$1:$I$89,3,0)*VLOOKUP('Données projet'!$B$11,Paramètres!$A$1:$I$89,5,0)</f>
        <v>185.20320000000009</v>
      </c>
      <c r="BF153" s="13">
        <f t="shared" si="145"/>
        <v>46.477875402099386</v>
      </c>
      <c r="BG153" s="20">
        <f t="shared" si="115"/>
        <v>403.5112063253232</v>
      </c>
      <c r="BH153" s="59">
        <f t="shared" si="116"/>
        <v>696.84453965865646</v>
      </c>
      <c r="BI153" s="59">
        <f ca="1">AVERAGE(OFFSET($BH$3,0,0,'Données projet'!$E$11+1,1))-AVERAGE(OFFSET($H$3,0,0,'Données projet'!$E$11+1,1))</f>
        <v>216.10252108537389</v>
      </c>
      <c r="BJ153" s="59">
        <f t="shared" si="146"/>
        <v>196.91968622092054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16.268780161800684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0</v>
      </c>
      <c r="BS153" s="22">
        <f t="shared" si="117"/>
        <v>16.268780161800684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>
        <f>BY153*VLOOKUP('Données projet'!$B$12,Paramètres!$A$1:$I$89,3,0)*VLOOKUP('Données projet'!$B$12,Paramètres!$A$1:$I$89,5,0)</f>
        <v>0</v>
      </c>
      <c r="CA153" s="13" t="e">
        <f t="shared" si="147"/>
        <v>#NUM!</v>
      </c>
      <c r="CB153" s="20" t="e">
        <f t="shared" si="118"/>
        <v>#NUM!</v>
      </c>
      <c r="CC153" s="59" t="e">
        <f t="shared" si="119"/>
        <v>#NUM!</v>
      </c>
      <c r="CD153" s="59">
        <f ca="1">AVERAGE(OFFSET($CC$3,0,0,'Données projet'!$E$12+1,1))-AVERAGE(OFFSET($H$3,0,0,'Données projet'!$E$12+1,1))</f>
        <v>152.85416952858094</v>
      </c>
      <c r="CE153" s="59">
        <f t="shared" si="148"/>
        <v>369.87619681979322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11.470934416752591</v>
      </c>
      <c r="CL153" s="21">
        <f>EXP(-LN(2)/25)*CL152+(1-EXP(-LN(2)/25))/(LN(2)/25)*Calculateur!CG153*Calculateur!CI153*VLOOKUP('Données projet'!$B$12,Paramètres!$A$1:$I$89,3,0)*0.475*44/12</f>
        <v>0.51609974639042566</v>
      </c>
      <c r="CM153" s="21">
        <f>EXP(-LN(2)/2)*CM152+(1-EXP(-LN(2)/2))/(LN(2)/2)*CG153*CJ153*VLOOKUP('Données projet'!$B$12,Paramètres!$A$1:$I$89,3,0)*0.475*44/12</f>
        <v>3.8998323669821044E-20</v>
      </c>
      <c r="CN153" s="22">
        <f t="shared" si="120"/>
        <v>11.987034163143017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70.668000000000291</v>
      </c>
      <c r="D154" s="11">
        <f t="shared" si="140"/>
        <v>19.839253706984934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698.65248475567535</v>
      </c>
      <c r="H154" s="66">
        <f t="shared" si="110"/>
        <v>450.96680020633255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8.7559999999999949</v>
      </c>
      <c r="N154" s="13">
        <f>IF('Données projet'!$A$36&gt;35,N153+M154-V153,IF(A154&lt;'Données projet'!$A$36,$K$205^A154,IF(A154='Données projet'!$A$36,'Données projet'!$B$36,N153+M154-V153)))</f>
        <v>520.22200000000021</v>
      </c>
      <c r="O154" s="13">
        <f>N154*VLOOKUP('Données projet'!$B$9,Paramètres!$A$1:$I$89,3,0)*VLOOKUP('Données projet'!$B$9,Paramètres!$A$1:$I$89,5,0)</f>
        <v>527.50510800000029</v>
      </c>
      <c r="P154" s="13">
        <f t="shared" si="141"/>
        <v>117.19566561421402</v>
      </c>
      <c r="Q154" s="20">
        <f t="shared" ref="Q154:Q203" si="162">(O154+P154)*0.475*44/12</f>
        <v>1122.8538473780898</v>
      </c>
      <c r="R154" s="59">
        <f t="shared" si="109"/>
        <v>1416.187180711423</v>
      </c>
      <c r="S154" s="59">
        <f ca="1">AVERAGE(OFFSET($R$3,0,0,'Données projet'!$E$9+1,1))-AVERAGE(OFFSET($H$3,0,0,'Données projet'!$E$9+1,1))</f>
        <v>561.16051468364344</v>
      </c>
      <c r="T154" s="59">
        <f t="shared" si="142"/>
        <v>137.34523913145267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116.7787620192789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116.7787620192789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470.69686560000014</v>
      </c>
      <c r="AK154" s="13">
        <f t="shared" ref="AK154:AK203" si="164">EXP(-1.0587+0.8836*LN(AJ154)+0.284)</f>
        <v>105.97081712695257</v>
      </c>
      <c r="AL154" s="20">
        <f t="shared" ref="AL154:AL203" si="165">(AJ154+AK154)*0.475*44/12</f>
        <v>1004.3628807494425</v>
      </c>
      <c r="AM154" s="59">
        <f t="shared" si="113"/>
        <v>1297.6962140827759</v>
      </c>
      <c r="AN154" s="59">
        <f ca="1">AVERAGE(OFFSET($AM$3,0,0,'Données projet'!$E$10+1,1))-AVERAGE(OFFSET($H$3,0,0,'Données projet'!$E$10+1,1))</f>
        <v>491.82493848755047</v>
      </c>
      <c r="AO154" s="59">
        <f t="shared" si="144"/>
        <v>119.46953275458026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104.202587647972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104.202587647972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212.00000000000009</v>
      </c>
      <c r="BE154" s="13">
        <f>BD154*VLOOKUP('Données projet'!$B$11,Paramètres!$A$1:$I$89,3,0)*VLOOKUP('Données projet'!$B$11,Paramètres!$A$1:$I$89,5,0)</f>
        <v>185.20320000000009</v>
      </c>
      <c r="BF154" s="13">
        <f t="shared" ref="BF154:BF203" si="167">EXP(-1.0587+0.8836*LN(BE154)+0.284)</f>
        <v>46.477875402099386</v>
      </c>
      <c r="BG154" s="20">
        <f t="shared" ref="BG154:BG203" si="168">(BE154+BF154)*0.475*44/12</f>
        <v>403.5112063253232</v>
      </c>
      <c r="BH154" s="59">
        <f t="shared" si="116"/>
        <v>696.84453965865646</v>
      </c>
      <c r="BI154" s="59">
        <f ca="1">AVERAGE(OFFSET($BH$3,0,0,'Données projet'!$E$11+1,1))-AVERAGE(OFFSET($H$3,0,0,'Données projet'!$E$11+1,1))</f>
        <v>216.10252108537389</v>
      </c>
      <c r="BJ154" s="59">
        <f t="shared" si="146"/>
        <v>196.91968622092054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15.949759305803859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0</v>
      </c>
      <c r="BS154" s="22">
        <f t="shared" ref="BS154:BS203" si="169">SUM(BP154:BR154)</f>
        <v>15.949759305803859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>
        <f>BY154*VLOOKUP('Données projet'!$B$12,Paramètres!$A$1:$I$89,3,0)*VLOOKUP('Données projet'!$B$12,Paramètres!$A$1:$I$89,5,0)</f>
        <v>0</v>
      </c>
      <c r="CA154" s="13" t="e">
        <f t="shared" ref="CA154:CA203" si="170">EXP(-1.0587+0.8836*LN(BZ154)+0.284)</f>
        <v>#NUM!</v>
      </c>
      <c r="CB154" s="20" t="e">
        <f t="shared" ref="CB154:CB203" si="171">(BZ154+CA154)*0.475*44/12</f>
        <v>#NUM!</v>
      </c>
      <c r="CC154" s="59" t="e">
        <f t="shared" si="119"/>
        <v>#NUM!</v>
      </c>
      <c r="CD154" s="59">
        <f ca="1">AVERAGE(OFFSET($CC$3,0,0,'Données projet'!$E$12+1,1))-AVERAGE(OFFSET($H$3,0,0,'Données projet'!$E$12+1,1))</f>
        <v>152.85416952858094</v>
      </c>
      <c r="CE154" s="59">
        <f t="shared" si="148"/>
        <v>369.87619681979322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11.245996389419213</v>
      </c>
      <c r="CL154" s="21">
        <f>EXP(-LN(2)/25)*CL153+(1-EXP(-LN(2)/25))/(LN(2)/25)*Calculateur!CG154*Calculateur!CI154*VLOOKUP('Données projet'!$B$12,Paramètres!$A$1:$I$89,3,0)*0.475*44/12</f>
        <v>0.50198697168487338</v>
      </c>
      <c r="CM154" s="21">
        <f>EXP(-LN(2)/2)*CM153+(1-EXP(-LN(2)/2))/(LN(2)/2)*CG154*CJ154*VLOOKUP('Données projet'!$B$12,Paramètres!$A$1:$I$89,3,0)*0.475*44/12</f>
        <v>2.7575979121838306E-20</v>
      </c>
      <c r="CN154" s="22">
        <f t="shared" ref="CN154:CN203" si="172">SUM(CK154:CM154)</f>
        <v>11.747983361104087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71.136000000000294</v>
      </c>
      <c r="D155" s="11">
        <f t="shared" si="140"/>
        <v>19.955301551927551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703.16092426049556</v>
      </c>
      <c r="H155" s="66">
        <f t="shared" si="110"/>
        <v>451.98401686960767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8.7559999999999949</v>
      </c>
      <c r="N155" s="13">
        <f>IF('Données projet'!$A$36&gt;35,N154+M155-V154,IF(A155&lt;'Données projet'!$A$36,$K$205^A155,IF(A155='Données projet'!$A$36,'Données projet'!$B$36,N154+M155-V154)))</f>
        <v>528.97800000000018</v>
      </c>
      <c r="O155" s="13">
        <f>N155*VLOOKUP('Données projet'!$B$9,Paramètres!$A$1:$I$89,3,0)*VLOOKUP('Données projet'!$B$9,Paramètres!$A$1:$I$89,5,0)</f>
        <v>536.38369200000022</v>
      </c>
      <c r="P155" s="13">
        <f t="shared" si="141"/>
        <v>118.93691631646743</v>
      </c>
      <c r="Q155" s="20">
        <f t="shared" si="162"/>
        <v>1141.3500594845145</v>
      </c>
      <c r="R155" s="59">
        <f t="shared" si="109"/>
        <v>1434.6833928178478</v>
      </c>
      <c r="S155" s="59">
        <f ca="1">AVERAGE(OFFSET($R$3,0,0,'Données projet'!$E$9+1,1))-AVERAGE(OFFSET($H$3,0,0,'Données projet'!$E$9+1,1))</f>
        <v>561.16051468364344</v>
      </c>
      <c r="T155" s="59">
        <f t="shared" si="142"/>
        <v>137.34523913145267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114.4888017240925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114.4888017240925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478.61929440000017</v>
      </c>
      <c r="AK155" s="13">
        <f t="shared" si="164"/>
        <v>107.54529310073205</v>
      </c>
      <c r="AL155" s="20">
        <f t="shared" si="165"/>
        <v>1020.9033232304419</v>
      </c>
      <c r="AM155" s="59">
        <f t="shared" si="113"/>
        <v>1314.2366565637751</v>
      </c>
      <c r="AN155" s="59">
        <f ca="1">AVERAGE(OFFSET($AM$3,0,0,'Données projet'!$E$10+1,1))-AVERAGE(OFFSET($H$3,0,0,'Données projet'!$E$10+1,1))</f>
        <v>491.82493848755047</v>
      </c>
      <c r="AO155" s="59">
        <f t="shared" si="144"/>
        <v>119.46953275458026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102.15923846149796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102.15923846149796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212.00000000000009</v>
      </c>
      <c r="BE155" s="13">
        <f>BD155*VLOOKUP('Données projet'!$B$11,Paramètres!$A$1:$I$89,3,0)*VLOOKUP('Données projet'!$B$11,Paramètres!$A$1:$I$89,5,0)</f>
        <v>185.20320000000009</v>
      </c>
      <c r="BF155" s="13">
        <f t="shared" si="167"/>
        <v>46.477875402099386</v>
      </c>
      <c r="BG155" s="20">
        <f t="shared" si="168"/>
        <v>403.5112063253232</v>
      </c>
      <c r="BH155" s="59">
        <f t="shared" si="116"/>
        <v>696.84453965865646</v>
      </c>
      <c r="BI155" s="59">
        <f ca="1">AVERAGE(OFFSET($BH$3,0,0,'Données projet'!$E$11+1,1))-AVERAGE(OFFSET($H$3,0,0,'Données projet'!$E$11+1,1))</f>
        <v>216.10252108537389</v>
      </c>
      <c r="BJ155" s="59">
        <f t="shared" si="146"/>
        <v>196.91968622092054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15.636994254209624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0</v>
      </c>
      <c r="BS155" s="22">
        <f t="shared" si="169"/>
        <v>15.636994254209624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>
        <f>BY155*VLOOKUP('Données projet'!$B$12,Paramètres!$A$1:$I$89,3,0)*VLOOKUP('Données projet'!$B$12,Paramètres!$A$1:$I$89,5,0)</f>
        <v>0</v>
      </c>
      <c r="CA155" s="13" t="e">
        <f t="shared" si="170"/>
        <v>#NUM!</v>
      </c>
      <c r="CB155" s="20" t="e">
        <f t="shared" si="171"/>
        <v>#NUM!</v>
      </c>
      <c r="CC155" s="59" t="e">
        <f t="shared" si="119"/>
        <v>#NUM!</v>
      </c>
      <c r="CD155" s="59">
        <f ca="1">AVERAGE(OFFSET($CC$3,0,0,'Données projet'!$E$12+1,1))-AVERAGE(OFFSET($H$3,0,0,'Données projet'!$E$12+1,1))</f>
        <v>152.85416952858094</v>
      </c>
      <c r="CE155" s="59">
        <f t="shared" si="148"/>
        <v>369.87619681979322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11.025469259603192</v>
      </c>
      <c r="CL155" s="21">
        <f>EXP(-LN(2)/25)*CL154+(1-EXP(-LN(2)/25))/(LN(2)/25)*Calculateur!CG155*Calculateur!CI155*VLOOKUP('Données projet'!$B$12,Paramètres!$A$1:$I$89,3,0)*0.475*44/12</f>
        <v>0.48826011154580301</v>
      </c>
      <c r="CM155" s="21">
        <f>EXP(-LN(2)/2)*CM154+(1-EXP(-LN(2)/2))/(LN(2)/2)*CG155*CJ155*VLOOKUP('Données projet'!$B$12,Paramètres!$A$1:$I$89,3,0)*0.475*44/12</f>
        <v>1.9499161834910522E-20</v>
      </c>
      <c r="CN155" s="22">
        <f t="shared" si="172"/>
        <v>11.513729371148994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71.604000000000298</v>
      </c>
      <c r="D156" s="11">
        <f t="shared" si="140"/>
        <v>20.071260561992666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707.66867802240176</v>
      </c>
      <c r="H156" s="66">
        <f t="shared" si="110"/>
        <v>453.00107881213773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8.7559999999999949</v>
      </c>
      <c r="N156" s="13">
        <f>IF('Données projet'!$A$36&gt;35,N155+M156-V155,IF(A156&lt;'Données projet'!$A$36,$K$205^A156,IF(A156='Données projet'!$A$36,'Données projet'!$B$36,N155+M156-V155)))</f>
        <v>537.73400000000015</v>
      </c>
      <c r="O156" s="13">
        <f>N156*VLOOKUP('Données projet'!$B$9,Paramètres!$A$1:$I$89,3,0)*VLOOKUP('Données projet'!$B$9,Paramètres!$A$1:$I$89,5,0)</f>
        <v>545.26227600000027</v>
      </c>
      <c r="P156" s="13">
        <f t="shared" si="141"/>
        <v>120.6748151648366</v>
      </c>
      <c r="Q156" s="20">
        <f t="shared" si="162"/>
        <v>1159.8404337787574</v>
      </c>
      <c r="R156" s="59">
        <f t="shared" si="109"/>
        <v>1453.1737671120907</v>
      </c>
      <c r="S156" s="59">
        <f ca="1">AVERAGE(OFFSET($R$3,0,0,'Données projet'!$E$9+1,1))-AVERAGE(OFFSET($H$3,0,0,'Données projet'!$E$9+1,1))</f>
        <v>561.16051468364344</v>
      </c>
      <c r="T156" s="59">
        <f t="shared" si="142"/>
        <v>137.34523913145267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112.24374615355683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112.24374615355683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486.54172320000009</v>
      </c>
      <c r="AK156" s="13">
        <f t="shared" si="164"/>
        <v>109.11673825683451</v>
      </c>
      <c r="AL156" s="20">
        <f t="shared" si="165"/>
        <v>1037.4384870373203</v>
      </c>
      <c r="AM156" s="59">
        <f t="shared" si="113"/>
        <v>1330.7718203706536</v>
      </c>
      <c r="AN156" s="59">
        <f ca="1">AVERAGE(OFFSET($AM$3,0,0,'Données projet'!$E$10+1,1))-AVERAGE(OFFSET($H$3,0,0,'Données projet'!$E$10+1,1))</f>
        <v>491.82493848755047</v>
      </c>
      <c r="AO156" s="59">
        <f t="shared" si="144"/>
        <v>119.46953275458026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100.15595810625075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100.15595810625075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212.00000000000009</v>
      </c>
      <c r="BE156" s="13">
        <f>BD156*VLOOKUP('Données projet'!$B$11,Paramètres!$A$1:$I$89,3,0)*VLOOKUP('Données projet'!$B$11,Paramètres!$A$1:$I$89,5,0)</f>
        <v>185.20320000000009</v>
      </c>
      <c r="BF156" s="13">
        <f t="shared" si="167"/>
        <v>46.477875402099386</v>
      </c>
      <c r="BG156" s="20">
        <f t="shared" si="168"/>
        <v>403.5112063253232</v>
      </c>
      <c r="BH156" s="59">
        <f t="shared" si="116"/>
        <v>696.84453965865646</v>
      </c>
      <c r="BI156" s="59">
        <f ca="1">AVERAGE(OFFSET($BH$3,0,0,'Données projet'!$E$11+1,1))-AVERAGE(OFFSET($H$3,0,0,'Données projet'!$E$11+1,1))</f>
        <v>216.10252108537389</v>
      </c>
      <c r="BJ156" s="59">
        <f t="shared" si="146"/>
        <v>196.91968622092054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15.330362334509307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0</v>
      </c>
      <c r="BS156" s="22">
        <f t="shared" si="169"/>
        <v>15.330362334509307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>
        <f>BY156*VLOOKUP('Données projet'!$B$12,Paramètres!$A$1:$I$89,3,0)*VLOOKUP('Données projet'!$B$12,Paramètres!$A$1:$I$89,5,0)</f>
        <v>0</v>
      </c>
      <c r="CA156" s="13" t="e">
        <f t="shared" si="170"/>
        <v>#NUM!</v>
      </c>
      <c r="CB156" s="20" t="e">
        <f t="shared" si="171"/>
        <v>#NUM!</v>
      </c>
      <c r="CC156" s="59" t="e">
        <f t="shared" si="119"/>
        <v>#NUM!</v>
      </c>
      <c r="CD156" s="59">
        <f ca="1">AVERAGE(OFFSET($CC$3,0,0,'Données projet'!$E$12+1,1))-AVERAGE(OFFSET($H$3,0,0,'Données projet'!$E$12+1,1))</f>
        <v>152.85416952858094</v>
      </c>
      <c r="CE156" s="59">
        <f t="shared" si="148"/>
        <v>369.87619681979322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10.809266532294595</v>
      </c>
      <c r="CL156" s="21">
        <f>EXP(-LN(2)/25)*CL155+(1-EXP(-LN(2)/25))/(LN(2)/25)*Calculateur!CG156*Calculateur!CI156*VLOOKUP('Données projet'!$B$12,Paramètres!$A$1:$I$89,3,0)*0.475*44/12</f>
        <v>0.47490861311909971</v>
      </c>
      <c r="CM156" s="21">
        <f>EXP(-LN(2)/2)*CM155+(1-EXP(-LN(2)/2))/(LN(2)/2)*CG156*CJ156*VLOOKUP('Données projet'!$B$12,Paramètres!$A$1:$I$89,3,0)*0.475*44/12</f>
        <v>1.3787989560919153E-20</v>
      </c>
      <c r="CN156" s="22">
        <f t="shared" si="172"/>
        <v>11.284175145413695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72.072000000000301</v>
      </c>
      <c r="D157" s="11">
        <f t="shared" si="140"/>
        <v>20.18713138514735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712.17575104324499</v>
      </c>
      <c r="H157" s="66">
        <f t="shared" si="110"/>
        <v>454.01798716246549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>
        <f>VLOOKUP(A157,'Données projet'!$A$35:$I$55,2,0)</f>
        <v>546.49</v>
      </c>
      <c r="L157" s="12">
        <f>VLOOKUP(A157,'Données projet'!$A$35:$I$55,9,0)</f>
        <v>8.7559999999999949</v>
      </c>
      <c r="M157" s="12">
        <f t="array" ref="M157">INDEX(L:L,MIN(IF(ISNUMBER(L157:L353),ROW(L157:L353),"")))</f>
        <v>8.7559999999999949</v>
      </c>
      <c r="N157" s="13">
        <f>IF('Données projet'!$A$36&gt;35,N156+M157-V156,IF(A157&lt;'Données projet'!$A$36,$K$205^A157,IF(A157='Données projet'!$A$36,'Données projet'!$B$36,N156+M157-V156)))</f>
        <v>546.49000000000012</v>
      </c>
      <c r="O157" s="13">
        <f>N157*VLOOKUP('Données projet'!$B$9,Paramètres!$A$1:$I$89,3,0)*VLOOKUP('Données projet'!$B$9,Paramètres!$A$1:$I$89,5,0)</f>
        <v>554.1408600000002</v>
      </c>
      <c r="P157" s="13">
        <f t="shared" si="141"/>
        <v>122.40942303871556</v>
      </c>
      <c r="Q157" s="20">
        <f t="shared" si="162"/>
        <v>1178.3250762924299</v>
      </c>
      <c r="R157" s="59">
        <f t="shared" si="109"/>
        <v>1471.6584096257632</v>
      </c>
      <c r="S157" s="59">
        <f ca="1">AVERAGE(OFFSET($R$3,0,0,'Données projet'!$E$9+1,1))-AVERAGE(OFFSET($H$3,0,0,'Données projet'!$E$9+1,1))</f>
        <v>561.16051468364344</v>
      </c>
      <c r="T157" s="59">
        <f t="shared" si="142"/>
        <v>137.34523913145267</v>
      </c>
      <c r="U157" s="15">
        <f>IF(ISNA(VLOOKUP(A157,'Données projet'!$A$35:$I$55,3,0)),0,VLOOKUP(A157,'Données projet'!$A$35:$I$55,3,0))</f>
        <v>13</v>
      </c>
      <c r="V157" s="15">
        <f>IF(ISNA(VLOOKUP(A157,'Données projet'!$A$35:$I$55,4,0)),0,VLOOKUP(A157,'Données projet'!$A$35:$I$55,4,0))</f>
        <v>55.13</v>
      </c>
      <c r="W157" s="16">
        <f>IF(ISNA(VLOOKUP(A157,'Données projet'!$A$35:$I$55,5,0)),0%,VLOOKUP(A157,'Données projet'!$A$35:$I$55,5,0)*VLOOKUP('Données projet'!$B$9,Paramètres!$A$1:$I$89,7,0))</f>
        <v>0.43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136.61577140736321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136.61577140736321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494.46415200000013</v>
      </c>
      <c r="AK157" s="13">
        <f t="shared" si="164"/>
        <v>110.68520764370504</v>
      </c>
      <c r="AL157" s="20">
        <f t="shared" si="165"/>
        <v>1053.9684680461196</v>
      </c>
      <c r="AM157" s="59">
        <f t="shared" si="113"/>
        <v>1347.3018013794529</v>
      </c>
      <c r="AN157" s="59">
        <f ca="1">AVERAGE(OFFSET($AM$3,0,0,'Données projet'!$E$10+1,1))-AVERAGE(OFFSET($H$3,0,0,'Données projet'!$E$10+1,1))</f>
        <v>491.82493848755047</v>
      </c>
      <c r="AO157" s="59">
        <f t="shared" si="144"/>
        <v>119.46953275458026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121.90330371733953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121.90330371733953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212.00000000000009</v>
      </c>
      <c r="BE157" s="13">
        <f>BD157*VLOOKUP('Données projet'!$B$11,Paramètres!$A$1:$I$89,3,0)*VLOOKUP('Données projet'!$B$11,Paramètres!$A$1:$I$89,5,0)</f>
        <v>185.20320000000009</v>
      </c>
      <c r="BF157" s="13">
        <f t="shared" si="167"/>
        <v>46.477875402099386</v>
      </c>
      <c r="BG157" s="20">
        <f t="shared" si="168"/>
        <v>403.5112063253232</v>
      </c>
      <c r="BH157" s="59">
        <f t="shared" si="116"/>
        <v>696.84453965865646</v>
      </c>
      <c r="BI157" s="59">
        <f ca="1">AVERAGE(OFFSET($BH$3,0,0,'Données projet'!$E$11+1,1))-AVERAGE(OFFSET($H$3,0,0,'Données projet'!$E$11+1,1))</f>
        <v>216.10252108537389</v>
      </c>
      <c r="BJ157" s="59">
        <f t="shared" si="146"/>
        <v>196.91968622092054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15.029743279727308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0</v>
      </c>
      <c r="BS157" s="22">
        <f t="shared" si="169"/>
        <v>15.029743279727308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>
        <f>BY157*VLOOKUP('Données projet'!$B$12,Paramètres!$A$1:$I$89,3,0)*VLOOKUP('Données projet'!$B$12,Paramètres!$A$1:$I$89,5,0)</f>
        <v>0</v>
      </c>
      <c r="CA157" s="13" t="e">
        <f t="shared" si="170"/>
        <v>#NUM!</v>
      </c>
      <c r="CB157" s="20" t="e">
        <f t="shared" si="171"/>
        <v>#NUM!</v>
      </c>
      <c r="CC157" s="59" t="e">
        <f t="shared" si="119"/>
        <v>#NUM!</v>
      </c>
      <c r="CD157" s="59">
        <f ca="1">AVERAGE(OFFSET($CC$3,0,0,'Données projet'!$E$12+1,1))-AVERAGE(OFFSET($H$3,0,0,'Données projet'!$E$12+1,1))</f>
        <v>152.85416952858094</v>
      </c>
      <c r="CE157" s="59">
        <f t="shared" si="148"/>
        <v>369.87619681979322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10.597303408597877</v>
      </c>
      <c r="CL157" s="21">
        <f>EXP(-LN(2)/25)*CL156+(1-EXP(-LN(2)/25))/(LN(2)/25)*Calculateur!CG157*Calculateur!CI157*VLOOKUP('Données projet'!$B$12,Paramètres!$A$1:$I$89,3,0)*0.475*44/12</f>
        <v>0.46192221211899936</v>
      </c>
      <c r="CM157" s="21">
        <f>EXP(-LN(2)/2)*CM156+(1-EXP(-LN(2)/2))/(LN(2)/2)*CG157*CJ157*VLOOKUP('Données projet'!$B$12,Paramètres!$A$1:$I$89,3,0)*0.475*44/12</f>
        <v>9.7495809174552611E-21</v>
      </c>
      <c r="CN157" s="22">
        <f t="shared" si="172"/>
        <v>11.059225620716877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72.540000000000305</v>
      </c>
      <c r="D158" s="11">
        <f t="shared" si="140"/>
        <v>20.302914660456867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716.68214825616053</v>
      </c>
      <c r="H158" s="66">
        <f t="shared" si="110"/>
        <v>455.03474303362952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8.8960000000000043</v>
      </c>
      <c r="N158" s="13">
        <f>IF('Données projet'!$A$36&gt;35,N157+M158-V157,IF(A158&lt;'Données projet'!$A$36,$K$205^A158,IF(A158='Données projet'!$A$36,'Données projet'!$B$36,N157+M158-V157)))</f>
        <v>500.25600000000009</v>
      </c>
      <c r="O158" s="13">
        <f>N158*VLOOKUP('Données projet'!$B$9,Paramètres!$A$1:$I$89,3,0)*VLOOKUP('Données projet'!$B$9,Paramètres!$A$1:$I$89,5,0)</f>
        <v>507.25958400000013</v>
      </c>
      <c r="P158" s="13">
        <f t="shared" si="141"/>
        <v>113.2122765749441</v>
      </c>
      <c r="Q158" s="20">
        <f t="shared" si="162"/>
        <v>1080.6551571680279</v>
      </c>
      <c r="R158" s="59">
        <f t="shared" si="109"/>
        <v>1373.9884905013612</v>
      </c>
      <c r="S158" s="59">
        <f ca="1">AVERAGE(OFFSET($R$3,0,0,'Données projet'!$E$9+1,1))-AVERAGE(OFFSET($H$3,0,0,'Données projet'!$E$9+1,1))</f>
        <v>561.16051468364344</v>
      </c>
      <c r="T158" s="59">
        <f t="shared" si="142"/>
        <v>137.34523913145267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133.93681945745749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133.93681945745749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452.63162880000004</v>
      </c>
      <c r="AK158" s="13">
        <f t="shared" si="164"/>
        <v>102.36895191108759</v>
      </c>
      <c r="AL158" s="20">
        <f t="shared" si="165"/>
        <v>966.62601140514414</v>
      </c>
      <c r="AM158" s="59">
        <f t="shared" si="113"/>
        <v>1259.9593447384775</v>
      </c>
      <c r="AN158" s="59">
        <f ca="1">AVERAGE(OFFSET($AM$3,0,0,'Données projet'!$E$10+1,1))-AVERAGE(OFFSET($H$3,0,0,'Données projet'!$E$10+1,1))</f>
        <v>491.82493848755047</v>
      </c>
      <c r="AO158" s="59">
        <f t="shared" si="144"/>
        <v>119.46953275458026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119.51285428511595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119.51285428511595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212.00000000000009</v>
      </c>
      <c r="BE158" s="13">
        <f>BD158*VLOOKUP('Données projet'!$B$11,Paramètres!$A$1:$I$89,3,0)*VLOOKUP('Données projet'!$B$11,Paramètres!$A$1:$I$89,5,0)</f>
        <v>185.20320000000009</v>
      </c>
      <c r="BF158" s="13">
        <f t="shared" si="167"/>
        <v>46.477875402099386</v>
      </c>
      <c r="BG158" s="20">
        <f t="shared" si="168"/>
        <v>403.5112063253232</v>
      </c>
      <c r="BH158" s="59">
        <f t="shared" si="116"/>
        <v>696.84453965865646</v>
      </c>
      <c r="BI158" s="59">
        <f ca="1">AVERAGE(OFFSET($BH$3,0,0,'Données projet'!$E$11+1,1))-AVERAGE(OFFSET($H$3,0,0,'Données projet'!$E$11+1,1))</f>
        <v>216.10252108537389</v>
      </c>
      <c r="BJ158" s="59">
        <f t="shared" si="146"/>
        <v>196.91968622092054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14.735019181250067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0</v>
      </c>
      <c r="BS158" s="22">
        <f t="shared" si="169"/>
        <v>14.735019181250067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>
        <f>BY158*VLOOKUP('Données projet'!$B$12,Paramètres!$A$1:$I$89,3,0)*VLOOKUP('Données projet'!$B$12,Paramètres!$A$1:$I$89,5,0)</f>
        <v>0</v>
      </c>
      <c r="CA158" s="13" t="e">
        <f t="shared" si="170"/>
        <v>#NUM!</v>
      </c>
      <c r="CB158" s="20" t="e">
        <f t="shared" si="171"/>
        <v>#NUM!</v>
      </c>
      <c r="CC158" s="59" t="e">
        <f t="shared" si="119"/>
        <v>#NUM!</v>
      </c>
      <c r="CD158" s="59">
        <f ca="1">AVERAGE(OFFSET($CC$3,0,0,'Données projet'!$E$12+1,1))-AVERAGE(OFFSET($H$3,0,0,'Données projet'!$E$12+1,1))</f>
        <v>152.85416952858094</v>
      </c>
      <c r="CE158" s="59">
        <f t="shared" si="148"/>
        <v>369.87619681979322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10.389496752472112</v>
      </c>
      <c r="CL158" s="21">
        <f>EXP(-LN(2)/25)*CL157+(1-EXP(-LN(2)/25))/(LN(2)/25)*Calculateur!CG158*Calculateur!CI158*VLOOKUP('Données projet'!$B$12,Paramètres!$A$1:$I$89,3,0)*0.475*44/12</f>
        <v>0.44929092493717193</v>
      </c>
      <c r="CM158" s="21">
        <f>EXP(-LN(2)/2)*CM157+(1-EXP(-LN(2)/2))/(LN(2)/2)*CG158*CJ158*VLOOKUP('Données projet'!$B$12,Paramètres!$A$1:$I$89,3,0)*0.475*44/12</f>
        <v>6.8939947804595765E-21</v>
      </c>
      <c r="CN158" s="22">
        <f t="shared" si="172"/>
        <v>10.838787677409284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73.008000000000308</v>
      </c>
      <c r="D159" s="11">
        <f t="shared" si="140"/>
        <v>20.418611018263718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721.1878745269504</v>
      </c>
      <c r="H159" s="66">
        <f t="shared" si="110"/>
        <v>456.05134752347647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8.8960000000000043</v>
      </c>
      <c r="N159" s="13">
        <f>IF('Données projet'!$A$36&gt;35,N158+M159-V158,IF(A159&lt;'Données projet'!$A$36,$K$205^A159,IF(A159='Données projet'!$A$36,'Données projet'!$B$36,N158+M159-V158)))</f>
        <v>509.1520000000001</v>
      </c>
      <c r="O159" s="13">
        <f>N159*VLOOKUP('Données projet'!$B$9,Paramètres!$A$1:$I$89,3,0)*VLOOKUP('Données projet'!$B$9,Paramètres!$A$1:$I$89,5,0)</f>
        <v>516.2801280000001</v>
      </c>
      <c r="P159" s="13">
        <f t="shared" si="141"/>
        <v>114.98934821706453</v>
      </c>
      <c r="Q159" s="20">
        <f t="shared" si="162"/>
        <v>1099.4610044113876</v>
      </c>
      <c r="R159" s="59">
        <f t="shared" si="109"/>
        <v>1392.7943377447209</v>
      </c>
      <c r="S159" s="59">
        <f ca="1">AVERAGE(OFFSET($R$3,0,0,'Données projet'!$E$9+1,1))-AVERAGE(OFFSET($H$3,0,0,'Données projet'!$E$9+1,1))</f>
        <v>561.16051468364344</v>
      </c>
      <c r="T159" s="59">
        <f t="shared" si="142"/>
        <v>137.34523913145267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131.31040012129006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131.31040012129006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460.68072960000006</v>
      </c>
      <c r="AK159" s="13">
        <f t="shared" si="164"/>
        <v>103.97581794168418</v>
      </c>
      <c r="AL159" s="20">
        <f t="shared" si="165"/>
        <v>983.44348696843338</v>
      </c>
      <c r="AM159" s="59">
        <f t="shared" si="113"/>
        <v>1276.7768203017667</v>
      </c>
      <c r="AN159" s="59">
        <f ca="1">AVERAGE(OFFSET($AM$3,0,0,'Données projet'!$E$10+1,1))-AVERAGE(OFFSET($H$3,0,0,'Données projet'!$E$10+1,1))</f>
        <v>491.82493848755047</v>
      </c>
      <c r="AO159" s="59">
        <f t="shared" si="144"/>
        <v>119.46953275458026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117.16928010822809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117.16928010822809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212.00000000000009</v>
      </c>
      <c r="BE159" s="13">
        <f>BD159*VLOOKUP('Données projet'!$B$11,Paramètres!$A$1:$I$89,3,0)*VLOOKUP('Données projet'!$B$11,Paramètres!$A$1:$I$89,5,0)</f>
        <v>185.20320000000009</v>
      </c>
      <c r="BF159" s="13">
        <f t="shared" si="167"/>
        <v>46.477875402099386</v>
      </c>
      <c r="BG159" s="20">
        <f t="shared" si="168"/>
        <v>403.5112063253232</v>
      </c>
      <c r="BH159" s="59">
        <f t="shared" si="116"/>
        <v>696.84453965865646</v>
      </c>
      <c r="BI159" s="59">
        <f ca="1">AVERAGE(OFFSET($BH$3,0,0,'Données projet'!$E$11+1,1))-AVERAGE(OFFSET($H$3,0,0,'Données projet'!$E$11+1,1))</f>
        <v>216.10252108537389</v>
      </c>
      <c r="BJ159" s="59">
        <f t="shared" si="146"/>
        <v>196.91968622092054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14.446074442580015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0</v>
      </c>
      <c r="BS159" s="22">
        <f t="shared" si="169"/>
        <v>14.446074442580015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>
        <f>BY159*VLOOKUP('Données projet'!$B$12,Paramètres!$A$1:$I$89,3,0)*VLOOKUP('Données projet'!$B$12,Paramètres!$A$1:$I$89,5,0)</f>
        <v>0</v>
      </c>
      <c r="CA159" s="13" t="e">
        <f t="shared" si="170"/>
        <v>#NUM!</v>
      </c>
      <c r="CB159" s="20" t="e">
        <f t="shared" si="171"/>
        <v>#NUM!</v>
      </c>
      <c r="CC159" s="59" t="e">
        <f t="shared" si="119"/>
        <v>#NUM!</v>
      </c>
      <c r="CD159" s="59">
        <f ca="1">AVERAGE(OFFSET($CC$3,0,0,'Données projet'!$E$12+1,1))-AVERAGE(OFFSET($H$3,0,0,'Données projet'!$E$12+1,1))</f>
        <v>152.85416952858094</v>
      </c>
      <c r="CE159" s="59">
        <f t="shared" si="148"/>
        <v>369.87619681979322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10.18576505812343</v>
      </c>
      <c r="CL159" s="21">
        <f>EXP(-LN(2)/25)*CL158+(1-EXP(-LN(2)/25))/(LN(2)/25)*Calculateur!CG159*Calculateur!CI159*VLOOKUP('Données projet'!$B$12,Paramètres!$A$1:$I$89,3,0)*0.475*44/12</f>
        <v>0.43700504096758208</v>
      </c>
      <c r="CM159" s="21">
        <f>EXP(-LN(2)/2)*CM158+(1-EXP(-LN(2)/2))/(LN(2)/2)*CG159*CJ159*VLOOKUP('Données projet'!$B$12,Paramètres!$A$1:$I$89,3,0)*0.475*44/12</f>
        <v>4.8747904587276305E-21</v>
      </c>
      <c r="CN159" s="22">
        <f t="shared" si="172"/>
        <v>10.622770099091012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73.476000000000312</v>
      </c>
      <c r="D160" s="11">
        <f t="shared" si="140"/>
        <v>20.534221080361753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725.69293465542648</v>
      </c>
      <c r="H160" s="66">
        <f t="shared" si="110"/>
        <v>457.06780171496393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8.8960000000000043</v>
      </c>
      <c r="N160" s="13">
        <f>IF('Données projet'!$A$36&gt;35,N159+M160-V159,IF(A160&lt;'Données projet'!$A$36,$K$205^A160,IF(A160='Données projet'!$A$36,'Données projet'!$B$36,N159+M160-V159)))</f>
        <v>518.04800000000012</v>
      </c>
      <c r="O160" s="13">
        <f>N160*VLOOKUP('Données projet'!$B$9,Paramètres!$A$1:$I$89,3,0)*VLOOKUP('Données projet'!$B$9,Paramètres!$A$1:$I$89,5,0)</f>
        <v>525.30067200000019</v>
      </c>
      <c r="P160" s="13">
        <f t="shared" si="141"/>
        <v>116.76280919542253</v>
      </c>
      <c r="Q160" s="20">
        <f t="shared" si="162"/>
        <v>1118.2605630820278</v>
      </c>
      <c r="R160" s="59">
        <f t="shared" si="109"/>
        <v>1411.5938964153611</v>
      </c>
      <c r="S160" s="59">
        <f ca="1">AVERAGE(OFFSET($R$3,0,0,'Données projet'!$E$9+1,1))-AVERAGE(OFFSET($H$3,0,0,'Données projet'!$E$9+1,1))</f>
        <v>561.16051468364344</v>
      </c>
      <c r="T160" s="59">
        <f t="shared" si="142"/>
        <v>137.34523913145267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128.73548326634727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128.73548326634727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468.72983040000003</v>
      </c>
      <c r="AK160" s="13">
        <f t="shared" si="164"/>
        <v>105.57941913319922</v>
      </c>
      <c r="AL160" s="20">
        <f t="shared" si="165"/>
        <v>1000.2552762703218</v>
      </c>
      <c r="AM160" s="59">
        <f t="shared" si="113"/>
        <v>1293.5886096036552</v>
      </c>
      <c r="AN160" s="59">
        <f ca="1">AVERAGE(OFFSET($AM$3,0,0,'Données projet'!$E$10+1,1))-AVERAGE(OFFSET($H$3,0,0,'Données projet'!$E$10+1,1))</f>
        <v>491.82493848755047</v>
      </c>
      <c r="AO160" s="59">
        <f t="shared" si="144"/>
        <v>119.46953275458026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114.87166199150991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114.87166199150991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212.00000000000009</v>
      </c>
      <c r="BE160" s="13">
        <f>BD160*VLOOKUP('Données projet'!$B$11,Paramètres!$A$1:$I$89,3,0)*VLOOKUP('Données projet'!$B$11,Paramètres!$A$1:$I$89,5,0)</f>
        <v>185.20320000000009</v>
      </c>
      <c r="BF160" s="13">
        <f t="shared" si="167"/>
        <v>46.477875402099386</v>
      </c>
      <c r="BG160" s="20">
        <f t="shared" si="168"/>
        <v>403.5112063253232</v>
      </c>
      <c r="BH160" s="59">
        <f t="shared" si="116"/>
        <v>696.84453965865646</v>
      </c>
      <c r="BI160" s="59">
        <f ca="1">AVERAGE(OFFSET($BH$3,0,0,'Données projet'!$E$11+1,1))-AVERAGE(OFFSET($H$3,0,0,'Données projet'!$E$11+1,1))</f>
        <v>216.10252108537389</v>
      </c>
      <c r="BJ160" s="59">
        <f t="shared" si="146"/>
        <v>196.91968622092054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14.162795733996393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0</v>
      </c>
      <c r="BS160" s="22">
        <f t="shared" si="169"/>
        <v>14.162795733996393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>
        <f>BY160*VLOOKUP('Données projet'!$B$12,Paramètres!$A$1:$I$89,3,0)*VLOOKUP('Données projet'!$B$12,Paramètres!$A$1:$I$89,5,0)</f>
        <v>0</v>
      </c>
      <c r="CA160" s="13" t="e">
        <f t="shared" si="170"/>
        <v>#NUM!</v>
      </c>
      <c r="CB160" s="20" t="e">
        <f t="shared" si="171"/>
        <v>#NUM!</v>
      </c>
      <c r="CC160" s="59" t="e">
        <f t="shared" si="119"/>
        <v>#NUM!</v>
      </c>
      <c r="CD160" s="59">
        <f ca="1">AVERAGE(OFFSET($CC$3,0,0,'Données projet'!$E$12+1,1))-AVERAGE(OFFSET($H$3,0,0,'Données projet'!$E$12+1,1))</f>
        <v>152.85416952858094</v>
      </c>
      <c r="CE160" s="59">
        <f t="shared" si="148"/>
        <v>369.87619681979322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9.9860284180368613</v>
      </c>
      <c r="CL160" s="21">
        <f>EXP(-LN(2)/25)*CL159+(1-EXP(-LN(2)/25))/(LN(2)/25)*Calculateur!CG160*Calculateur!CI160*VLOOKUP('Données projet'!$B$12,Paramètres!$A$1:$I$89,3,0)*0.475*44/12</f>
        <v>0.42505511514122724</v>
      </c>
      <c r="CM160" s="21">
        <f>EXP(-LN(2)/2)*CM159+(1-EXP(-LN(2)/2))/(LN(2)/2)*CG160*CJ160*VLOOKUP('Données projet'!$B$12,Paramètres!$A$1:$I$89,3,0)*0.475*44/12</f>
        <v>3.4469973902297883E-21</v>
      </c>
      <c r="CN160" s="22">
        <f t="shared" si="172"/>
        <v>10.411083533178088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73.944000000000315</v>
      </c>
      <c r="D161" s="11">
        <f t="shared" si="140"/>
        <v>20.649745460165789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730.19733337672085</v>
      </c>
      <c r="H161" s="66">
        <f t="shared" si="110"/>
        <v>458.08410667645592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8.8960000000000043</v>
      </c>
      <c r="N161" s="13">
        <f>IF('Données projet'!$A$36&gt;35,N160+M161-V160,IF(A161&lt;'Données projet'!$A$36,$K$205^A161,IF(A161='Données projet'!$A$36,'Données projet'!$B$36,N160+M161-V160)))</f>
        <v>526.94400000000007</v>
      </c>
      <c r="O161" s="13">
        <f>N161*VLOOKUP('Données projet'!$B$9,Paramètres!$A$1:$I$89,3,0)*VLOOKUP('Données projet'!$B$9,Paramètres!$A$1:$I$89,5,0)</f>
        <v>534.32121600000005</v>
      </c>
      <c r="P161" s="13">
        <f t="shared" si="141"/>
        <v>118.53272866774336</v>
      </c>
      <c r="Q161" s="20">
        <f t="shared" si="162"/>
        <v>1137.0539536296531</v>
      </c>
      <c r="R161" s="59">
        <f t="shared" si="109"/>
        <v>1430.3872869629863</v>
      </c>
      <c r="S161" s="59">
        <f ca="1">AVERAGE(OFFSET($R$3,0,0,'Données projet'!$E$9+1,1))-AVERAGE(OFFSET($H$3,0,0,'Données projet'!$E$9+1,1))</f>
        <v>561.16051468364344</v>
      </c>
      <c r="T161" s="59">
        <f t="shared" si="142"/>
        <v>137.34523913145267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126.2110589603857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126.2110589603857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476.77893120000005</v>
      </c>
      <c r="AK161" s="13">
        <f t="shared" si="164"/>
        <v>107.17981801952122</v>
      </c>
      <c r="AL161" s="20">
        <f t="shared" si="165"/>
        <v>1017.0614882239994</v>
      </c>
      <c r="AM161" s="59">
        <f t="shared" si="113"/>
        <v>1310.3948215573328</v>
      </c>
      <c r="AN161" s="59">
        <f ca="1">AVERAGE(OFFSET($AM$3,0,0,'Données projet'!$E$10+1,1))-AVERAGE(OFFSET($H$3,0,0,'Données projet'!$E$10+1,1))</f>
        <v>491.82493848755047</v>
      </c>
      <c r="AO161" s="59">
        <f t="shared" si="144"/>
        <v>119.46953275458026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112.61909876465189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112.61909876465189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212.00000000000009</v>
      </c>
      <c r="BE161" s="13">
        <f>BD161*VLOOKUP('Données projet'!$B$11,Paramètres!$A$1:$I$89,3,0)*VLOOKUP('Données projet'!$B$11,Paramètres!$A$1:$I$89,5,0)</f>
        <v>185.20320000000009</v>
      </c>
      <c r="BF161" s="13">
        <f t="shared" si="167"/>
        <v>46.477875402099386</v>
      </c>
      <c r="BG161" s="20">
        <f t="shared" si="168"/>
        <v>403.5112063253232</v>
      </c>
      <c r="BH161" s="59">
        <f t="shared" si="116"/>
        <v>696.84453965865646</v>
      </c>
      <c r="BI161" s="59">
        <f ca="1">AVERAGE(OFFSET($BH$3,0,0,'Données projet'!$E$11+1,1))-AVERAGE(OFFSET($H$3,0,0,'Données projet'!$E$11+1,1))</f>
        <v>216.10252108537389</v>
      </c>
      <c r="BJ161" s="59">
        <f t="shared" si="146"/>
        <v>196.91968622092054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13.885071948105146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0</v>
      </c>
      <c r="BS161" s="22">
        <f t="shared" si="169"/>
        <v>13.885071948105146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>
        <f>BY161*VLOOKUP('Données projet'!$B$12,Paramètres!$A$1:$I$89,3,0)*VLOOKUP('Données projet'!$B$12,Paramètres!$A$1:$I$89,5,0)</f>
        <v>0</v>
      </c>
      <c r="CA161" s="13" t="e">
        <f t="shared" si="170"/>
        <v>#NUM!</v>
      </c>
      <c r="CB161" s="20" t="e">
        <f t="shared" si="171"/>
        <v>#NUM!</v>
      </c>
      <c r="CC161" s="59" t="e">
        <f t="shared" si="119"/>
        <v>#NUM!</v>
      </c>
      <c r="CD161" s="59">
        <f ca="1">AVERAGE(OFFSET($CC$3,0,0,'Données projet'!$E$12+1,1))-AVERAGE(OFFSET($H$3,0,0,'Données projet'!$E$12+1,1))</f>
        <v>152.85416952858094</v>
      </c>
      <c r="CE161" s="59">
        <f t="shared" si="148"/>
        <v>369.87619681979322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9.7902084916350702</v>
      </c>
      <c r="CL161" s="21">
        <f>EXP(-LN(2)/25)*CL160+(1-EXP(-LN(2)/25))/(LN(2)/25)*Calculateur!CG161*Calculateur!CI161*VLOOKUP('Données projet'!$B$12,Paramètres!$A$1:$I$89,3,0)*0.475*44/12</f>
        <v>0.41343196066501336</v>
      </c>
      <c r="CM161" s="21">
        <f>EXP(-LN(2)/2)*CM160+(1-EXP(-LN(2)/2))/(LN(2)/2)*CG161*CJ161*VLOOKUP('Données projet'!$B$12,Paramètres!$A$1:$I$89,3,0)*0.475*44/12</f>
        <v>2.4373952293638153E-21</v>
      </c>
      <c r="CN161" s="22">
        <f t="shared" si="172"/>
        <v>10.203640452300084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74.412000000000319</v>
      </c>
      <c r="D162" s="11">
        <f t="shared" si="140"/>
        <v>20.765184762876906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734.70107536256103</v>
      </c>
      <c r="H162" s="66">
        <f t="shared" si="110"/>
        <v>459.10026346201118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8.8960000000000043</v>
      </c>
      <c r="N162" s="13">
        <f>IF('Données projet'!$A$36&gt;35,N161+M162-V161,IF(A162&lt;'Données projet'!$A$36,$K$205^A162,IF(A162='Données projet'!$A$36,'Données projet'!$B$36,N161+M162-V161)))</f>
        <v>535.84</v>
      </c>
      <c r="O162" s="13">
        <f>N162*VLOOKUP('Données projet'!$B$9,Paramètres!$A$1:$I$89,3,0)*VLOOKUP('Données projet'!$B$9,Paramètres!$A$1:$I$89,5,0)</f>
        <v>543.34176000000014</v>
      </c>
      <c r="P162" s="13">
        <f t="shared" si="141"/>
        <v>120.29917332285113</v>
      </c>
      <c r="Q162" s="20">
        <f t="shared" si="162"/>
        <v>1155.8412922039661</v>
      </c>
      <c r="R162" s="59">
        <f t="shared" si="109"/>
        <v>1449.1746255372993</v>
      </c>
      <c r="S162" s="59">
        <f ca="1">AVERAGE(OFFSET($R$3,0,0,'Données projet'!$E$9+1,1))-AVERAGE(OFFSET($H$3,0,0,'Données projet'!$E$9+1,1))</f>
        <v>561.16051468364344</v>
      </c>
      <c r="T162" s="59">
        <f t="shared" si="142"/>
        <v>137.34523913145267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123.73613707531725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123.73613707531725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484.82803200000001</v>
      </c>
      <c r="AK162" s="13">
        <f t="shared" si="164"/>
        <v>108.77707490210506</v>
      </c>
      <c r="AL162" s="20">
        <f t="shared" si="165"/>
        <v>1033.8622278544997</v>
      </c>
      <c r="AM162" s="59">
        <f t="shared" si="113"/>
        <v>1327.1955611878329</v>
      </c>
      <c r="AN162" s="59">
        <f ca="1">AVERAGE(OFFSET($AM$3,0,0,'Données projet'!$E$10+1,1))-AVERAGE(OFFSET($H$3,0,0,'Données projet'!$E$10+1,1))</f>
        <v>491.82493848755047</v>
      </c>
      <c r="AO162" s="59">
        <f t="shared" si="144"/>
        <v>119.46953275458026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110.41070692874466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110.41070692874466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212.00000000000009</v>
      </c>
      <c r="BE162" s="13">
        <f>BD162*VLOOKUP('Données projet'!$B$11,Paramètres!$A$1:$I$89,3,0)*VLOOKUP('Données projet'!$B$11,Paramètres!$A$1:$I$89,5,0)</f>
        <v>185.20320000000009</v>
      </c>
      <c r="BF162" s="13">
        <f t="shared" si="167"/>
        <v>46.477875402099386</v>
      </c>
      <c r="BG162" s="20">
        <f t="shared" si="168"/>
        <v>403.5112063253232</v>
      </c>
      <c r="BH162" s="59">
        <f t="shared" si="116"/>
        <v>696.84453965865646</v>
      </c>
      <c r="BI162" s="59">
        <f ca="1">AVERAGE(OFFSET($BH$3,0,0,'Données projet'!$E$11+1,1))-AVERAGE(OFFSET($H$3,0,0,'Données projet'!$E$11+1,1))</f>
        <v>216.10252108537389</v>
      </c>
      <c r="BJ162" s="59">
        <f t="shared" si="146"/>
        <v>196.91968622092054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13.612794156260442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0</v>
      </c>
      <c r="BS162" s="22">
        <f t="shared" si="169"/>
        <v>13.612794156260442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>
        <f>BY162*VLOOKUP('Données projet'!$B$12,Paramètres!$A$1:$I$89,3,0)*VLOOKUP('Données projet'!$B$12,Paramètres!$A$1:$I$89,5,0)</f>
        <v>0</v>
      </c>
      <c r="CA162" s="13" t="e">
        <f t="shared" si="170"/>
        <v>#NUM!</v>
      </c>
      <c r="CB162" s="20" t="e">
        <f t="shared" si="171"/>
        <v>#NUM!</v>
      </c>
      <c r="CC162" s="59" t="e">
        <f t="shared" si="119"/>
        <v>#NUM!</v>
      </c>
      <c r="CD162" s="59">
        <f ca="1">AVERAGE(OFFSET($CC$3,0,0,'Données projet'!$E$12+1,1))-AVERAGE(OFFSET($H$3,0,0,'Données projet'!$E$12+1,1))</f>
        <v>152.85416952858094</v>
      </c>
      <c r="CE162" s="59">
        <f t="shared" si="148"/>
        <v>369.87619681979322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9.5982284745516555</v>
      </c>
      <c r="CL162" s="21">
        <f>EXP(-LN(2)/25)*CL161+(1-EXP(-LN(2)/25))/(LN(2)/25)*Calculateur!CG162*Calculateur!CI162*VLOOKUP('Données projet'!$B$12,Paramètres!$A$1:$I$89,3,0)*0.475*44/12</f>
        <v>0.40212664195918668</v>
      </c>
      <c r="CM162" s="21">
        <f>EXP(-LN(2)/2)*CM161+(1-EXP(-LN(2)/2))/(LN(2)/2)*CG162*CJ162*VLOOKUP('Données projet'!$B$12,Paramètres!$A$1:$I$89,3,0)*0.475*44/12</f>
        <v>1.7234986951148941E-21</v>
      </c>
      <c r="CN162" s="22">
        <f t="shared" si="172"/>
        <v>10.000355116510843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74.880000000000322</v>
      </c>
      <c r="D163" s="11">
        <f t="shared" si="140"/>
        <v>20.880539585643316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739.20416522251242</v>
      </c>
      <c r="H163" s="66">
        <f t="shared" si="110"/>
        <v>460.11627311166262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8.8960000000000043</v>
      </c>
      <c r="N163" s="13">
        <f>IF('Données projet'!$A$36&gt;35,N162+M163-V162,IF(A163&lt;'Données projet'!$A$36,$K$205^A163,IF(A163='Données projet'!$A$36,'Données projet'!$B$36,N162+M163-V162)))</f>
        <v>544.73599999999999</v>
      </c>
      <c r="O163" s="13">
        <f>N163*VLOOKUP('Données projet'!$B$9,Paramètres!$A$1:$I$89,3,0)*VLOOKUP('Données projet'!$B$9,Paramètres!$A$1:$I$89,5,0)</f>
        <v>552.36230399999999</v>
      </c>
      <c r="P163" s="13">
        <f t="shared" si="141"/>
        <v>122.0622075083046</v>
      </c>
      <c r="Q163" s="20">
        <f t="shared" si="162"/>
        <v>1174.6226908769638</v>
      </c>
      <c r="R163" s="59">
        <f t="shared" si="109"/>
        <v>1467.9560242102971</v>
      </c>
      <c r="S163" s="59">
        <f ca="1">AVERAGE(OFFSET($R$3,0,0,'Données projet'!$E$9+1,1))-AVERAGE(OFFSET($H$3,0,0,'Données projet'!$E$9+1,1))</f>
        <v>561.16051468364344</v>
      </c>
      <c r="T163" s="59">
        <f t="shared" si="142"/>
        <v>137.34523913145267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121.30974689886169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121.30974689886169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492.87713279999997</v>
      </c>
      <c r="AK163" s="13">
        <f t="shared" si="164"/>
        <v>110.37124796538414</v>
      </c>
      <c r="AL163" s="20">
        <f t="shared" si="165"/>
        <v>1050.6575964997107</v>
      </c>
      <c r="AM163" s="59">
        <f t="shared" si="113"/>
        <v>1343.990929833044</v>
      </c>
      <c r="AN163" s="59">
        <f ca="1">AVERAGE(OFFSET($AM$3,0,0,'Données projet'!$E$10+1,1))-AVERAGE(OFFSET($H$3,0,0,'Données projet'!$E$10+1,1))</f>
        <v>491.82493848755047</v>
      </c>
      <c r="AO163" s="59">
        <f t="shared" si="144"/>
        <v>119.46953275458026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108.24562030975355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108.24562030975355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212.00000000000009</v>
      </c>
      <c r="BE163" s="13">
        <f>BD163*VLOOKUP('Données projet'!$B$11,Paramètres!$A$1:$I$89,3,0)*VLOOKUP('Données projet'!$B$11,Paramètres!$A$1:$I$89,5,0)</f>
        <v>185.20320000000009</v>
      </c>
      <c r="BF163" s="13">
        <f t="shared" si="167"/>
        <v>46.477875402099386</v>
      </c>
      <c r="BG163" s="20">
        <f t="shared" si="168"/>
        <v>403.5112063253232</v>
      </c>
      <c r="BH163" s="59">
        <f t="shared" si="116"/>
        <v>696.84453965865646</v>
      </c>
      <c r="BI163" s="59">
        <f ca="1">AVERAGE(OFFSET($BH$3,0,0,'Données projet'!$E$11+1,1))-AVERAGE(OFFSET($H$3,0,0,'Données projet'!$E$11+1,1))</f>
        <v>216.10252108537389</v>
      </c>
      <c r="BJ163" s="59">
        <f t="shared" si="146"/>
        <v>196.91968622092054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13.345855565840758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0</v>
      </c>
      <c r="BS163" s="22">
        <f t="shared" si="169"/>
        <v>13.345855565840758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>
        <f>BY163*VLOOKUP('Données projet'!$B$12,Paramètres!$A$1:$I$89,3,0)*VLOOKUP('Données projet'!$B$12,Paramètres!$A$1:$I$89,5,0)</f>
        <v>0</v>
      </c>
      <c r="CA163" s="13" t="e">
        <f t="shared" si="170"/>
        <v>#NUM!</v>
      </c>
      <c r="CB163" s="20" t="e">
        <f t="shared" si="171"/>
        <v>#NUM!</v>
      </c>
      <c r="CC163" s="59" t="e">
        <f t="shared" si="119"/>
        <v>#NUM!</v>
      </c>
      <c r="CD163" s="59">
        <f ca="1">AVERAGE(OFFSET($CC$3,0,0,'Données projet'!$E$12+1,1))-AVERAGE(OFFSET($H$3,0,0,'Données projet'!$E$12+1,1))</f>
        <v>152.85416952858094</v>
      </c>
      <c r="CE163" s="59">
        <f t="shared" si="148"/>
        <v>369.87619681979322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9.4100130685069985</v>
      </c>
      <c r="CL163" s="21">
        <f>EXP(-LN(2)/25)*CL162+(1-EXP(-LN(2)/25))/(LN(2)/25)*Calculateur!CG163*Calculateur!CI163*VLOOKUP('Données projet'!$B$12,Paramètres!$A$1:$I$89,3,0)*0.475*44/12</f>
        <v>0.39113046778789168</v>
      </c>
      <c r="CM163" s="21">
        <f>EXP(-LN(2)/2)*CM162+(1-EXP(-LN(2)/2))/(LN(2)/2)*CG163*CJ163*VLOOKUP('Données projet'!$B$12,Paramètres!$A$1:$I$89,3,0)*0.475*44/12</f>
        <v>1.2186976146819076E-21</v>
      </c>
      <c r="CN163" s="22">
        <f t="shared" si="172"/>
        <v>9.8011435362948909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75.348000000000326</v>
      </c>
      <c r="D164" s="11">
        <f t="shared" si="140"/>
        <v>20.995810517717125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743.70660750518743</v>
      </c>
      <c r="H164" s="66">
        <f t="shared" si="110"/>
        <v>461.13213665169121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8.8960000000000043</v>
      </c>
      <c r="N164" s="13">
        <f>IF('Données projet'!$A$36&gt;35,N163+M164-V163,IF(A164&lt;'Données projet'!$A$36,$K$205^A164,IF(A164='Données projet'!$A$36,'Données projet'!$B$36,N163+M164-V163)))</f>
        <v>553.63199999999995</v>
      </c>
      <c r="O164" s="13">
        <f>N164*VLOOKUP('Données projet'!$B$9,Paramètres!$A$1:$I$89,3,0)*VLOOKUP('Données projet'!$B$9,Paramètres!$A$1:$I$89,5,0)</f>
        <v>561.38284799999997</v>
      </c>
      <c r="P164" s="13">
        <f t="shared" si="141"/>
        <v>123.82189334946061</v>
      </c>
      <c r="Q164" s="20">
        <f t="shared" si="162"/>
        <v>1193.3982578503103</v>
      </c>
      <c r="R164" s="59">
        <f t="shared" si="109"/>
        <v>1486.7315911836436</v>
      </c>
      <c r="S164" s="59">
        <f ca="1">AVERAGE(OFFSET($R$3,0,0,'Données projet'!$E$9+1,1))-AVERAGE(OFFSET($H$3,0,0,'Données projet'!$E$9+1,1))</f>
        <v>561.16051468364344</v>
      </c>
      <c r="T164" s="59">
        <f t="shared" si="142"/>
        <v>137.34523913145267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118.93093675381455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118.93093675381455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500.92623359999993</v>
      </c>
      <c r="AK164" s="13">
        <f t="shared" si="164"/>
        <v>111.96239338442973</v>
      </c>
      <c r="AL164" s="20">
        <f t="shared" si="165"/>
        <v>1067.4476919978817</v>
      </c>
      <c r="AM164" s="59">
        <f t="shared" si="113"/>
        <v>1360.781025331215</v>
      </c>
      <c r="AN164" s="59">
        <f ca="1">AVERAGE(OFFSET($AM$3,0,0,'Données projet'!$E$10+1,1))-AVERAGE(OFFSET($H$3,0,0,'Données projet'!$E$10+1,1))</f>
        <v>491.82493848755047</v>
      </c>
      <c r="AO164" s="59">
        <f t="shared" si="144"/>
        <v>119.46953275458026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106.1229897187884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106.1229897187884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212.00000000000009</v>
      </c>
      <c r="BE164" s="13">
        <f>BD164*VLOOKUP('Données projet'!$B$11,Paramètres!$A$1:$I$89,3,0)*VLOOKUP('Données projet'!$B$11,Paramètres!$A$1:$I$89,5,0)</f>
        <v>185.20320000000009</v>
      </c>
      <c r="BF164" s="13">
        <f t="shared" si="167"/>
        <v>46.477875402099386</v>
      </c>
      <c r="BG164" s="20">
        <f t="shared" si="168"/>
        <v>403.5112063253232</v>
      </c>
      <c r="BH164" s="59">
        <f t="shared" si="116"/>
        <v>696.84453965865646</v>
      </c>
      <c r="BI164" s="59">
        <f ca="1">AVERAGE(OFFSET($BH$3,0,0,'Données projet'!$E$11+1,1))-AVERAGE(OFFSET($H$3,0,0,'Données projet'!$E$11+1,1))</f>
        <v>216.10252108537389</v>
      </c>
      <c r="BJ164" s="59">
        <f t="shared" si="146"/>
        <v>196.91968622092054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13.08415147836274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0</v>
      </c>
      <c r="BS164" s="22">
        <f t="shared" si="169"/>
        <v>13.08415147836274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>
        <f>BY164*VLOOKUP('Données projet'!$B$12,Paramètres!$A$1:$I$89,3,0)*VLOOKUP('Données projet'!$B$12,Paramètres!$A$1:$I$89,5,0)</f>
        <v>0</v>
      </c>
      <c r="CA164" s="13" t="e">
        <f t="shared" si="170"/>
        <v>#NUM!</v>
      </c>
      <c r="CB164" s="20" t="e">
        <f t="shared" si="171"/>
        <v>#NUM!</v>
      </c>
      <c r="CC164" s="59" t="e">
        <f t="shared" si="119"/>
        <v>#NUM!</v>
      </c>
      <c r="CD164" s="59">
        <f ca="1">AVERAGE(OFFSET($CC$3,0,0,'Données projet'!$E$12+1,1))-AVERAGE(OFFSET($H$3,0,0,'Données projet'!$E$12+1,1))</f>
        <v>152.85416952858094</v>
      </c>
      <c r="CE164" s="59">
        <f t="shared" si="148"/>
        <v>369.87619681979322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9.2254884517748152</v>
      </c>
      <c r="CL164" s="21">
        <f>EXP(-LN(2)/25)*CL163+(1-EXP(-LN(2)/25))/(LN(2)/25)*Calculateur!CG164*Calculateur!CI164*VLOOKUP('Données projet'!$B$12,Paramètres!$A$1:$I$89,3,0)*0.475*44/12</f>
        <v>0.38043498457757441</v>
      </c>
      <c r="CM164" s="21">
        <f>EXP(-LN(2)/2)*CM163+(1-EXP(-LN(2)/2))/(LN(2)/2)*CG164*CJ164*VLOOKUP('Données projet'!$B$12,Paramètres!$A$1:$I$89,3,0)*0.475*44/12</f>
        <v>8.6174934755744706E-22</v>
      </c>
      <c r="CN164" s="22">
        <f t="shared" si="172"/>
        <v>9.6059234363523895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75.816000000000329</v>
      </c>
      <c r="D165" s="11">
        <f t="shared" si="140"/>
        <v>21.11099814060724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748.20840669942697</v>
      </c>
      <c r="H165" s="66">
        <f t="shared" si="110"/>
        <v>462.1478550948915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8.8960000000000043</v>
      </c>
      <c r="N165" s="13">
        <f>IF('Données projet'!$A$36&gt;35,N164+M165-V164,IF(A165&lt;'Données projet'!$A$36,$K$205^A165,IF(A165='Données projet'!$A$36,'Données projet'!$B$36,N164+M165-V164)))</f>
        <v>562.52799999999991</v>
      </c>
      <c r="O165" s="13">
        <f>N165*VLOOKUP('Données projet'!$B$9,Paramètres!$A$1:$I$89,3,0)*VLOOKUP('Données projet'!$B$9,Paramètres!$A$1:$I$89,5,0)</f>
        <v>570.40339199999994</v>
      </c>
      <c r="P165" s="13">
        <f t="shared" si="141"/>
        <v>125.57829086066813</v>
      </c>
      <c r="Q165" s="20">
        <f t="shared" si="162"/>
        <v>1212.168097648997</v>
      </c>
      <c r="R165" s="59">
        <f t="shared" si="109"/>
        <v>1505.5014309823302</v>
      </c>
      <c r="S165" s="59">
        <f ca="1">AVERAGE(OFFSET($R$3,0,0,'Données projet'!$E$9+1,1))-AVERAGE(OFFSET($H$3,0,0,'Données projet'!$E$9+1,1))</f>
        <v>561.16051468364344</v>
      </c>
      <c r="T165" s="59">
        <f t="shared" si="142"/>
        <v>137.34523913145267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116.59877362478086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116.59877362478086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508.97533439999989</v>
      </c>
      <c r="AK165" s="13">
        <f t="shared" si="164"/>
        <v>113.55056542549386</v>
      </c>
      <c r="AL165" s="20">
        <f t="shared" si="165"/>
        <v>1084.2326088627349</v>
      </c>
      <c r="AM165" s="59">
        <f t="shared" si="113"/>
        <v>1377.5659421960681</v>
      </c>
      <c r="AN165" s="59">
        <f ca="1">AVERAGE(OFFSET($AM$3,0,0,'Données projet'!$E$10+1,1))-AVERAGE(OFFSET($H$3,0,0,'Données projet'!$E$10+1,1))</f>
        <v>491.82493848755047</v>
      </c>
      <c r="AO165" s="59">
        <f t="shared" si="144"/>
        <v>119.46953275458026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104.04198261903527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104.04198261903527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212.00000000000009</v>
      </c>
      <c r="BE165" s="13">
        <f>BD165*VLOOKUP('Données projet'!$B$11,Paramètres!$A$1:$I$89,3,0)*VLOOKUP('Données projet'!$B$11,Paramètres!$A$1:$I$89,5,0)</f>
        <v>185.20320000000009</v>
      </c>
      <c r="BF165" s="13">
        <f t="shared" si="167"/>
        <v>46.477875402099386</v>
      </c>
      <c r="BG165" s="20">
        <f t="shared" si="168"/>
        <v>403.5112063253232</v>
      </c>
      <c r="BH165" s="59">
        <f t="shared" si="116"/>
        <v>696.84453965865646</v>
      </c>
      <c r="BI165" s="59">
        <f ca="1">AVERAGE(OFFSET($BH$3,0,0,'Données projet'!$E$11+1,1))-AVERAGE(OFFSET($H$3,0,0,'Données projet'!$E$11+1,1))</f>
        <v>216.10252108537389</v>
      </c>
      <c r="BJ165" s="59">
        <f t="shared" si="146"/>
        <v>196.91968622092054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12.827579248416436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0</v>
      </c>
      <c r="BS165" s="22">
        <f t="shared" si="169"/>
        <v>12.827579248416436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>
        <f>BY165*VLOOKUP('Données projet'!$B$12,Paramètres!$A$1:$I$89,3,0)*VLOOKUP('Données projet'!$B$12,Paramètres!$A$1:$I$89,5,0)</f>
        <v>0</v>
      </c>
      <c r="CA165" s="13" t="e">
        <f t="shared" si="170"/>
        <v>#NUM!</v>
      </c>
      <c r="CB165" s="20" t="e">
        <f t="shared" si="171"/>
        <v>#NUM!</v>
      </c>
      <c r="CC165" s="59" t="e">
        <f t="shared" si="119"/>
        <v>#NUM!</v>
      </c>
      <c r="CD165" s="59">
        <f ca="1">AVERAGE(OFFSET($CC$3,0,0,'Données projet'!$E$12+1,1))-AVERAGE(OFFSET($H$3,0,0,'Données projet'!$E$12+1,1))</f>
        <v>152.85416952858094</v>
      </c>
      <c r="CE165" s="59">
        <f t="shared" si="148"/>
        <v>369.87619681979322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9.0445822502278475</v>
      </c>
      <c r="CL165" s="21">
        <f>EXP(-LN(2)/25)*CL164+(1-EXP(-LN(2)/25))/(LN(2)/25)*Calculateur!CG165*Calculateur!CI165*VLOOKUP('Données projet'!$B$12,Paramètres!$A$1:$I$89,3,0)*0.475*44/12</f>
        <v>0.37003196991809428</v>
      </c>
      <c r="CM165" s="21">
        <f>EXP(-LN(2)/2)*CM164+(1-EXP(-LN(2)/2))/(LN(2)/2)*CG165*CJ165*VLOOKUP('Données projet'!$B$12,Paramètres!$A$1:$I$89,3,0)*0.475*44/12</f>
        <v>6.0934880734095382E-22</v>
      </c>
      <c r="CN165" s="22">
        <f t="shared" si="172"/>
        <v>9.4146142201459426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76.284000000000333</v>
      </c>
      <c r="D166" s="11">
        <f t="shared" si="140"/>
        <v>21.226103028228163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752.70956723544816</v>
      </c>
      <c r="H166" s="66">
        <f t="shared" si="110"/>
        <v>463.16342944083124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8.8960000000000043</v>
      </c>
      <c r="N166" s="13">
        <f>IF('Données projet'!$A$36&gt;35,N165+M166-V165,IF(A166&lt;'Données projet'!$A$36,$K$205^A166,IF(A166='Données projet'!$A$36,'Données projet'!$B$36,N165+M166-V165)))</f>
        <v>571.42399999999986</v>
      </c>
      <c r="O166" s="13">
        <f>N166*VLOOKUP('Données projet'!$B$9,Paramètres!$A$1:$I$89,3,0)*VLOOKUP('Données projet'!$B$9,Paramètres!$A$1:$I$89,5,0)</f>
        <v>579.42393599999991</v>
      </c>
      <c r="P166" s="13">
        <f t="shared" si="141"/>
        <v>127.33145804922667</v>
      </c>
      <c r="Q166" s="20">
        <f t="shared" si="162"/>
        <v>1230.9323113024027</v>
      </c>
      <c r="R166" s="59">
        <f t="shared" si="109"/>
        <v>1524.265644635736</v>
      </c>
      <c r="S166" s="59">
        <f ca="1">AVERAGE(OFFSET($R$3,0,0,'Données projet'!$E$9+1,1))-AVERAGE(OFFSET($H$3,0,0,'Données projet'!$E$9+1,1))</f>
        <v>561.16051468364344</v>
      </c>
      <c r="T166" s="59">
        <f t="shared" si="142"/>
        <v>137.34523913145267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114.31234279222848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114.31234279222848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517.02443519999986</v>
      </c>
      <c r="AK166" s="13">
        <f t="shared" si="164"/>
        <v>115.1358165400127</v>
      </c>
      <c r="AL166" s="20">
        <f t="shared" si="165"/>
        <v>1101.0124384471885</v>
      </c>
      <c r="AM166" s="59">
        <f t="shared" si="113"/>
        <v>1394.3457717805218</v>
      </c>
      <c r="AN166" s="59">
        <f ca="1">AVERAGE(OFFSET($AM$3,0,0,'Données projet'!$E$10+1,1))-AVERAGE(OFFSET($H$3,0,0,'Données projet'!$E$10+1,1))</f>
        <v>491.82493848755047</v>
      </c>
      <c r="AO166" s="59">
        <f t="shared" si="144"/>
        <v>119.46953275458026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102.0017827992193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102.0017827992193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212.00000000000009</v>
      </c>
      <c r="BE166" s="13">
        <f>BD166*VLOOKUP('Données projet'!$B$11,Paramètres!$A$1:$I$89,3,0)*VLOOKUP('Données projet'!$B$11,Paramètres!$A$1:$I$89,5,0)</f>
        <v>185.20320000000009</v>
      </c>
      <c r="BF166" s="13">
        <f t="shared" si="167"/>
        <v>46.477875402099386</v>
      </c>
      <c r="BG166" s="20">
        <f t="shared" si="168"/>
        <v>403.5112063253232</v>
      </c>
      <c r="BH166" s="59">
        <f t="shared" si="116"/>
        <v>696.84453965865646</v>
      </c>
      <c r="BI166" s="59">
        <f ca="1">AVERAGE(OFFSET($BH$3,0,0,'Données projet'!$E$11+1,1))-AVERAGE(OFFSET($H$3,0,0,'Données projet'!$E$11+1,1))</f>
        <v>216.10252108537389</v>
      </c>
      <c r="BJ166" s="59">
        <f t="shared" si="146"/>
        <v>196.91968622092054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12.576038243405771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0</v>
      </c>
      <c r="BS166" s="22">
        <f t="shared" si="169"/>
        <v>12.576038243405771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>
        <f>BY166*VLOOKUP('Données projet'!$B$12,Paramètres!$A$1:$I$89,3,0)*VLOOKUP('Données projet'!$B$12,Paramètres!$A$1:$I$89,5,0)</f>
        <v>0</v>
      </c>
      <c r="CA166" s="13" t="e">
        <f t="shared" si="170"/>
        <v>#NUM!</v>
      </c>
      <c r="CB166" s="20" t="e">
        <f t="shared" si="171"/>
        <v>#NUM!</v>
      </c>
      <c r="CC166" s="59" t="e">
        <f t="shared" si="119"/>
        <v>#NUM!</v>
      </c>
      <c r="CD166" s="59">
        <f ca="1">AVERAGE(OFFSET($CC$3,0,0,'Données projet'!$E$12+1,1))-AVERAGE(OFFSET($H$3,0,0,'Données projet'!$E$12+1,1))</f>
        <v>152.85416952858094</v>
      </c>
      <c r="CE166" s="59">
        <f t="shared" si="148"/>
        <v>369.87619681979322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8.8672235089513283</v>
      </c>
      <c r="CL166" s="21">
        <f>EXP(-LN(2)/25)*CL165+(1-EXP(-LN(2)/25))/(LN(2)/25)*Calculateur!CG166*Calculateur!CI166*VLOOKUP('Données projet'!$B$12,Paramètres!$A$1:$I$89,3,0)*0.475*44/12</f>
        <v>0.35991342624154843</v>
      </c>
      <c r="CM166" s="21">
        <f>EXP(-LN(2)/2)*CM165+(1-EXP(-LN(2)/2))/(LN(2)/2)*CG166*CJ166*VLOOKUP('Données projet'!$B$12,Paramètres!$A$1:$I$89,3,0)*0.475*44/12</f>
        <v>4.3087467377872353E-22</v>
      </c>
      <c r="CN166" s="22">
        <f t="shared" si="172"/>
        <v>9.2271369351928776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76.752000000000336</v>
      </c>
      <c r="D167" s="11">
        <f t="shared" si="140"/>
        <v>21.341125747045204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757.21009348596579</v>
      </c>
      <c r="H167" s="66">
        <f t="shared" si="110"/>
        <v>464.17886067610431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>
        <f>VLOOKUP(A167,'Données projet'!$A$35:$I$55,2,0)</f>
        <v>580.32000000000005</v>
      </c>
      <c r="L167" s="12">
        <f>VLOOKUP(A167,'Données projet'!$A$35:$I$55,9,0)</f>
        <v>8.8960000000000043</v>
      </c>
      <c r="M167" s="12">
        <f t="array" ref="M167">INDEX(L:L,MIN(IF(ISNUMBER(L167:L363),ROW(L167:L363),"")))</f>
        <v>8.8960000000000043</v>
      </c>
      <c r="N167" s="13">
        <f>IF('Données projet'!$A$36&gt;35,N166+M167-V166,IF(A167&lt;'Données projet'!$A$36,$K$205^A167,IF(A167='Données projet'!$A$36,'Données projet'!$B$36,N166+M167-V166)))</f>
        <v>580.31999999999982</v>
      </c>
      <c r="O167" s="13">
        <f>N167*VLOOKUP('Données projet'!$B$9,Paramètres!$A$1:$I$89,3,0)*VLOOKUP('Données projet'!$B$9,Paramètres!$A$1:$I$89,5,0)</f>
        <v>588.44447999999988</v>
      </c>
      <c r="P167" s="13">
        <f t="shared" si="141"/>
        <v>129.08145101268991</v>
      </c>
      <c r="Q167" s="20">
        <f t="shared" si="162"/>
        <v>1249.6909965137681</v>
      </c>
      <c r="R167" s="59">
        <f t="shared" si="109"/>
        <v>1543.0243298471014</v>
      </c>
      <c r="S167" s="59">
        <f ca="1">AVERAGE(OFFSET($R$3,0,0,'Données projet'!$E$9+1,1))-AVERAGE(OFFSET($H$3,0,0,'Données projet'!$E$9+1,1))</f>
        <v>561.16051468364344</v>
      </c>
      <c r="T167" s="59">
        <f t="shared" si="142"/>
        <v>137.34523913145267</v>
      </c>
      <c r="U167" s="15">
        <f>IF(ISNA(VLOOKUP(A167,'Données projet'!$A$35:$I$55,3,0)),0,VLOOKUP(A167,'Données projet'!$A$35:$I$55,3,0))</f>
        <v>14</v>
      </c>
      <c r="V167" s="15">
        <f>IF(ISNA(VLOOKUP(A167,'Données projet'!$A$35:$I$55,4,0)),0,VLOOKUP(A167,'Données projet'!$A$35:$I$55,4,0))</f>
        <v>59.58</v>
      </c>
      <c r="W167" s="16">
        <f>IF(ISNA(VLOOKUP(A167,'Données projet'!$A$35:$I$55,5,0)),0%,VLOOKUP(A167,'Données projet'!$A$35:$I$55,5,0)*VLOOKUP('Données projet'!$B$9,Paramètres!$A$1:$I$89,7,0))</f>
        <v>0.43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140.78873614490351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140.78873614490351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525.07353599999988</v>
      </c>
      <c r="AK167" s="13">
        <f t="shared" si="164"/>
        <v>116.71819745258918</v>
      </c>
      <c r="AL167" s="20">
        <f t="shared" si="165"/>
        <v>1117.7872690965926</v>
      </c>
      <c r="AM167" s="59">
        <f t="shared" si="113"/>
        <v>1411.1206024299258</v>
      </c>
      <c r="AN167" s="59">
        <f ca="1">AVERAGE(OFFSET($AM$3,0,0,'Données projet'!$E$10+1,1))-AVERAGE(OFFSET($H$3,0,0,'Données projet'!$E$10+1,1))</f>
        <v>491.82493848755047</v>
      </c>
      <c r="AO167" s="59">
        <f t="shared" si="144"/>
        <v>119.46953275458026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125.62687225237548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125.62687225237548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212.00000000000009</v>
      </c>
      <c r="BE167" s="13">
        <f>BD167*VLOOKUP('Données projet'!$B$11,Paramètres!$A$1:$I$89,3,0)*VLOOKUP('Données projet'!$B$11,Paramètres!$A$1:$I$89,5,0)</f>
        <v>185.20320000000009</v>
      </c>
      <c r="BF167" s="13">
        <f t="shared" si="167"/>
        <v>46.477875402099386</v>
      </c>
      <c r="BG167" s="20">
        <f t="shared" si="168"/>
        <v>403.5112063253232</v>
      </c>
      <c r="BH167" s="59">
        <f t="shared" si="116"/>
        <v>696.84453965865646</v>
      </c>
      <c r="BI167" s="59">
        <f ca="1">AVERAGE(OFFSET($BH$3,0,0,'Données projet'!$E$11+1,1))-AVERAGE(OFFSET($H$3,0,0,'Données projet'!$E$11+1,1))</f>
        <v>216.10252108537389</v>
      </c>
      <c r="BJ167" s="59">
        <f t="shared" si="146"/>
        <v>196.91968622092054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12.329429804078501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0</v>
      </c>
      <c r="BS167" s="22">
        <f t="shared" si="169"/>
        <v>12.329429804078501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>
        <f>BY167*VLOOKUP('Données projet'!$B$12,Paramètres!$A$1:$I$89,3,0)*VLOOKUP('Données projet'!$B$12,Paramètres!$A$1:$I$89,5,0)</f>
        <v>0</v>
      </c>
      <c r="CA167" s="13" t="e">
        <f t="shared" si="170"/>
        <v>#NUM!</v>
      </c>
      <c r="CB167" s="20" t="e">
        <f t="shared" si="171"/>
        <v>#NUM!</v>
      </c>
      <c r="CC167" s="59" t="e">
        <f t="shared" si="119"/>
        <v>#NUM!</v>
      </c>
      <c r="CD167" s="59">
        <f ca="1">AVERAGE(OFFSET($CC$3,0,0,'Données projet'!$E$12+1,1))-AVERAGE(OFFSET($H$3,0,0,'Données projet'!$E$12+1,1))</f>
        <v>152.85416952858094</v>
      </c>
      <c r="CE167" s="59">
        <f t="shared" si="148"/>
        <v>369.87619681979322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8.6933426644130911</v>
      </c>
      <c r="CL167" s="21">
        <f>EXP(-LN(2)/25)*CL166+(1-EXP(-LN(2)/25))/(LN(2)/25)*Calculateur!CG167*Calculateur!CI167*VLOOKUP('Données projet'!$B$12,Paramètres!$A$1:$I$89,3,0)*0.475*44/12</f>
        <v>0.35007157467394878</v>
      </c>
      <c r="CM167" s="21">
        <f>EXP(-LN(2)/2)*CM166+(1-EXP(-LN(2)/2))/(LN(2)/2)*CG167*CJ167*VLOOKUP('Données projet'!$B$12,Paramètres!$A$1:$I$89,3,0)*0.475*44/12</f>
        <v>3.0467440367047691E-22</v>
      </c>
      <c r="CN167" s="22">
        <f t="shared" si="172"/>
        <v>9.0434142390870402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77.22000000000034</v>
      </c>
      <c r="D168" s="11">
        <f t="shared" si="140"/>
        <v>21.456066856215958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761.70998976728379</v>
      </c>
      <c r="H168" s="66">
        <f t="shared" si="110"/>
        <v>465.19414977457666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8.977999999999998</v>
      </c>
      <c r="N168" s="13">
        <f>IF('Données projet'!$A$36&gt;35,N167+M168-V167,IF(A168&lt;'Données projet'!$A$36,$K$205^A168,IF(A168='Données projet'!$A$36,'Données projet'!$B$36,N167+M168-V167)))</f>
        <v>529.71799999999973</v>
      </c>
      <c r="O168" s="13">
        <f>N168*VLOOKUP('Données projet'!$B$9,Paramètres!$A$1:$I$89,3,0)*VLOOKUP('Données projet'!$B$9,Paramètres!$A$1:$I$89,5,0)</f>
        <v>537.13405199999977</v>
      </c>
      <c r="P168" s="13">
        <f t="shared" si="141"/>
        <v>119.08392099233572</v>
      </c>
      <c r="Q168" s="20">
        <f t="shared" si="162"/>
        <v>1142.9129696283178</v>
      </c>
      <c r="R168" s="59">
        <f t="shared" si="109"/>
        <v>1436.2463029616511</v>
      </c>
      <c r="S168" s="59">
        <f ca="1">AVERAGE(OFFSET($R$3,0,0,'Données projet'!$E$9+1,1))-AVERAGE(OFFSET($H$3,0,0,'Données projet'!$E$9+1,1))</f>
        <v>561.16051468364344</v>
      </c>
      <c r="T168" s="59">
        <f t="shared" si="142"/>
        <v>137.34523913145267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138.02795490175177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138.02795490175177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479.28884639999978</v>
      </c>
      <c r="AK168" s="13">
        <f t="shared" si="164"/>
        <v>107.67821785986543</v>
      </c>
      <c r="AL168" s="20">
        <f t="shared" si="165"/>
        <v>1022.3009702525984</v>
      </c>
      <c r="AM168" s="59">
        <f t="shared" si="113"/>
        <v>1315.6343035859318</v>
      </c>
      <c r="AN168" s="59">
        <f ca="1">AVERAGE(OFFSET($AM$3,0,0,'Données projet'!$E$10+1,1))-AVERAGE(OFFSET($H$3,0,0,'Données projet'!$E$10+1,1))</f>
        <v>491.82493848755047</v>
      </c>
      <c r="AO168" s="59">
        <f t="shared" si="144"/>
        <v>119.46953275458026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123.16340591233239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123.16340591233239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212.00000000000009</v>
      </c>
      <c r="BE168" s="13">
        <f>BD168*VLOOKUP('Données projet'!$B$11,Paramètres!$A$1:$I$89,3,0)*VLOOKUP('Données projet'!$B$11,Paramètres!$A$1:$I$89,5,0)</f>
        <v>185.20320000000009</v>
      </c>
      <c r="BF168" s="13">
        <f t="shared" si="167"/>
        <v>46.477875402099386</v>
      </c>
      <c r="BG168" s="20">
        <f t="shared" si="168"/>
        <v>403.5112063253232</v>
      </c>
      <c r="BH168" s="59">
        <f t="shared" si="116"/>
        <v>696.84453965865646</v>
      </c>
      <c r="BI168" s="59">
        <f ca="1">AVERAGE(OFFSET($BH$3,0,0,'Données projet'!$E$11+1,1))-AVERAGE(OFFSET($H$3,0,0,'Données projet'!$E$11+1,1))</f>
        <v>216.10252108537389</v>
      </c>
      <c r="BJ168" s="59">
        <f t="shared" si="146"/>
        <v>196.91968622092054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12.087657205830142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0</v>
      </c>
      <c r="BS168" s="22">
        <f t="shared" si="169"/>
        <v>12.087657205830142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>
        <f>BY168*VLOOKUP('Données projet'!$B$12,Paramètres!$A$1:$I$89,3,0)*VLOOKUP('Données projet'!$B$12,Paramètres!$A$1:$I$89,5,0)</f>
        <v>0</v>
      </c>
      <c r="CA168" s="13" t="e">
        <f t="shared" si="170"/>
        <v>#NUM!</v>
      </c>
      <c r="CB168" s="20" t="e">
        <f t="shared" si="171"/>
        <v>#NUM!</v>
      </c>
      <c r="CC168" s="59" t="e">
        <f t="shared" si="119"/>
        <v>#NUM!</v>
      </c>
      <c r="CD168" s="59">
        <f ca="1">AVERAGE(OFFSET($CC$3,0,0,'Données projet'!$E$12+1,1))-AVERAGE(OFFSET($H$3,0,0,'Données projet'!$E$12+1,1))</f>
        <v>152.85416952858094</v>
      </c>
      <c r="CE168" s="59">
        <f t="shared" si="148"/>
        <v>369.87619681979322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8.5228715171794054</v>
      </c>
      <c r="CL168" s="21">
        <f>EXP(-LN(2)/25)*CL167+(1-EXP(-LN(2)/25))/(LN(2)/25)*Calculateur!CG168*Calculateur!CI168*VLOOKUP('Données projet'!$B$12,Paramètres!$A$1:$I$89,3,0)*0.475*44/12</f>
        <v>0.34049884905502564</v>
      </c>
      <c r="CM168" s="21">
        <f>EXP(-LN(2)/2)*CM167+(1-EXP(-LN(2)/2))/(LN(2)/2)*CG168*CJ168*VLOOKUP('Données projet'!$B$12,Paramètres!$A$1:$I$89,3,0)*0.475*44/12</f>
        <v>2.1543733688936177E-22</v>
      </c>
      <c r="CN168" s="22">
        <f t="shared" si="172"/>
        <v>8.863370366234431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77.688000000000343</v>
      </c>
      <c r="D169" s="11">
        <f t="shared" si="140"/>
        <v>21.570926907728293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766.20926034036154</v>
      </c>
      <c r="H169" s="66">
        <f t="shared" si="110"/>
        <v>466.20929769762733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8.977999999999998</v>
      </c>
      <c r="N169" s="13">
        <f>IF('Données projet'!$A$36&gt;35,N168+M169-V168,IF(A169&lt;'Données projet'!$A$36,$K$205^A169,IF(A169='Données projet'!$A$36,'Données projet'!$B$36,N168+M169-V168)))</f>
        <v>538.69599999999969</v>
      </c>
      <c r="O169" s="13">
        <f>N169*VLOOKUP('Données projet'!$B$9,Paramètres!$A$1:$I$89,3,0)*VLOOKUP('Données projet'!$B$9,Paramètres!$A$1:$I$89,5,0)</f>
        <v>546.23774399999979</v>
      </c>
      <c r="P169" s="13">
        <f t="shared" si="141"/>
        <v>120.86555207097202</v>
      </c>
      <c r="Q169" s="20">
        <f t="shared" si="162"/>
        <v>1161.8715739902759</v>
      </c>
      <c r="R169" s="59">
        <f t="shared" si="109"/>
        <v>1455.2049073236092</v>
      </c>
      <c r="S169" s="59">
        <f ca="1">AVERAGE(OFFSET($R$3,0,0,'Données projet'!$E$9+1,1))-AVERAGE(OFFSET($H$3,0,0,'Données projet'!$E$9+1,1))</f>
        <v>561.16051468364344</v>
      </c>
      <c r="T169" s="59">
        <f t="shared" si="142"/>
        <v>137.34523913145267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135.32131089486796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135.32131089486796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487.41214079999969</v>
      </c>
      <c r="AK169" s="13">
        <f t="shared" si="164"/>
        <v>109.28920663007598</v>
      </c>
      <c r="AL169" s="20">
        <f t="shared" si="165"/>
        <v>1039.2548467740485</v>
      </c>
      <c r="AM169" s="59">
        <f t="shared" si="113"/>
        <v>1332.5881801073817</v>
      </c>
      <c r="AN169" s="59">
        <f ca="1">AVERAGE(OFFSET($AM$3,0,0,'Données projet'!$E$10+1,1))-AVERAGE(OFFSET($H$3,0,0,'Données projet'!$E$10+1,1))</f>
        <v>491.82493848755047</v>
      </c>
      <c r="AO169" s="59">
        <f t="shared" si="144"/>
        <v>119.46953275458026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120.74824664465146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120.74824664465146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212.00000000000009</v>
      </c>
      <c r="BE169" s="13">
        <f>BD169*VLOOKUP('Données projet'!$B$11,Paramètres!$A$1:$I$89,3,0)*VLOOKUP('Données projet'!$B$11,Paramètres!$A$1:$I$89,5,0)</f>
        <v>185.20320000000009</v>
      </c>
      <c r="BF169" s="13">
        <f t="shared" si="167"/>
        <v>46.477875402099386</v>
      </c>
      <c r="BG169" s="20">
        <f t="shared" si="168"/>
        <v>403.5112063253232</v>
      </c>
      <c r="BH169" s="59">
        <f t="shared" si="116"/>
        <v>696.84453965865646</v>
      </c>
      <c r="BI169" s="59">
        <f ca="1">AVERAGE(OFFSET($BH$3,0,0,'Données projet'!$E$11+1,1))-AVERAGE(OFFSET($H$3,0,0,'Données projet'!$E$11+1,1))</f>
        <v>216.10252108537389</v>
      </c>
      <c r="BJ169" s="59">
        <f t="shared" si="146"/>
        <v>196.91968622092054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11.850625620766712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0</v>
      </c>
      <c r="BS169" s="22">
        <f t="shared" si="169"/>
        <v>11.850625620766712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>
        <f>BY169*VLOOKUP('Données projet'!$B$12,Paramètres!$A$1:$I$89,3,0)*VLOOKUP('Données projet'!$B$12,Paramètres!$A$1:$I$89,5,0)</f>
        <v>0</v>
      </c>
      <c r="CA169" s="13" t="e">
        <f t="shared" si="170"/>
        <v>#NUM!</v>
      </c>
      <c r="CB169" s="20" t="e">
        <f t="shared" si="171"/>
        <v>#NUM!</v>
      </c>
      <c r="CC169" s="59" t="e">
        <f t="shared" si="119"/>
        <v>#NUM!</v>
      </c>
      <c r="CD169" s="59">
        <f ca="1">AVERAGE(OFFSET($CC$3,0,0,'Données projet'!$E$12+1,1))-AVERAGE(OFFSET($H$3,0,0,'Données projet'!$E$12+1,1))</f>
        <v>152.85416952858094</v>
      </c>
      <c r="CE169" s="59">
        <f t="shared" si="148"/>
        <v>369.87619681979322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8.3557432051658402</v>
      </c>
      <c r="CL169" s="21">
        <f>EXP(-LN(2)/25)*CL168+(1-EXP(-LN(2)/25))/(LN(2)/25)*Calculateur!CG169*Calculateur!CI169*VLOOKUP('Données projet'!$B$12,Paramètres!$A$1:$I$89,3,0)*0.475*44/12</f>
        <v>0.33118789012155969</v>
      </c>
      <c r="CM169" s="21">
        <f>EXP(-LN(2)/2)*CM168+(1-EXP(-LN(2)/2))/(LN(2)/2)*CG169*CJ169*VLOOKUP('Données projet'!$B$12,Paramètres!$A$1:$I$89,3,0)*0.475*44/12</f>
        <v>1.5233720183523845E-22</v>
      </c>
      <c r="CN169" s="22">
        <f t="shared" si="172"/>
        <v>8.6869310952874006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78.156000000000347</v>
      </c>
      <c r="D170" s="11">
        <f t="shared" si="140"/>
        <v>21.685706446534894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770.70790941185112</v>
      </c>
      <c r="H170" s="66">
        <f t="shared" si="110"/>
        <v>467.22430539438216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8.977999999999998</v>
      </c>
      <c r="N170" s="13">
        <f>IF('Données projet'!$A$36&gt;35,N169+M170-V169,IF(A170&lt;'Données projet'!$A$36,$K$205^A170,IF(A170='Données projet'!$A$36,'Données projet'!$B$36,N169+M170-V169)))</f>
        <v>547.67399999999964</v>
      </c>
      <c r="O170" s="13">
        <f>N170*VLOOKUP('Données projet'!$B$9,Paramètres!$A$1:$I$89,3,0)*VLOOKUP('Données projet'!$B$9,Paramètres!$A$1:$I$89,5,0)</f>
        <v>555.3414359999997</v>
      </c>
      <c r="P170" s="13">
        <f t="shared" si="141"/>
        <v>122.64373006927558</v>
      </c>
      <c r="Q170" s="20">
        <f t="shared" si="162"/>
        <v>1180.8241642373212</v>
      </c>
      <c r="R170" s="59">
        <f t="shared" si="109"/>
        <v>1474.1574975706544</v>
      </c>
      <c r="S170" s="59">
        <f ca="1">AVERAGE(OFFSET($R$3,0,0,'Données projet'!$E$9+1,1))-AVERAGE(OFFSET($H$3,0,0,'Données projet'!$E$9+1,1))</f>
        <v>561.16051468364344</v>
      </c>
      <c r="T170" s="59">
        <f t="shared" si="142"/>
        <v>137.34523913145267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132.6677425260693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132.6677425260693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495.53543519999965</v>
      </c>
      <c r="AK170" s="13">
        <f t="shared" si="164"/>
        <v>110.89707305149885</v>
      </c>
      <c r="AL170" s="20">
        <f t="shared" si="165"/>
        <v>1056.2032852046932</v>
      </c>
      <c r="AM170" s="59">
        <f t="shared" si="113"/>
        <v>1349.5366185380265</v>
      </c>
      <c r="AN170" s="59">
        <f ca="1">AVERAGE(OFFSET($AM$3,0,0,'Données projet'!$E$10+1,1))-AVERAGE(OFFSET($H$3,0,0,'Données projet'!$E$10+1,1))</f>
        <v>491.82493848755047</v>
      </c>
      <c r="AO170" s="59">
        <f t="shared" si="144"/>
        <v>119.46953275458026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118.38044717710805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118.38044717710805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212.00000000000009</v>
      </c>
      <c r="BE170" s="13">
        <f>BD170*VLOOKUP('Données projet'!$B$11,Paramètres!$A$1:$I$89,3,0)*VLOOKUP('Données projet'!$B$11,Paramètres!$A$1:$I$89,5,0)</f>
        <v>185.20320000000009</v>
      </c>
      <c r="BF170" s="13">
        <f t="shared" si="167"/>
        <v>46.477875402099386</v>
      </c>
      <c r="BG170" s="20">
        <f t="shared" si="168"/>
        <v>403.5112063253232</v>
      </c>
      <c r="BH170" s="59">
        <f t="shared" si="116"/>
        <v>696.84453965865646</v>
      </c>
      <c r="BI170" s="59">
        <f ca="1">AVERAGE(OFFSET($BH$3,0,0,'Données projet'!$E$11+1,1))-AVERAGE(OFFSET($H$3,0,0,'Données projet'!$E$11+1,1))</f>
        <v>216.10252108537389</v>
      </c>
      <c r="BJ170" s="59">
        <f t="shared" si="146"/>
        <v>196.91968622092054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11.618242080511383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0</v>
      </c>
      <c r="BS170" s="22">
        <f t="shared" si="169"/>
        <v>11.618242080511383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>
        <f>BY170*VLOOKUP('Données projet'!$B$12,Paramètres!$A$1:$I$89,3,0)*VLOOKUP('Données projet'!$B$12,Paramètres!$A$1:$I$89,5,0)</f>
        <v>0</v>
      </c>
      <c r="CA170" s="13" t="e">
        <f t="shared" si="170"/>
        <v>#NUM!</v>
      </c>
      <c r="CB170" s="20" t="e">
        <f t="shared" si="171"/>
        <v>#NUM!</v>
      </c>
      <c r="CC170" s="59" t="e">
        <f t="shared" si="119"/>
        <v>#NUM!</v>
      </c>
      <c r="CD170" s="59">
        <f ca="1">AVERAGE(OFFSET($CC$3,0,0,'Données projet'!$E$12+1,1))-AVERAGE(OFFSET($H$3,0,0,'Données projet'!$E$12+1,1))</f>
        <v>152.85416952858094</v>
      </c>
      <c r="CE170" s="59">
        <f t="shared" si="148"/>
        <v>369.87619681979322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8.1918921774126563</v>
      </c>
      <c r="CL170" s="21">
        <f>EXP(-LN(2)/25)*CL169+(1-EXP(-LN(2)/25))/(LN(2)/25)*Calculateur!CG170*Calculateur!CI170*VLOOKUP('Données projet'!$B$12,Paramètres!$A$1:$I$89,3,0)*0.475*44/12</f>
        <v>0.32213153984977144</v>
      </c>
      <c r="CM170" s="21">
        <f>EXP(-LN(2)/2)*CM169+(1-EXP(-LN(2)/2))/(LN(2)/2)*CG170*CJ170*VLOOKUP('Données projet'!$B$12,Paramètres!$A$1:$I$89,3,0)*0.475*44/12</f>
        <v>1.0771866844468088E-22</v>
      </c>
      <c r="CN170" s="22">
        <f t="shared" si="172"/>
        <v>8.5140237172624271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78.62400000000035</v>
      </c>
      <c r="D171" s="11">
        <f t="shared" si="140"/>
        <v>21.800406010684551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775.20594113511152</v>
      </c>
      <c r="H171" s="66">
        <f t="shared" si="110"/>
        <v>468.23917380194285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8.977999999999998</v>
      </c>
      <c r="N171" s="13">
        <f>IF('Données projet'!$A$36&gt;35,N170+M171-V170,IF(A171&lt;'Données projet'!$A$36,$K$205^A171,IF(A171='Données projet'!$A$36,'Données projet'!$B$36,N170+M171-V170)))</f>
        <v>556.65199999999959</v>
      </c>
      <c r="O171" s="13">
        <f>N171*VLOOKUP('Données projet'!$B$9,Paramètres!$A$1:$I$89,3,0)*VLOOKUP('Données projet'!$B$9,Paramètres!$A$1:$I$89,5,0)</f>
        <v>564.44512799999961</v>
      </c>
      <c r="P171" s="13">
        <f t="shared" si="141"/>
        <v>124.41851812787441</v>
      </c>
      <c r="Q171" s="20">
        <f t="shared" si="162"/>
        <v>1199.7708503393806</v>
      </c>
      <c r="R171" s="59">
        <f t="shared" si="109"/>
        <v>1493.1041836727138</v>
      </c>
      <c r="S171" s="59">
        <f ca="1">AVERAGE(OFFSET($R$3,0,0,'Données projet'!$E$9+1,1))-AVERAGE(OFFSET($H$3,0,0,'Données projet'!$E$9+1,1))</f>
        <v>561.16051468364344</v>
      </c>
      <c r="T171" s="59">
        <f t="shared" si="142"/>
        <v>137.34523913145267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130.0662090144659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130.0662090144659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503.65872959999956</v>
      </c>
      <c r="AK171" s="13">
        <f t="shared" si="164"/>
        <v>112.50187421723477</v>
      </c>
      <c r="AL171" s="20">
        <f t="shared" si="165"/>
        <v>1073.1463849816832</v>
      </c>
      <c r="AM171" s="59">
        <f t="shared" si="113"/>
        <v>1366.4797183150165</v>
      </c>
      <c r="AN171" s="59">
        <f ca="1">AVERAGE(OFFSET($AM$3,0,0,'Données projet'!$E$10+1,1))-AVERAGE(OFFSET($H$3,0,0,'Données projet'!$E$10+1,1))</f>
        <v>491.82493848755047</v>
      </c>
      <c r="AO171" s="59">
        <f t="shared" si="144"/>
        <v>119.46953275458026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116.0590788129081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116.0590788129081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212.00000000000009</v>
      </c>
      <c r="BE171" s="13">
        <f>BD171*VLOOKUP('Données projet'!$B$11,Paramètres!$A$1:$I$89,3,0)*VLOOKUP('Données projet'!$B$11,Paramètres!$A$1:$I$89,5,0)</f>
        <v>185.20320000000009</v>
      </c>
      <c r="BF171" s="13">
        <f t="shared" si="167"/>
        <v>46.477875402099386</v>
      </c>
      <c r="BG171" s="20">
        <f t="shared" si="168"/>
        <v>403.5112063253232</v>
      </c>
      <c r="BH171" s="59">
        <f t="shared" si="116"/>
        <v>696.84453965865646</v>
      </c>
      <c r="BI171" s="59">
        <f ca="1">AVERAGE(OFFSET($BH$3,0,0,'Données projet'!$E$11+1,1))-AVERAGE(OFFSET($H$3,0,0,'Données projet'!$E$11+1,1))</f>
        <v>216.10252108537389</v>
      </c>
      <c r="BJ171" s="59">
        <f t="shared" si="146"/>
        <v>196.91968622092054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11.390415439740497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0</v>
      </c>
      <c r="BS171" s="22">
        <f t="shared" si="169"/>
        <v>11.390415439740497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>
        <f>BY171*VLOOKUP('Données projet'!$B$12,Paramètres!$A$1:$I$89,3,0)*VLOOKUP('Données projet'!$B$12,Paramètres!$A$1:$I$89,5,0)</f>
        <v>0</v>
      </c>
      <c r="CA171" s="13" t="e">
        <f t="shared" si="170"/>
        <v>#NUM!</v>
      </c>
      <c r="CB171" s="20" t="e">
        <f t="shared" si="171"/>
        <v>#NUM!</v>
      </c>
      <c r="CC171" s="59" t="e">
        <f t="shared" si="119"/>
        <v>#NUM!</v>
      </c>
      <c r="CD171" s="59">
        <f ca="1">AVERAGE(OFFSET($CC$3,0,0,'Données projet'!$E$12+1,1))-AVERAGE(OFFSET($H$3,0,0,'Données projet'!$E$12+1,1))</f>
        <v>152.85416952858094</v>
      </c>
      <c r="CE171" s="59">
        <f t="shared" si="148"/>
        <v>369.87619681979322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8.0312541683744527</v>
      </c>
      <c r="CL171" s="21">
        <f>EXP(-LN(2)/25)*CL170+(1-EXP(-LN(2)/25))/(LN(2)/25)*Calculateur!CG171*Calculateur!CI171*VLOOKUP('Données projet'!$B$12,Paramètres!$A$1:$I$89,3,0)*0.475*44/12</f>
        <v>0.313322835952418</v>
      </c>
      <c r="CM171" s="21">
        <f>EXP(-LN(2)/2)*CM170+(1-EXP(-LN(2)/2))/(LN(2)/2)*CG171*CJ171*VLOOKUP('Données projet'!$B$12,Paramètres!$A$1:$I$89,3,0)*0.475*44/12</f>
        <v>7.6168600917619227E-23</v>
      </c>
      <c r="CN171" s="22">
        <f t="shared" si="172"/>
        <v>8.3445770043268706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79.092000000000354</v>
      </c>
      <c r="D172" s="11">
        <f t="shared" si="140"/>
        <v>21.915026131450077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779.70335961119633</v>
      </c>
      <c r="H172" s="66">
        <f t="shared" si="110"/>
        <v>469.25390384560944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8.977999999999998</v>
      </c>
      <c r="N172" s="13">
        <f>IF('Données projet'!$A$36&gt;35,N171+M172-V171,IF(A172&lt;'Données projet'!$A$36,$K$205^A172,IF(A172='Données projet'!$A$36,'Données projet'!$B$36,N171+M172-V171)))</f>
        <v>565.62999999999954</v>
      </c>
      <c r="O172" s="13">
        <f>N172*VLOOKUP('Données projet'!$B$9,Paramètres!$A$1:$I$89,3,0)*VLOOKUP('Données projet'!$B$9,Paramètres!$A$1:$I$89,5,0)</f>
        <v>573.54881999999952</v>
      </c>
      <c r="P172" s="13">
        <f t="shared" si="141"/>
        <v>126.18997723386609</v>
      </c>
      <c r="Q172" s="20">
        <f t="shared" si="162"/>
        <v>1218.7117385156494</v>
      </c>
      <c r="R172" s="59">
        <f t="shared" si="109"/>
        <v>1512.0450718489826</v>
      </c>
      <c r="S172" s="59">
        <f ca="1">AVERAGE(OFFSET($R$3,0,0,'Données projet'!$E$9+1,1))-AVERAGE(OFFSET($H$3,0,0,'Données projet'!$E$9+1,1))</f>
        <v>561.16051468364344</v>
      </c>
      <c r="T172" s="59">
        <f t="shared" si="142"/>
        <v>137.34523913145267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127.51568998824628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127.51568998824628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511.78202399999958</v>
      </c>
      <c r="AK172" s="13">
        <f t="shared" si="164"/>
        <v>114.10366527311611</v>
      </c>
      <c r="AL172" s="20">
        <f t="shared" si="165"/>
        <v>1090.0842421506763</v>
      </c>
      <c r="AM172" s="59">
        <f t="shared" si="113"/>
        <v>1383.4175754840096</v>
      </c>
      <c r="AN172" s="59">
        <f ca="1">AVERAGE(OFFSET($AM$3,0,0,'Données projet'!$E$10+1,1))-AVERAGE(OFFSET($H$3,0,0,'Données projet'!$E$10+1,1))</f>
        <v>491.82493848755047</v>
      </c>
      <c r="AO172" s="59">
        <f t="shared" si="144"/>
        <v>119.46953275458026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113.78323106643521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113.78323106643521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212.00000000000009</v>
      </c>
      <c r="BE172" s="13">
        <f>BD172*VLOOKUP('Données projet'!$B$11,Paramètres!$A$1:$I$89,3,0)*VLOOKUP('Données projet'!$B$11,Paramètres!$A$1:$I$89,5,0)</f>
        <v>185.20320000000009</v>
      </c>
      <c r="BF172" s="13">
        <f t="shared" si="167"/>
        <v>46.477875402099386</v>
      </c>
      <c r="BG172" s="20">
        <f t="shared" si="168"/>
        <v>403.5112063253232</v>
      </c>
      <c r="BH172" s="59">
        <f t="shared" si="116"/>
        <v>696.84453965865646</v>
      </c>
      <c r="BI172" s="59">
        <f ca="1">AVERAGE(OFFSET($BH$3,0,0,'Données projet'!$E$11+1,1))-AVERAGE(OFFSET($H$3,0,0,'Données projet'!$E$11+1,1))</f>
        <v>216.10252108537389</v>
      </c>
      <c r="BJ172" s="59">
        <f t="shared" si="146"/>
        <v>196.91968622092054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11.167056340434598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0</v>
      </c>
      <c r="BS172" s="22">
        <f t="shared" si="169"/>
        <v>11.167056340434598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>
        <f>BY172*VLOOKUP('Données projet'!$B$12,Paramètres!$A$1:$I$89,3,0)*VLOOKUP('Données projet'!$B$12,Paramètres!$A$1:$I$89,5,0)</f>
        <v>0</v>
      </c>
      <c r="CA172" s="13" t="e">
        <f t="shared" si="170"/>
        <v>#NUM!</v>
      </c>
      <c r="CB172" s="20" t="e">
        <f t="shared" si="171"/>
        <v>#NUM!</v>
      </c>
      <c r="CC172" s="59" t="e">
        <f t="shared" si="119"/>
        <v>#NUM!</v>
      </c>
      <c r="CD172" s="59">
        <f ca="1">AVERAGE(OFFSET($CC$3,0,0,'Données projet'!$E$12+1,1))-AVERAGE(OFFSET($H$3,0,0,'Données projet'!$E$12+1,1))</f>
        <v>152.85416952858094</v>
      </c>
      <c r="CE172" s="59">
        <f t="shared" si="148"/>
        <v>369.87619681979322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7.8737661727139781</v>
      </c>
      <c r="CL172" s="21">
        <f>EXP(-LN(2)/25)*CL171+(1-EXP(-LN(2)/25))/(LN(2)/25)*Calculateur!CG172*Calculateur!CI172*VLOOKUP('Données projet'!$B$12,Paramètres!$A$1:$I$89,3,0)*0.475*44/12</f>
        <v>0.30475500652636728</v>
      </c>
      <c r="CM172" s="21">
        <f>EXP(-LN(2)/2)*CM171+(1-EXP(-LN(2)/2))/(LN(2)/2)*CG172*CJ172*VLOOKUP('Données projet'!$B$12,Paramètres!$A$1:$I$89,3,0)*0.475*44/12</f>
        <v>5.3859334222340442E-23</v>
      </c>
      <c r="CN172" s="22">
        <f t="shared" si="172"/>
        <v>8.1785211792403452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79.560000000000358</v>
      </c>
      <c r="D173" s="11">
        <f t="shared" si="140"/>
        <v>22.0295673334534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784.20016888981854</v>
      </c>
      <c r="H173" s="66">
        <f t="shared" si="110"/>
        <v>470.26849643909861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8.977999999999998</v>
      </c>
      <c r="N173" s="13">
        <f>IF('Données projet'!$A$36&gt;35,N172+M173-V172,IF(A173&lt;'Données projet'!$A$36,$K$205^A173,IF(A173='Données projet'!$A$36,'Données projet'!$B$36,N172+M173-V172)))</f>
        <v>574.60799999999949</v>
      </c>
      <c r="O173" s="13">
        <f>N173*VLOOKUP('Données projet'!$B$9,Paramètres!$A$1:$I$89,3,0)*VLOOKUP('Données projet'!$B$9,Paramètres!$A$1:$I$89,5,0)</f>
        <v>582.65251199999955</v>
      </c>
      <c r="P173" s="13">
        <f t="shared" si="141"/>
        <v>127.95816632726086</v>
      </c>
      <c r="Q173" s="20">
        <f t="shared" si="162"/>
        <v>1237.6469314199785</v>
      </c>
      <c r="R173" s="59">
        <f t="shared" si="109"/>
        <v>1530.9802647533118</v>
      </c>
      <c r="S173" s="59">
        <f ca="1">AVERAGE(OFFSET($R$3,0,0,'Données projet'!$E$9+1,1))-AVERAGE(OFFSET($H$3,0,0,'Données projet'!$E$9+1,1))</f>
        <v>561.16051468364344</v>
      </c>
      <c r="T173" s="59">
        <f t="shared" si="142"/>
        <v>137.34523913145267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125.01518508446783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125.01518508446783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519.90531839999949</v>
      </c>
      <c r="AK173" s="13">
        <f t="shared" si="164"/>
        <v>115.70249951395583</v>
      </c>
      <c r="AL173" s="20">
        <f t="shared" si="165"/>
        <v>1107.0169495334719</v>
      </c>
      <c r="AM173" s="59">
        <f t="shared" si="113"/>
        <v>1400.3502828668052</v>
      </c>
      <c r="AN173" s="59">
        <f ca="1">AVERAGE(OFFSET($AM$3,0,0,'Données projet'!$E$10+1,1))-AVERAGE(OFFSET($H$3,0,0,'Données projet'!$E$10+1,1))</f>
        <v>491.82493848755047</v>
      </c>
      <c r="AO173" s="59">
        <f t="shared" si="144"/>
        <v>119.46953275458026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111.55201130614059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111.55201130614059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212.00000000000009</v>
      </c>
      <c r="BE173" s="13">
        <f>BD173*VLOOKUP('Données projet'!$B$11,Paramètres!$A$1:$I$89,3,0)*VLOOKUP('Données projet'!$B$11,Paramètres!$A$1:$I$89,5,0)</f>
        <v>185.20320000000009</v>
      </c>
      <c r="BF173" s="13">
        <f t="shared" si="167"/>
        <v>46.477875402099386</v>
      </c>
      <c r="BG173" s="20">
        <f t="shared" si="168"/>
        <v>403.5112063253232</v>
      </c>
      <c r="BH173" s="59">
        <f t="shared" si="116"/>
        <v>696.84453965865646</v>
      </c>
      <c r="BI173" s="59">
        <f ca="1">AVERAGE(OFFSET($BH$3,0,0,'Données projet'!$E$11+1,1))-AVERAGE(OFFSET($H$3,0,0,'Données projet'!$E$11+1,1))</f>
        <v>216.10252108537389</v>
      </c>
      <c r="BJ173" s="59">
        <f t="shared" si="146"/>
        <v>196.91968622092054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10.948077176830489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0</v>
      </c>
      <c r="BS173" s="22">
        <f t="shared" si="169"/>
        <v>10.948077176830489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>
        <f>BY173*VLOOKUP('Données projet'!$B$12,Paramètres!$A$1:$I$89,3,0)*VLOOKUP('Données projet'!$B$12,Paramètres!$A$1:$I$89,5,0)</f>
        <v>0</v>
      </c>
      <c r="CA173" s="13" t="e">
        <f t="shared" si="170"/>
        <v>#NUM!</v>
      </c>
      <c r="CB173" s="20" t="e">
        <f t="shared" si="171"/>
        <v>#NUM!</v>
      </c>
      <c r="CC173" s="59" t="e">
        <f t="shared" si="119"/>
        <v>#NUM!</v>
      </c>
      <c r="CD173" s="59">
        <f ca="1">AVERAGE(OFFSET($CC$3,0,0,'Données projet'!$E$12+1,1))-AVERAGE(OFFSET($H$3,0,0,'Données projet'!$E$12+1,1))</f>
        <v>152.85416952858094</v>
      </c>
      <c r="CE173" s="59">
        <f t="shared" si="148"/>
        <v>369.87619681979322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7.7193664205902124</v>
      </c>
      <c r="CL173" s="21">
        <f>EXP(-LN(2)/25)*CL172+(1-EXP(-LN(2)/25))/(LN(2)/25)*Calculateur!CG173*Calculateur!CI173*VLOOKUP('Données projet'!$B$12,Paramètres!$A$1:$I$89,3,0)*0.475*44/12</f>
        <v>0.29642146484653448</v>
      </c>
      <c r="CM173" s="21">
        <f>EXP(-LN(2)/2)*CM172+(1-EXP(-LN(2)/2))/(LN(2)/2)*CG173*CJ173*VLOOKUP('Données projet'!$B$12,Paramètres!$A$1:$I$89,3,0)*0.475*44/12</f>
        <v>3.8084300458809614E-23</v>
      </c>
      <c r="CN173" s="22">
        <f t="shared" si="172"/>
        <v>8.0157878854367475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80.028000000000361</v>
      </c>
      <c r="D174" s="11">
        <f t="shared" si="140"/>
        <v>22.144030134787236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788.69637297029021</v>
      </c>
      <c r="H174" s="66">
        <f t="shared" si="110"/>
        <v>471.28295248475501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8.977999999999998</v>
      </c>
      <c r="N174" s="13">
        <f>IF('Données projet'!$A$36&gt;35,N173+M174-V173,IF(A174&lt;'Données projet'!$A$36,$K$205^A174,IF(A174='Données projet'!$A$36,'Données projet'!$B$36,N173+M174-V173)))</f>
        <v>583.58599999999944</v>
      </c>
      <c r="O174" s="13">
        <f>N174*VLOOKUP('Données projet'!$B$9,Paramètres!$A$1:$I$89,3,0)*VLOOKUP('Données projet'!$B$9,Paramètres!$A$1:$I$89,5,0)</f>
        <v>591.75620399999946</v>
      </c>
      <c r="P174" s="13">
        <f t="shared" si="141"/>
        <v>129.72314240058563</v>
      </c>
      <c r="Q174" s="20">
        <f t="shared" si="162"/>
        <v>1256.5765283143523</v>
      </c>
      <c r="R174" s="59">
        <f t="shared" si="109"/>
        <v>1549.9098616476856</v>
      </c>
      <c r="S174" s="59">
        <f ca="1">AVERAGE(OFFSET($R$3,0,0,'Données projet'!$E$9+1,1))-AVERAGE(OFFSET($H$3,0,0,'Données projet'!$E$9+1,1))</f>
        <v>561.16051468364344</v>
      </c>
      <c r="T174" s="59">
        <f t="shared" si="142"/>
        <v>137.34523913145267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122.56371355669509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122.56371355669509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528.02861279999945</v>
      </c>
      <c r="AK174" s="13">
        <f t="shared" si="164"/>
        <v>117.29842847361064</v>
      </c>
      <c r="AL174" s="20">
        <f t="shared" si="165"/>
        <v>1123.9445968848709</v>
      </c>
      <c r="AM174" s="59">
        <f t="shared" si="113"/>
        <v>1417.2779302182041</v>
      </c>
      <c r="AN174" s="59">
        <f ca="1">AVERAGE(OFFSET($AM$3,0,0,'Données projet'!$E$10+1,1))-AVERAGE(OFFSET($H$3,0,0,'Données projet'!$E$10+1,1))</f>
        <v>491.82493848755047</v>
      </c>
      <c r="AO174" s="59">
        <f t="shared" si="144"/>
        <v>119.46953275458026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109.36454440443568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109.36454440443568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212.00000000000009</v>
      </c>
      <c r="BE174" s="13">
        <f>BD174*VLOOKUP('Données projet'!$B$11,Paramètres!$A$1:$I$89,3,0)*VLOOKUP('Données projet'!$B$11,Paramètres!$A$1:$I$89,5,0)</f>
        <v>185.20320000000009</v>
      </c>
      <c r="BF174" s="13">
        <f t="shared" si="167"/>
        <v>46.477875402099386</v>
      </c>
      <c r="BG174" s="20">
        <f t="shared" si="168"/>
        <v>403.5112063253232</v>
      </c>
      <c r="BH174" s="59">
        <f t="shared" si="116"/>
        <v>696.84453965865646</v>
      </c>
      <c r="BI174" s="59">
        <f ca="1">AVERAGE(OFFSET($BH$3,0,0,'Données projet'!$E$11+1,1))-AVERAGE(OFFSET($H$3,0,0,'Données projet'!$E$11+1,1))</f>
        <v>216.10252108537389</v>
      </c>
      <c r="BJ174" s="59">
        <f t="shared" si="146"/>
        <v>196.91968622092054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10.733392061060556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0</v>
      </c>
      <c r="BS174" s="22">
        <f t="shared" si="169"/>
        <v>10.733392061060556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>
        <f>BY174*VLOOKUP('Données projet'!$B$12,Paramètres!$A$1:$I$89,3,0)*VLOOKUP('Données projet'!$B$12,Paramètres!$A$1:$I$89,5,0)</f>
        <v>0</v>
      </c>
      <c r="CA174" s="13" t="e">
        <f t="shared" si="170"/>
        <v>#NUM!</v>
      </c>
      <c r="CB174" s="20" t="e">
        <f t="shared" si="171"/>
        <v>#NUM!</v>
      </c>
      <c r="CC174" s="59" t="e">
        <f t="shared" si="119"/>
        <v>#NUM!</v>
      </c>
      <c r="CD174" s="59">
        <f ca="1">AVERAGE(OFFSET($CC$3,0,0,'Données projet'!$E$12+1,1))-AVERAGE(OFFSET($H$3,0,0,'Données projet'!$E$12+1,1))</f>
        <v>152.85416952858094</v>
      </c>
      <c r="CE174" s="59">
        <f t="shared" si="148"/>
        <v>369.87619681979322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7.5679943534310441</v>
      </c>
      <c r="CL174" s="21">
        <f>EXP(-LN(2)/25)*CL173+(1-EXP(-LN(2)/25))/(LN(2)/25)*Calculateur!CG174*Calculateur!CI174*VLOOKUP('Données projet'!$B$12,Paramètres!$A$1:$I$89,3,0)*0.475*44/12</f>
        <v>0.28831580430217862</v>
      </c>
      <c r="CM174" s="21">
        <f>EXP(-LN(2)/2)*CM173+(1-EXP(-LN(2)/2))/(LN(2)/2)*CG174*CJ174*VLOOKUP('Données projet'!$B$12,Paramètres!$A$1:$I$89,3,0)*0.475*44/12</f>
        <v>2.6929667111170221E-23</v>
      </c>
      <c r="CN174" s="22">
        <f t="shared" si="172"/>
        <v>7.8563101577332226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80.496000000000365</v>
      </c>
      <c r="D175" s="11">
        <f t="shared" si="140"/>
        <v>22.258415047134207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793.19197580244236</v>
      </c>
      <c r="H175" s="66">
        <f t="shared" si="110"/>
        <v>472.29727287375937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8.977999999999998</v>
      </c>
      <c r="N175" s="13">
        <f>IF('Données projet'!$A$36&gt;35,N174+M175-V174,IF(A175&lt;'Données projet'!$A$36,$K$205^A175,IF(A175='Données projet'!$A$36,'Données projet'!$B$36,N174+M175-V174)))</f>
        <v>592.5639999999994</v>
      </c>
      <c r="O175" s="13">
        <f>N175*VLOOKUP('Données projet'!$B$9,Paramètres!$A$1:$I$89,3,0)*VLOOKUP('Données projet'!$B$9,Paramètres!$A$1:$I$89,5,0)</f>
        <v>600.85989599999948</v>
      </c>
      <c r="P175" s="13">
        <f t="shared" si="141"/>
        <v>131.4849605921836</v>
      </c>
      <c r="Q175" s="20">
        <f t="shared" si="162"/>
        <v>1275.5006252313856</v>
      </c>
      <c r="R175" s="59">
        <f t="shared" si="109"/>
        <v>1568.8339585647188</v>
      </c>
      <c r="S175" s="59">
        <f ca="1">AVERAGE(OFFSET($R$3,0,0,'Données projet'!$E$9+1,1))-AVERAGE(OFFSET($H$3,0,0,'Données projet'!$E$9+1,1))</f>
        <v>561.16051468364344</v>
      </c>
      <c r="T175" s="59">
        <f t="shared" si="142"/>
        <v>137.34523913145267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120.16031389033198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120.16031389033198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536.15190719999953</v>
      </c>
      <c r="AK175" s="13">
        <f t="shared" si="164"/>
        <v>118.89150200934502</v>
      </c>
      <c r="AL175" s="20">
        <f t="shared" si="165"/>
        <v>1140.8672710396083</v>
      </c>
      <c r="AM175" s="59">
        <f t="shared" si="113"/>
        <v>1434.2006043729416</v>
      </c>
      <c r="AN175" s="59">
        <f ca="1">AVERAGE(OFFSET($AM$3,0,0,'Données projet'!$E$10+1,1))-AVERAGE(OFFSET($H$3,0,0,'Données projet'!$E$10+1,1))</f>
        <v>491.82493848755047</v>
      </c>
      <c r="AO175" s="59">
        <f t="shared" si="144"/>
        <v>119.46953275458026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107.21997239445012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107.21997239445012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212.00000000000009</v>
      </c>
      <c r="BE175" s="13">
        <f>BD175*VLOOKUP('Données projet'!$B$11,Paramètres!$A$1:$I$89,3,0)*VLOOKUP('Données projet'!$B$11,Paramètres!$A$1:$I$89,5,0)</f>
        <v>185.20320000000009</v>
      </c>
      <c r="BF175" s="13">
        <f t="shared" si="167"/>
        <v>46.477875402099386</v>
      </c>
      <c r="BG175" s="20">
        <f t="shared" si="168"/>
        <v>403.5112063253232</v>
      </c>
      <c r="BH175" s="59">
        <f t="shared" si="116"/>
        <v>696.84453965865646</v>
      </c>
      <c r="BI175" s="59">
        <f ca="1">AVERAGE(OFFSET($BH$3,0,0,'Données projet'!$E$11+1,1))-AVERAGE(OFFSET($H$3,0,0,'Données projet'!$E$11+1,1))</f>
        <v>216.10252108537389</v>
      </c>
      <c r="BJ175" s="59">
        <f t="shared" si="146"/>
        <v>196.91968622092054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10.52291678946588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0</v>
      </c>
      <c r="BS175" s="22">
        <f t="shared" si="169"/>
        <v>10.52291678946588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>
        <f>BY175*VLOOKUP('Données projet'!$B$12,Paramètres!$A$1:$I$89,3,0)*VLOOKUP('Données projet'!$B$12,Paramètres!$A$1:$I$89,5,0)</f>
        <v>0</v>
      </c>
      <c r="CA175" s="13" t="e">
        <f t="shared" si="170"/>
        <v>#NUM!</v>
      </c>
      <c r="CB175" s="20" t="e">
        <f t="shared" si="171"/>
        <v>#NUM!</v>
      </c>
      <c r="CC175" s="59" t="e">
        <f t="shared" si="119"/>
        <v>#NUM!</v>
      </c>
      <c r="CD175" s="59">
        <f ca="1">AVERAGE(OFFSET($CC$3,0,0,'Données projet'!$E$12+1,1))-AVERAGE(OFFSET($H$3,0,0,'Données projet'!$E$12+1,1))</f>
        <v>152.85416952858094</v>
      </c>
      <c r="CE175" s="59">
        <f t="shared" si="148"/>
        <v>369.87619681979322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7.4195906001810226</v>
      </c>
      <c r="CL175" s="21">
        <f>EXP(-LN(2)/25)*CL174+(1-EXP(-LN(2)/25))/(LN(2)/25)*Calculateur!CG175*Calculateur!CI175*VLOOKUP('Données projet'!$B$12,Paramètres!$A$1:$I$89,3,0)*0.475*44/12</f>
        <v>0.28043179347166636</v>
      </c>
      <c r="CM175" s="21">
        <f>EXP(-LN(2)/2)*CM174+(1-EXP(-LN(2)/2))/(LN(2)/2)*CG175*CJ175*VLOOKUP('Données projet'!$B$12,Paramètres!$A$1:$I$89,3,0)*0.475*44/12</f>
        <v>1.9042150229404807E-23</v>
      </c>
      <c r="CN175" s="22">
        <f t="shared" si="172"/>
        <v>7.7000223936526888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80.964000000000368</v>
      </c>
      <c r="D176" s="11">
        <f t="shared" si="140"/>
        <v>22.372722575882829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797.68698128751942</v>
      </c>
      <c r="H176" s="66">
        <f t="shared" si="110"/>
        <v>473.31145848632991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8.977999999999998</v>
      </c>
      <c r="N176" s="13">
        <f>IF('Données projet'!$A$36&gt;35,N175+M176-V175,IF(A176&lt;'Données projet'!$A$36,$K$205^A176,IF(A176='Données projet'!$A$36,'Données projet'!$B$36,N175+M176-V175)))</f>
        <v>601.54199999999935</v>
      </c>
      <c r="O176" s="13">
        <f>N176*VLOOKUP('Données projet'!$B$9,Paramètres!$A$1:$I$89,3,0)*VLOOKUP('Données projet'!$B$9,Paramètres!$A$1:$I$89,5,0)</f>
        <v>609.96358799999939</v>
      </c>
      <c r="P176" s="13">
        <f t="shared" si="141"/>
        <v>133.24367427369958</v>
      </c>
      <c r="Q176" s="20">
        <f t="shared" si="162"/>
        <v>1294.4193151266923</v>
      </c>
      <c r="R176" s="59">
        <f t="shared" si="109"/>
        <v>1587.7526484600255</v>
      </c>
      <c r="S176" s="59">
        <f ca="1">AVERAGE(OFFSET($R$3,0,0,'Données projet'!$E$9+1,1))-AVERAGE(OFFSET($H$3,0,0,'Données projet'!$E$9+1,1))</f>
        <v>561.16051468364344</v>
      </c>
      <c r="T176" s="59">
        <f t="shared" si="142"/>
        <v>137.34523913145267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117.8040434254972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117.8040434254972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544.27520159999938</v>
      </c>
      <c r="AK176" s="13">
        <f t="shared" si="164"/>
        <v>120.48176838093659</v>
      </c>
      <c r="AL176" s="20">
        <f t="shared" si="165"/>
        <v>1157.7850560501302</v>
      </c>
      <c r="AM176" s="59">
        <f t="shared" si="113"/>
        <v>1451.1183893834634</v>
      </c>
      <c r="AN176" s="59">
        <f ca="1">AVERAGE(OFFSET($AM$3,0,0,'Données projet'!$E$10+1,1))-AVERAGE(OFFSET($H$3,0,0,'Données projet'!$E$10+1,1))</f>
        <v>491.82493848755047</v>
      </c>
      <c r="AO176" s="59">
        <f t="shared" si="144"/>
        <v>119.46953275458026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105.11745413352062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105.11745413352062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212.00000000000009</v>
      </c>
      <c r="BE176" s="13">
        <f>BD176*VLOOKUP('Données projet'!$B$11,Paramètres!$A$1:$I$89,3,0)*VLOOKUP('Données projet'!$B$11,Paramètres!$A$1:$I$89,5,0)</f>
        <v>185.20320000000009</v>
      </c>
      <c r="BF176" s="13">
        <f t="shared" si="167"/>
        <v>46.477875402099386</v>
      </c>
      <c r="BG176" s="20">
        <f t="shared" si="168"/>
        <v>403.5112063253232</v>
      </c>
      <c r="BH176" s="59">
        <f t="shared" si="116"/>
        <v>696.84453965865646</v>
      </c>
      <c r="BI176" s="59">
        <f ca="1">AVERAGE(OFFSET($BH$3,0,0,'Données projet'!$E$11+1,1))-AVERAGE(OFFSET($H$3,0,0,'Données projet'!$E$11+1,1))</f>
        <v>216.10252108537389</v>
      </c>
      <c r="BJ176" s="59">
        <f t="shared" si="146"/>
        <v>196.91968622092054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10.316568809569937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0</v>
      </c>
      <c r="BS176" s="22">
        <f t="shared" si="169"/>
        <v>10.316568809569937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>
        <f>BY176*VLOOKUP('Données projet'!$B$12,Paramètres!$A$1:$I$89,3,0)*VLOOKUP('Données projet'!$B$12,Paramètres!$A$1:$I$89,5,0)</f>
        <v>0</v>
      </c>
      <c r="CA176" s="13" t="e">
        <f t="shared" si="170"/>
        <v>#NUM!</v>
      </c>
      <c r="CB176" s="20" t="e">
        <f t="shared" si="171"/>
        <v>#NUM!</v>
      </c>
      <c r="CC176" s="59" t="e">
        <f t="shared" si="119"/>
        <v>#NUM!</v>
      </c>
      <c r="CD176" s="59">
        <f ca="1">AVERAGE(OFFSET($CC$3,0,0,'Données projet'!$E$12+1,1))-AVERAGE(OFFSET($H$3,0,0,'Données projet'!$E$12+1,1))</f>
        <v>152.85416952858094</v>
      </c>
      <c r="CE176" s="59">
        <f t="shared" si="148"/>
        <v>369.87619681979322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7.2740969540148823</v>
      </c>
      <c r="CL176" s="21">
        <f>EXP(-LN(2)/25)*CL175+(1-EXP(-LN(2)/25))/(LN(2)/25)*Calculateur!CG176*Calculateur!CI176*VLOOKUP('Données projet'!$B$12,Paramètres!$A$1:$I$89,3,0)*0.475*44/12</f>
        <v>0.27276337133191658</v>
      </c>
      <c r="CM176" s="21">
        <f>EXP(-LN(2)/2)*CM175+(1-EXP(-LN(2)/2))/(LN(2)/2)*CG176*CJ176*VLOOKUP('Données projet'!$B$12,Paramètres!$A$1:$I$89,3,0)*0.475*44/12</f>
        <v>1.346483355558511E-23</v>
      </c>
      <c r="CN176" s="22">
        <f t="shared" si="172"/>
        <v>7.546860325346799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81.432000000000372</v>
      </c>
      <c r="D177" s="11">
        <f t="shared" si="140"/>
        <v>22.486953220240959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802.18139327905601</v>
      </c>
      <c r="H177" s="66">
        <f t="shared" si="110"/>
        <v>474.32551019192033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>
        <f>VLOOKUP(A177,'Données projet'!$A$35:$I$55,2,0)</f>
        <v>610.52</v>
      </c>
      <c r="L177" s="12">
        <f>VLOOKUP(A177,'Données projet'!$A$35:$I$55,9,0)</f>
        <v>8.977999999999998</v>
      </c>
      <c r="M177" s="12">
        <f t="array" ref="M177">INDEX(L:L,MIN(IF(ISNUMBER(L177:L373),ROW(L177:L373),"")))</f>
        <v>8.977999999999998</v>
      </c>
      <c r="N177" s="13">
        <f>IF('Données projet'!$A$36&gt;35,N176+M177-V176,IF(A177&lt;'Données projet'!$A$36,$K$205^A177,IF(A177='Données projet'!$A$36,'Données projet'!$B$36,N176+M177-V176)))</f>
        <v>610.5199999999993</v>
      </c>
      <c r="O177" s="13">
        <f>N177*VLOOKUP('Données projet'!$B$9,Paramètres!$A$1:$I$89,3,0)*VLOOKUP('Données projet'!$B$9,Paramètres!$A$1:$I$89,5,0)</f>
        <v>619.0672799999993</v>
      </c>
      <c r="P177" s="13">
        <f t="shared" si="141"/>
        <v>134.99933513219244</v>
      </c>
      <c r="Q177" s="20">
        <f t="shared" si="162"/>
        <v>1313.3326880219006</v>
      </c>
      <c r="R177" s="59">
        <f t="shared" si="109"/>
        <v>1606.6660213552339</v>
      </c>
      <c r="S177" s="59">
        <f ca="1">AVERAGE(OFFSET($R$3,0,0,'Données projet'!$E$9+1,1))-AVERAGE(OFFSET($H$3,0,0,'Données projet'!$E$9+1,1))</f>
        <v>561.16051468364344</v>
      </c>
      <c r="T177" s="59">
        <f t="shared" si="142"/>
        <v>137.34523913145267</v>
      </c>
      <c r="U177" s="15">
        <f>IF(ISNA(VLOOKUP(A177,'Données projet'!$A$35:$I$55,3,0)),0,VLOOKUP(A177,'Données projet'!$A$35:$I$55,3,0))</f>
        <v>15</v>
      </c>
      <c r="V177" s="15">
        <f>IF(ISNA(VLOOKUP(A177,'Données projet'!$A$35:$I$55,4,0)),0,VLOOKUP(A177,'Données projet'!$A$35:$I$55,4,0))</f>
        <v>214.77</v>
      </c>
      <c r="W177" s="16">
        <f>IF(ISNA(VLOOKUP(A177,'Données projet'!$A$35:$I$55,5,0)),0%,VLOOKUP(A177,'Données projet'!$A$35:$I$55,5,0)*VLOOKUP('Données projet'!$B$9,Paramètres!$A$1:$I$89,7,0))</f>
        <v>0.43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219.01466323252217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219.01466323252217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552.39849599999934</v>
      </c>
      <c r="AK177" s="13">
        <f t="shared" si="164"/>
        <v>122.06927432492564</v>
      </c>
      <c r="AL177" s="20">
        <f t="shared" si="165"/>
        <v>1174.6980333159111</v>
      </c>
      <c r="AM177" s="59">
        <f t="shared" si="113"/>
        <v>1468.0313666492443</v>
      </c>
      <c r="AN177" s="59">
        <f ca="1">AVERAGE(OFFSET($AM$3,0,0,'Données projet'!$E$10+1,1))-AVERAGE(OFFSET($H$3,0,0,'Données projet'!$E$10+1,1))</f>
        <v>491.82493848755047</v>
      </c>
      <c r="AO177" s="59">
        <f t="shared" si="144"/>
        <v>119.46953275458026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195.42846873055828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195.42846873055828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212.00000000000009</v>
      </c>
      <c r="BE177" s="13">
        <f>BD177*VLOOKUP('Données projet'!$B$11,Paramètres!$A$1:$I$89,3,0)*VLOOKUP('Données projet'!$B$11,Paramètres!$A$1:$I$89,5,0)</f>
        <v>185.20320000000009</v>
      </c>
      <c r="BF177" s="13">
        <f t="shared" si="167"/>
        <v>46.477875402099386</v>
      </c>
      <c r="BG177" s="20">
        <f t="shared" si="168"/>
        <v>403.5112063253232</v>
      </c>
      <c r="BH177" s="59">
        <f t="shared" si="116"/>
        <v>696.84453965865646</v>
      </c>
      <c r="BI177" s="59">
        <f ca="1">AVERAGE(OFFSET($BH$3,0,0,'Données projet'!$E$11+1,1))-AVERAGE(OFFSET($H$3,0,0,'Données projet'!$E$11+1,1))</f>
        <v>216.10252108537389</v>
      </c>
      <c r="BJ177" s="59">
        <f t="shared" si="146"/>
        <v>196.91968622092054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10.114267187699912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0</v>
      </c>
      <c r="BS177" s="22">
        <f t="shared" si="169"/>
        <v>10.114267187699912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>
        <f>BY177*VLOOKUP('Données projet'!$B$12,Paramètres!$A$1:$I$89,3,0)*VLOOKUP('Données projet'!$B$12,Paramètres!$A$1:$I$89,5,0)</f>
        <v>0</v>
      </c>
      <c r="CA177" s="13" t="e">
        <f t="shared" si="170"/>
        <v>#NUM!</v>
      </c>
      <c r="CB177" s="20" t="e">
        <f t="shared" si="171"/>
        <v>#NUM!</v>
      </c>
      <c r="CC177" s="59" t="e">
        <f t="shared" si="119"/>
        <v>#NUM!</v>
      </c>
      <c r="CD177" s="59">
        <f ca="1">AVERAGE(OFFSET($CC$3,0,0,'Données projet'!$E$12+1,1))-AVERAGE(OFFSET($H$3,0,0,'Données projet'!$E$12+1,1))</f>
        <v>152.85416952858094</v>
      </c>
      <c r="CE177" s="59">
        <f t="shared" si="148"/>
        <v>369.87619681979322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7.1314563495076984</v>
      </c>
      <c r="CL177" s="21">
        <f>EXP(-LN(2)/25)*CL176+(1-EXP(-LN(2)/25))/(LN(2)/25)*Calculateur!CG177*Calculateur!CI177*VLOOKUP('Données projet'!$B$12,Paramètres!$A$1:$I$89,3,0)*0.475*44/12</f>
        <v>0.26530464259884301</v>
      </c>
      <c r="CM177" s="21">
        <f>EXP(-LN(2)/2)*CM176+(1-EXP(-LN(2)/2))/(LN(2)/2)*CG177*CJ177*VLOOKUP('Données projet'!$B$12,Paramètres!$A$1:$I$89,3,0)*0.475*44/12</f>
        <v>9.5210751147024034E-24</v>
      </c>
      <c r="CN177" s="22">
        <f t="shared" si="172"/>
        <v>7.3967609921065414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81.900000000000375</v>
      </c>
      <c r="D178" s="11">
        <f t="shared" si="140"/>
        <v>22.601107473346421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806.67521558372971</v>
      </c>
      <c r="H178" s="66">
        <f t="shared" si="110"/>
        <v>475.33942884941229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-2.2700000000000009</v>
      </c>
      <c r="N178" s="13">
        <f>IF('Données projet'!$A$36&gt;35,N177+M178-V177,IF(A178&lt;'Données projet'!$A$36,$K$205^A178,IF(A178='Données projet'!$A$36,'Données projet'!$B$36,N177+M178-V177)))</f>
        <v>393.47999999999934</v>
      </c>
      <c r="O178" s="13">
        <f>N178*VLOOKUP('Données projet'!$B$9,Paramètres!$A$1:$I$89,3,0)*VLOOKUP('Données projet'!$B$9,Paramètres!$A$1:$I$89,5,0)</f>
        <v>398.98871999999938</v>
      </c>
      <c r="P178" s="13">
        <f t="shared" si="141"/>
        <v>91.571613525342741</v>
      </c>
      <c r="Q178" s="20">
        <f t="shared" si="162"/>
        <v>854.39258088997087</v>
      </c>
      <c r="R178" s="59">
        <f t="shared" si="109"/>
        <v>1147.7259142233042</v>
      </c>
      <c r="S178" s="59">
        <f ca="1">AVERAGE(OFFSET($R$3,0,0,'Données projet'!$E$9+1,1))-AVERAGE(OFFSET($H$3,0,0,'Données projet'!$E$9+1,1))</f>
        <v>561.16051468364344</v>
      </c>
      <c r="T178" s="59">
        <f t="shared" si="142"/>
        <v>137.34523913145267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214.71991927228649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214.71991927228649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356.0207039999994</v>
      </c>
      <c r="AK178" s="13">
        <f t="shared" si="164"/>
        <v>82.801003433501791</v>
      </c>
      <c r="AL178" s="20">
        <f t="shared" si="165"/>
        <v>764.28114044668121</v>
      </c>
      <c r="AM178" s="59">
        <f t="shared" si="113"/>
        <v>1057.6144737800146</v>
      </c>
      <c r="AN178" s="59">
        <f ca="1">AVERAGE(OFFSET($AM$3,0,0,'Données projet'!$E$10+1,1))-AVERAGE(OFFSET($H$3,0,0,'Données projet'!$E$10+1,1))</f>
        <v>491.82493848755047</v>
      </c>
      <c r="AO178" s="59">
        <f t="shared" si="144"/>
        <v>119.46953275458026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191.59623565834798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191.59623565834798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212.00000000000009</v>
      </c>
      <c r="BE178" s="13">
        <f>BD178*VLOOKUP('Données projet'!$B$11,Paramètres!$A$1:$I$89,3,0)*VLOOKUP('Données projet'!$B$11,Paramètres!$A$1:$I$89,5,0)</f>
        <v>185.20320000000009</v>
      </c>
      <c r="BF178" s="13">
        <f t="shared" si="167"/>
        <v>46.477875402099386</v>
      </c>
      <c r="BG178" s="20">
        <f t="shared" si="168"/>
        <v>403.5112063253232</v>
      </c>
      <c r="BH178" s="59">
        <f t="shared" si="116"/>
        <v>696.84453965865646</v>
      </c>
      <c r="BI178" s="59">
        <f ca="1">AVERAGE(OFFSET($BH$3,0,0,'Données projet'!$E$11+1,1))-AVERAGE(OFFSET($H$3,0,0,'Données projet'!$E$11+1,1))</f>
        <v>216.10252108537389</v>
      </c>
      <c r="BJ178" s="59">
        <f t="shared" si="146"/>
        <v>196.91968622092054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9.9159325772429536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0</v>
      </c>
      <c r="BS178" s="22">
        <f t="shared" si="169"/>
        <v>9.9159325772429536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>
        <f>BY178*VLOOKUP('Données projet'!$B$12,Paramètres!$A$1:$I$89,3,0)*VLOOKUP('Données projet'!$B$12,Paramètres!$A$1:$I$89,5,0)</f>
        <v>0</v>
      </c>
      <c r="CA178" s="13" t="e">
        <f t="shared" si="170"/>
        <v>#NUM!</v>
      </c>
      <c r="CB178" s="20" t="e">
        <f t="shared" si="171"/>
        <v>#NUM!</v>
      </c>
      <c r="CC178" s="59" t="e">
        <f t="shared" si="119"/>
        <v>#NUM!</v>
      </c>
      <c r="CD178" s="59">
        <f ca="1">AVERAGE(OFFSET($CC$3,0,0,'Données projet'!$E$12+1,1))-AVERAGE(OFFSET($H$3,0,0,'Données projet'!$E$12+1,1))</f>
        <v>152.85416952858094</v>
      </c>
      <c r="CE178" s="59">
        <f t="shared" si="148"/>
        <v>369.87619681979322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6.9916128402527224</v>
      </c>
      <c r="CL178" s="21">
        <f>EXP(-LN(2)/25)*CL177+(1-EXP(-LN(2)/25))/(LN(2)/25)*Calculateur!CG178*Calculateur!CI178*VLOOKUP('Données projet'!$B$12,Paramètres!$A$1:$I$89,3,0)*0.475*44/12</f>
        <v>0.25804987319521283</v>
      </c>
      <c r="CM178" s="21">
        <f>EXP(-LN(2)/2)*CM177+(1-EXP(-LN(2)/2))/(LN(2)/2)*CG178*CJ178*VLOOKUP('Données projet'!$B$12,Paramètres!$A$1:$I$89,3,0)*0.475*44/12</f>
        <v>6.7324167777925552E-24</v>
      </c>
      <c r="CN178" s="22">
        <f t="shared" si="172"/>
        <v>7.2496627134479352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82.368000000000379</v>
      </c>
      <c r="D179" s="11">
        <f t="shared" si="140"/>
        <v>22.715185822375016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811.16845196219617</v>
      </c>
      <c r="H179" s="66">
        <f t="shared" si="110"/>
        <v>476.3532153073038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-2.2700000000000009</v>
      </c>
      <c r="N179" s="13">
        <f>IF('Données projet'!$A$36&gt;35,N178+M179-V178,IF(A179&lt;'Données projet'!$A$36,$K$205^A179,IF(A179='Données projet'!$A$36,'Données projet'!$B$36,N178+M179-V178)))</f>
        <v>391.20999999999935</v>
      </c>
      <c r="O179" s="13">
        <f>N179*VLOOKUP('Données projet'!$B$9,Paramètres!$A$1:$I$89,3,0)*VLOOKUP('Données projet'!$B$9,Paramètres!$A$1:$I$89,5,0)</f>
        <v>396.68693999999937</v>
      </c>
      <c r="P179" s="13">
        <f t="shared" si="141"/>
        <v>91.104668368165378</v>
      </c>
      <c r="Q179" s="20">
        <f t="shared" si="162"/>
        <v>849.57038457455349</v>
      </c>
      <c r="R179" s="59">
        <f t="shared" si="109"/>
        <v>1142.9037179078869</v>
      </c>
      <c r="S179" s="59">
        <f ca="1">AVERAGE(OFFSET($R$3,0,0,'Données projet'!$E$9+1,1))-AVERAGE(OFFSET($H$3,0,0,'Données projet'!$E$9+1,1))</f>
        <v>561.16051468364344</v>
      </c>
      <c r="T179" s="59">
        <f t="shared" si="142"/>
        <v>137.34523913145267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210.50939262157587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210.50939262157587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353.96680799999939</v>
      </c>
      <c r="AK179" s="13">
        <f t="shared" si="164"/>
        <v>82.378781676406732</v>
      </c>
      <c r="AL179" s="20">
        <f t="shared" si="165"/>
        <v>759.96856868640737</v>
      </c>
      <c r="AM179" s="59">
        <f t="shared" si="113"/>
        <v>1053.3019020197407</v>
      </c>
      <c r="AN179" s="59">
        <f ca="1">AVERAGE(OFFSET($AM$3,0,0,'Données projet'!$E$10+1,1))-AVERAGE(OFFSET($H$3,0,0,'Données projet'!$E$10+1,1))</f>
        <v>491.82493848755047</v>
      </c>
      <c r="AO179" s="59">
        <f t="shared" si="144"/>
        <v>119.46953275458026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187.83915033925234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187.83915033925234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212.00000000000009</v>
      </c>
      <c r="BE179" s="13">
        <f>BD179*VLOOKUP('Données projet'!$B$11,Paramètres!$A$1:$I$89,3,0)*VLOOKUP('Données projet'!$B$11,Paramètres!$A$1:$I$89,5,0)</f>
        <v>185.20320000000009</v>
      </c>
      <c r="BF179" s="13">
        <f t="shared" si="167"/>
        <v>46.477875402099386</v>
      </c>
      <c r="BG179" s="20">
        <f t="shared" si="168"/>
        <v>403.5112063253232</v>
      </c>
      <c r="BH179" s="59">
        <f t="shared" si="116"/>
        <v>696.84453965865646</v>
      </c>
      <c r="BI179" s="59">
        <f ca="1">AVERAGE(OFFSET($BH$3,0,0,'Données projet'!$E$11+1,1))-AVERAGE(OFFSET($H$3,0,0,'Données projet'!$E$11+1,1))</f>
        <v>216.10252108537389</v>
      </c>
      <c r="BJ179" s="59">
        <f t="shared" si="146"/>
        <v>196.91968622092054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9.7214871875248896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0</v>
      </c>
      <c r="BS179" s="22">
        <f t="shared" si="169"/>
        <v>9.7214871875248896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>
        <f>BY179*VLOOKUP('Données projet'!$B$12,Paramètres!$A$1:$I$89,3,0)*VLOOKUP('Données projet'!$B$12,Paramètres!$A$1:$I$89,5,0)</f>
        <v>0</v>
      </c>
      <c r="CA179" s="13" t="e">
        <f t="shared" si="170"/>
        <v>#NUM!</v>
      </c>
      <c r="CB179" s="20" t="e">
        <f t="shared" si="171"/>
        <v>#NUM!</v>
      </c>
      <c r="CC179" s="59" t="e">
        <f t="shared" si="119"/>
        <v>#NUM!</v>
      </c>
      <c r="CD179" s="59">
        <f ca="1">AVERAGE(OFFSET($CC$3,0,0,'Données projet'!$E$12+1,1))-AVERAGE(OFFSET($H$3,0,0,'Données projet'!$E$12+1,1))</f>
        <v>152.85416952858094</v>
      </c>
      <c r="CE179" s="59">
        <f t="shared" si="148"/>
        <v>369.87619681979322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6.8545115769181182</v>
      </c>
      <c r="CL179" s="21">
        <f>EXP(-LN(2)/25)*CL178+(1-EXP(-LN(2)/25))/(LN(2)/25)*Calculateur!CG179*Calculateur!CI179*VLOOKUP('Données projet'!$B$12,Paramètres!$A$1:$I$89,3,0)*0.475*44/12</f>
        <v>0.25099348584243669</v>
      </c>
      <c r="CM179" s="21">
        <f>EXP(-LN(2)/2)*CM178+(1-EXP(-LN(2)/2))/(LN(2)/2)*CG179*CJ179*VLOOKUP('Données projet'!$B$12,Paramètres!$A$1:$I$89,3,0)*0.475*44/12</f>
        <v>4.7605375573512017E-24</v>
      </c>
      <c r="CN179" s="22">
        <f t="shared" si="172"/>
        <v>7.1055050627605549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82.836000000000382</v>
      </c>
      <c r="D180" s="11">
        <f t="shared" si="140"/>
        <v>22.829188748646111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815.66110612990281</v>
      </c>
      <c r="H180" s="66">
        <f t="shared" si="110"/>
        <v>477.36687040389262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>
        <f>VLOOKUP(A180,'Données projet'!$A$35:$I$55,2,0)</f>
        <v>388.94</v>
      </c>
      <c r="L180" s="12">
        <f>VLOOKUP(A180,'Données projet'!$A$35:$I$55,9,0)</f>
        <v>-2.2700000000000009</v>
      </c>
      <c r="M180" s="12">
        <f t="array" ref="M180">INDEX(L:L,MIN(IF(ISNUMBER(L180:L376),ROW(L180:L376),"")))</f>
        <v>-2.2700000000000009</v>
      </c>
      <c r="N180" s="13">
        <f>IF('Données projet'!$A$36&gt;35,N179+M180-V179,IF(A180&lt;'Données projet'!$A$36,$K$205^A180,IF(A180='Données projet'!$A$36,'Données projet'!$B$36,N179+M180-V179)))</f>
        <v>388.93999999999937</v>
      </c>
      <c r="O180" s="13">
        <f>N180*VLOOKUP('Données projet'!$B$9,Paramètres!$A$1:$I$89,3,0)*VLOOKUP('Données projet'!$B$9,Paramètres!$A$1:$I$89,5,0)</f>
        <v>394.38515999999942</v>
      </c>
      <c r="P180" s="13">
        <f t="shared" si="141"/>
        <v>90.637407722136331</v>
      </c>
      <c r="Q180" s="20">
        <f t="shared" si="162"/>
        <v>844.74763878271972</v>
      </c>
      <c r="R180" s="59">
        <f t="shared" si="109"/>
        <v>1138.0809721160531</v>
      </c>
      <c r="S180" s="59">
        <f ca="1">AVERAGE(OFFSET($R$3,0,0,'Données projet'!$E$9+1,1))-AVERAGE(OFFSET($H$3,0,0,'Données projet'!$E$9+1,1))</f>
        <v>561.16051468364344</v>
      </c>
      <c r="T180" s="59">
        <f t="shared" si="142"/>
        <v>137.34523913145267</v>
      </c>
      <c r="U180" s="15">
        <f>IF(ISNA(VLOOKUP(A180,'Données projet'!$A$35:$I$55,3,0)),0,VLOOKUP(A180,'Données projet'!$A$35:$I$55,3,0))</f>
        <v>16</v>
      </c>
      <c r="V180" s="15">
        <f>IF(ISNA(VLOOKUP(A180,'Données projet'!$A$35:$I$55,4,0)),0,VLOOKUP(A180,'Données projet'!$A$35:$I$55,4,0))</f>
        <v>115.19</v>
      </c>
      <c r="W180" s="16">
        <f>IF(ISNA(VLOOKUP(A180,'Données projet'!$A$35:$I$55,5,0)),0%,VLOOKUP(A180,'Données projet'!$A$35:$I$55,5,0)*VLOOKUP('Données projet'!$B$9,Paramètres!$A$1:$I$89,7,0))</f>
        <v>0.43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261.90384060900101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261.90384060900101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351.91291199999944</v>
      </c>
      <c r="AK180" s="13">
        <f t="shared" si="164"/>
        <v>81.956274647572045</v>
      </c>
      <c r="AL180" s="20">
        <f t="shared" si="165"/>
        <v>755.65550007785362</v>
      </c>
      <c r="AM180" s="59">
        <f t="shared" si="113"/>
        <v>1048.988833411187</v>
      </c>
      <c r="AN180" s="59">
        <f ca="1">AVERAGE(OFFSET($AM$3,0,0,'Données projet'!$E$10+1,1))-AVERAGE(OFFSET($H$3,0,0,'Données projet'!$E$10+1,1))</f>
        <v>491.82493848755047</v>
      </c>
      <c r="AO180" s="59">
        <f t="shared" si="144"/>
        <v>119.46953275458026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233.6988116203394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233.6988116203394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212.00000000000009</v>
      </c>
      <c r="BE180" s="13">
        <f>BD180*VLOOKUP('Données projet'!$B$11,Paramètres!$A$1:$I$89,3,0)*VLOOKUP('Données projet'!$B$11,Paramètres!$A$1:$I$89,5,0)</f>
        <v>185.20320000000009</v>
      </c>
      <c r="BF180" s="13">
        <f t="shared" si="167"/>
        <v>46.477875402099386</v>
      </c>
      <c r="BG180" s="20">
        <f t="shared" si="168"/>
        <v>403.5112063253232</v>
      </c>
      <c r="BH180" s="59">
        <f t="shared" si="116"/>
        <v>696.84453965865646</v>
      </c>
      <c r="BI180" s="59">
        <f ca="1">AVERAGE(OFFSET($BH$3,0,0,'Données projet'!$E$11+1,1))-AVERAGE(OFFSET($H$3,0,0,'Données projet'!$E$11+1,1))</f>
        <v>216.10252108537389</v>
      </c>
      <c r="BJ180" s="59">
        <f t="shared" si="146"/>
        <v>196.91968622092054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9.5308547532992201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0</v>
      </c>
      <c r="BS180" s="22">
        <f t="shared" si="169"/>
        <v>9.5308547532992201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>
        <f>BY180*VLOOKUP('Données projet'!$B$12,Paramètres!$A$1:$I$89,3,0)*VLOOKUP('Données projet'!$B$12,Paramètres!$A$1:$I$89,5,0)</f>
        <v>0</v>
      </c>
      <c r="CA180" s="13" t="e">
        <f t="shared" si="170"/>
        <v>#NUM!</v>
      </c>
      <c r="CB180" s="20" t="e">
        <f t="shared" si="171"/>
        <v>#NUM!</v>
      </c>
      <c r="CC180" s="59" t="e">
        <f t="shared" si="119"/>
        <v>#NUM!</v>
      </c>
      <c r="CD180" s="59">
        <f ca="1">AVERAGE(OFFSET($CC$3,0,0,'Données projet'!$E$12+1,1))-AVERAGE(OFFSET($H$3,0,0,'Données projet'!$E$12+1,1))</f>
        <v>152.85416952858094</v>
      </c>
      <c r="CE180" s="59">
        <f t="shared" si="148"/>
        <v>369.87619681979322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6.7200987857339927</v>
      </c>
      <c r="CL180" s="21">
        <f>EXP(-LN(2)/25)*CL179+(1-EXP(-LN(2)/25))/(LN(2)/25)*Calculateur!CG180*Calculateur!CI180*VLOOKUP('Données projet'!$B$12,Paramètres!$A$1:$I$89,3,0)*0.475*44/12</f>
        <v>0.24413005577290151</v>
      </c>
      <c r="CM180" s="21">
        <f>EXP(-LN(2)/2)*CM179+(1-EXP(-LN(2)/2))/(LN(2)/2)*CG180*CJ180*VLOOKUP('Données projet'!$B$12,Paramètres!$A$1:$I$89,3,0)*0.475*44/12</f>
        <v>3.3662083888962776E-24</v>
      </c>
      <c r="CN180" s="22">
        <f t="shared" si="172"/>
        <v>6.9642288415068938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83.304000000000386</v>
      </c>
      <c r="D181" s="11">
        <f t="shared" si="140"/>
        <v>22.943116727725723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820.15318175788582</v>
      </c>
      <c r="H181" s="66">
        <f t="shared" si="110"/>
        <v>478.38039496745625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-0.72999999999999921</v>
      </c>
      <c r="N181" s="13">
        <f>IF('Données projet'!$A$36&gt;35,N180+M181-V180,IF(A181&lt;'Données projet'!$A$36,$K$205^A181,IF(A181='Données projet'!$A$36,'Données projet'!$B$36,N180+M181-V180)))</f>
        <v>273.01999999999936</v>
      </c>
      <c r="O181" s="13">
        <f>N181*VLOOKUP('Données projet'!$B$9,Paramètres!$A$1:$I$89,3,0)*VLOOKUP('Données projet'!$B$9,Paramètres!$A$1:$I$89,5,0)</f>
        <v>276.84227999999939</v>
      </c>
      <c r="P181" s="13">
        <f t="shared" si="141"/>
        <v>66.299252025561557</v>
      </c>
      <c r="Q181" s="20">
        <f t="shared" si="162"/>
        <v>597.63816827785195</v>
      </c>
      <c r="R181" s="59">
        <f t="shared" si="109"/>
        <v>890.9715016111852</v>
      </c>
      <c r="S181" s="59">
        <f ca="1">AVERAGE(OFFSET($R$3,0,0,'Données projet'!$E$9+1,1))-AVERAGE(OFFSET($H$3,0,0,'Données projet'!$E$9+1,1))</f>
        <v>561.16051468364344</v>
      </c>
      <c r="T181" s="59">
        <f t="shared" si="142"/>
        <v>137.34523913145267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256.76806604022772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256.76806604022772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247.02849599999942</v>
      </c>
      <c r="AK181" s="13">
        <f t="shared" si="164"/>
        <v>59.949195861748692</v>
      </c>
      <c r="AL181" s="20">
        <f t="shared" si="165"/>
        <v>534.6528133258779</v>
      </c>
      <c r="AM181" s="59">
        <f t="shared" si="113"/>
        <v>827.98614665921127</v>
      </c>
      <c r="AN181" s="59">
        <f ca="1">AVERAGE(OFFSET($AM$3,0,0,'Données projet'!$E$10+1,1))-AVERAGE(OFFSET($H$3,0,0,'Données projet'!$E$10+1,1))</f>
        <v>491.82493848755047</v>
      </c>
      <c r="AO181" s="59">
        <f t="shared" si="144"/>
        <v>119.46953275458026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229.11612046666477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229.11612046666477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212.00000000000009</v>
      </c>
      <c r="BE181" s="13">
        <f>BD181*VLOOKUP('Données projet'!$B$11,Paramètres!$A$1:$I$89,3,0)*VLOOKUP('Données projet'!$B$11,Paramètres!$A$1:$I$89,5,0)</f>
        <v>185.20320000000009</v>
      </c>
      <c r="BF181" s="13">
        <f t="shared" si="167"/>
        <v>46.477875402099386</v>
      </c>
      <c r="BG181" s="20">
        <f t="shared" si="168"/>
        <v>403.5112063253232</v>
      </c>
      <c r="BH181" s="59">
        <f t="shared" si="116"/>
        <v>696.84453965865646</v>
      </c>
      <c r="BI181" s="59">
        <f ca="1">AVERAGE(OFFSET($BH$3,0,0,'Données projet'!$E$11+1,1))-AVERAGE(OFFSET($H$3,0,0,'Données projet'!$E$11+1,1))</f>
        <v>216.10252108537389</v>
      </c>
      <c r="BJ181" s="59">
        <f t="shared" si="146"/>
        <v>196.91968622092054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9.3439605048344117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0</v>
      </c>
      <c r="BS181" s="22">
        <f t="shared" si="169"/>
        <v>9.3439605048344117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>
        <f>BY181*VLOOKUP('Données projet'!$B$12,Paramètres!$A$1:$I$89,3,0)*VLOOKUP('Données projet'!$B$12,Paramètres!$A$1:$I$89,5,0)</f>
        <v>0</v>
      </c>
      <c r="CA181" s="13" t="e">
        <f t="shared" si="170"/>
        <v>#NUM!</v>
      </c>
      <c r="CB181" s="20" t="e">
        <f t="shared" si="171"/>
        <v>#NUM!</v>
      </c>
      <c r="CC181" s="59" t="e">
        <f t="shared" si="119"/>
        <v>#NUM!</v>
      </c>
      <c r="CD181" s="59">
        <f ca="1">AVERAGE(OFFSET($CC$3,0,0,'Données projet'!$E$12+1,1))-AVERAGE(OFFSET($H$3,0,0,'Données projet'!$E$12+1,1))</f>
        <v>152.85416952858094</v>
      </c>
      <c r="CE181" s="59">
        <f t="shared" si="148"/>
        <v>369.87619681979322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6.5883217474012801</v>
      </c>
      <c r="CL181" s="21">
        <f>EXP(-LN(2)/25)*CL180+(1-EXP(-LN(2)/25))/(LN(2)/25)*Calculateur!CG181*Calculateur!CI181*VLOOKUP('Données projet'!$B$12,Paramètres!$A$1:$I$89,3,0)*0.475*44/12</f>
        <v>0.23745430655954985</v>
      </c>
      <c r="CM181" s="21">
        <f>EXP(-LN(2)/2)*CM180+(1-EXP(-LN(2)/2))/(LN(2)/2)*CG181*CJ181*VLOOKUP('Données projet'!$B$12,Paramètres!$A$1:$I$89,3,0)*0.475*44/12</f>
        <v>2.3802687786756008E-24</v>
      </c>
      <c r="CN181" s="22">
        <f t="shared" si="172"/>
        <v>6.8257760539608299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83.772000000000389</v>
      </c>
      <c r="D182" s="11">
        <f t="shared" si="140"/>
        <v>23.056970229527188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824.64468247354625</v>
      </c>
      <c r="H182" s="66">
        <f t="shared" si="110"/>
        <v>479.39378981642722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-0.72999999999999921</v>
      </c>
      <c r="N182" s="13">
        <f>IF('Données projet'!$A$36&gt;35,N181+M182-V181,IF(A182&lt;'Données projet'!$A$36,$K$205^A182,IF(A182='Données projet'!$A$36,'Données projet'!$B$36,N181+M182-V181)))</f>
        <v>272.28999999999934</v>
      </c>
      <c r="O182" s="13">
        <f>N182*VLOOKUP('Données projet'!$B$9,Paramètres!$A$1:$I$89,3,0)*VLOOKUP('Données projet'!$B$9,Paramètres!$A$1:$I$89,5,0)</f>
        <v>276.10205999999937</v>
      </c>
      <c r="P182" s="13">
        <f t="shared" si="141"/>
        <v>66.142591211623795</v>
      </c>
      <c r="Q182" s="20">
        <f t="shared" si="162"/>
        <v>596.07610086024363</v>
      </c>
      <c r="R182" s="59">
        <f t="shared" si="109"/>
        <v>889.409434193577</v>
      </c>
      <c r="S182" s="59">
        <f ca="1">AVERAGE(OFFSET($R$3,0,0,'Données projet'!$E$9+1,1))-AVERAGE(OFFSET($H$3,0,0,'Données projet'!$E$9+1,1))</f>
        <v>561.16051468364344</v>
      </c>
      <c r="T182" s="59">
        <f t="shared" si="142"/>
        <v>137.34523913145267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251.73300087823489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251.73300087823489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246.36799199999939</v>
      </c>
      <c r="AK182" s="13">
        <f t="shared" si="164"/>
        <v>59.807539816896266</v>
      </c>
      <c r="AL182" s="20">
        <f t="shared" si="165"/>
        <v>533.25571791442655</v>
      </c>
      <c r="AM182" s="59">
        <f t="shared" si="113"/>
        <v>826.58905124775993</v>
      </c>
      <c r="AN182" s="59">
        <f ca="1">AVERAGE(OFFSET($AM$3,0,0,'Données projet'!$E$10+1,1))-AVERAGE(OFFSET($H$3,0,0,'Données projet'!$E$10+1,1))</f>
        <v>491.82493848755047</v>
      </c>
      <c r="AO182" s="59">
        <f t="shared" si="144"/>
        <v>119.46953275458026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224.62329309134807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224.62329309134807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212.00000000000009</v>
      </c>
      <c r="BE182" s="13">
        <f>BD182*VLOOKUP('Données projet'!$B$11,Paramètres!$A$1:$I$89,3,0)*VLOOKUP('Données projet'!$B$11,Paramètres!$A$1:$I$89,5,0)</f>
        <v>185.20320000000009</v>
      </c>
      <c r="BF182" s="13">
        <f t="shared" si="167"/>
        <v>46.477875402099386</v>
      </c>
      <c r="BG182" s="20">
        <f t="shared" si="168"/>
        <v>403.5112063253232</v>
      </c>
      <c r="BH182" s="59">
        <f t="shared" si="116"/>
        <v>696.84453965865646</v>
      </c>
      <c r="BI182" s="59">
        <f ca="1">AVERAGE(OFFSET($BH$3,0,0,'Données projet'!$E$11+1,1))-AVERAGE(OFFSET($H$3,0,0,'Données projet'!$E$11+1,1))</f>
        <v>216.10252108537389</v>
      </c>
      <c r="BJ182" s="59">
        <f t="shared" si="146"/>
        <v>196.91968622092054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9.1607311385877619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0</v>
      </c>
      <c r="BS182" s="22">
        <f t="shared" si="169"/>
        <v>9.1607311385877619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>
        <f>BY182*VLOOKUP('Données projet'!$B$12,Paramètres!$A$1:$I$89,3,0)*VLOOKUP('Données projet'!$B$12,Paramètres!$A$1:$I$89,5,0)</f>
        <v>0</v>
      </c>
      <c r="CA182" s="13" t="e">
        <f t="shared" si="170"/>
        <v>#NUM!</v>
      </c>
      <c r="CB182" s="20" t="e">
        <f t="shared" si="171"/>
        <v>#NUM!</v>
      </c>
      <c r="CC182" s="59" t="e">
        <f t="shared" si="119"/>
        <v>#NUM!</v>
      </c>
      <c r="CD182" s="59">
        <f ca="1">AVERAGE(OFFSET($CC$3,0,0,'Données projet'!$E$12+1,1))-AVERAGE(OFFSET($H$3,0,0,'Données projet'!$E$12+1,1))</f>
        <v>152.85416952858094</v>
      </c>
      <c r="CE182" s="59">
        <f t="shared" si="148"/>
        <v>369.87619681979322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6.4591287764142153</v>
      </c>
      <c r="CL182" s="21">
        <f>EXP(-LN(2)/25)*CL181+(1-EXP(-LN(2)/25))/(LN(2)/25)*Calculateur!CG182*Calculateur!CI182*VLOOKUP('Données projet'!$B$12,Paramètres!$A$1:$I$89,3,0)*0.475*44/12</f>
        <v>0.23096110605949968</v>
      </c>
      <c r="CM182" s="21">
        <f>EXP(-LN(2)/2)*CM181+(1-EXP(-LN(2)/2))/(LN(2)/2)*CG182*CJ182*VLOOKUP('Données projet'!$B$12,Paramètres!$A$1:$I$89,3,0)*0.475*44/12</f>
        <v>1.6831041944481388E-24</v>
      </c>
      <c r="CN182" s="22">
        <f t="shared" si="172"/>
        <v>6.6900898824737149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84.240000000000393</v>
      </c>
      <c r="D183" s="11">
        <f t="shared" si="140"/>
        <v>23.170749718409571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829.13561186141033</v>
      </c>
      <c r="H183" s="66">
        <f t="shared" si="110"/>
        <v>480.40705575956395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>
        <f>VLOOKUP(A183,'Données projet'!$A$35:$I$55,2,0)</f>
        <v>271.56</v>
      </c>
      <c r="L183" s="12">
        <f>VLOOKUP(A183,'Données projet'!$A$35:$I$55,9,0)</f>
        <v>-0.72999999999999921</v>
      </c>
      <c r="M183" s="12">
        <f t="array" ref="M183">INDEX(L:L,MIN(IF(ISNUMBER(L183:L379),ROW(L183:L379),"")))</f>
        <v>-0.72999999999999921</v>
      </c>
      <c r="N183" s="13">
        <f>IF('Données projet'!$A$36&gt;35,N182+M183-V182,IF(A183&lt;'Données projet'!$A$36,$K$205^A183,IF(A183='Données projet'!$A$36,'Données projet'!$B$36,N182+M183-V182)))</f>
        <v>271.55999999999932</v>
      </c>
      <c r="O183" s="13">
        <f>N183*VLOOKUP('Données projet'!$B$9,Paramètres!$A$1:$I$89,3,0)*VLOOKUP('Données projet'!$B$9,Paramètres!$A$1:$I$89,5,0)</f>
        <v>275.36183999999929</v>
      </c>
      <c r="P183" s="13">
        <f t="shared" si="141"/>
        <v>65.985881501741133</v>
      </c>
      <c r="Q183" s="20">
        <f t="shared" si="162"/>
        <v>594.51394828219793</v>
      </c>
      <c r="R183" s="59">
        <f t="shared" si="109"/>
        <v>887.8472816155313</v>
      </c>
      <c r="S183" s="59">
        <f ca="1">AVERAGE(OFFSET($R$3,0,0,'Données projet'!$E$9+1,1))-AVERAGE(OFFSET($H$3,0,0,'Données projet'!$E$9+1,1))</f>
        <v>561.16051468364344</v>
      </c>
      <c r="T183" s="59">
        <f t="shared" si="142"/>
        <v>137.34523913145267</v>
      </c>
      <c r="U183" s="15">
        <f>IF(ISNA(VLOOKUP(A183,'Données projet'!$A$35:$I$55,3,0)),0,VLOOKUP(A183,'Données projet'!$A$35:$I$55,3,0))</f>
        <v>17</v>
      </c>
      <c r="V183" s="15">
        <f>IF(ISNA(VLOOKUP(A183,'Données projet'!$A$35:$I$55,4,0)),0,VLOOKUP(A183,'Données projet'!$A$35:$I$55,4,0))</f>
        <v>77.72</v>
      </c>
      <c r="W183" s="16">
        <f>IF(ISNA(VLOOKUP(A183,'Données projet'!$A$35:$I$55,5,0)),0%,VLOOKUP(A183,'Données projet'!$A$35:$I$55,5,0)*VLOOKUP('Données projet'!$B$9,Paramètres!$A$1:$I$89,7,0))</f>
        <v>0.43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284.25826945936336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284.25826945936336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245.70748799999936</v>
      </c>
      <c r="AK183" s="13">
        <f t="shared" si="164"/>
        <v>59.665839559288955</v>
      </c>
      <c r="AL183" s="20">
        <f t="shared" si="165"/>
        <v>531.85854549909379</v>
      </c>
      <c r="AM183" s="59">
        <f t="shared" si="113"/>
        <v>825.19187883242716</v>
      </c>
      <c r="AN183" s="59">
        <f ca="1">AVERAGE(OFFSET($AM$3,0,0,'Données projet'!$E$10+1,1))-AVERAGE(OFFSET($H$3,0,0,'Données projet'!$E$10+1,1))</f>
        <v>491.82493848755047</v>
      </c>
      <c r="AO183" s="59">
        <f t="shared" si="144"/>
        <v>119.46953275458026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253.64584044066271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253.64584044066271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212.00000000000009</v>
      </c>
      <c r="BE183" s="13">
        <f>BD183*VLOOKUP('Données projet'!$B$11,Paramètres!$A$1:$I$89,3,0)*VLOOKUP('Données projet'!$B$11,Paramètres!$A$1:$I$89,5,0)</f>
        <v>185.20320000000009</v>
      </c>
      <c r="BF183" s="13">
        <f t="shared" si="167"/>
        <v>46.477875402099386</v>
      </c>
      <c r="BG183" s="20">
        <f t="shared" si="168"/>
        <v>403.5112063253232</v>
      </c>
      <c r="BH183" s="59">
        <f t="shared" si="116"/>
        <v>696.84453965865646</v>
      </c>
      <c r="BI183" s="59">
        <f ca="1">AVERAGE(OFFSET($BH$3,0,0,'Données projet'!$E$11+1,1))-AVERAGE(OFFSET($H$3,0,0,'Données projet'!$E$11+1,1))</f>
        <v>216.10252108537389</v>
      </c>
      <c r="BJ183" s="59">
        <f t="shared" si="146"/>
        <v>196.91968622092054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8.9810947884543317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0</v>
      </c>
      <c r="BS183" s="22">
        <f t="shared" si="169"/>
        <v>8.9810947884543317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>
        <f>BY183*VLOOKUP('Données projet'!$B$12,Paramètres!$A$1:$I$89,3,0)*VLOOKUP('Données projet'!$B$12,Paramètres!$A$1:$I$89,5,0)</f>
        <v>0</v>
      </c>
      <c r="CA183" s="13" t="e">
        <f t="shared" si="170"/>
        <v>#NUM!</v>
      </c>
      <c r="CB183" s="20" t="e">
        <f t="shared" si="171"/>
        <v>#NUM!</v>
      </c>
      <c r="CC183" s="59" t="e">
        <f t="shared" si="119"/>
        <v>#NUM!</v>
      </c>
      <c r="CD183" s="59">
        <f ca="1">AVERAGE(OFFSET($CC$3,0,0,'Données projet'!$E$12+1,1))-AVERAGE(OFFSET($H$3,0,0,'Données projet'!$E$12+1,1))</f>
        <v>152.85416952858094</v>
      </c>
      <c r="CE183" s="59">
        <f t="shared" si="148"/>
        <v>369.87619681979322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6.3324692007882755</v>
      </c>
      <c r="CL183" s="21">
        <f>EXP(-LN(2)/25)*CL182+(1-EXP(-LN(2)/25))/(LN(2)/25)*Calculateur!CG183*Calculateur!CI183*VLOOKUP('Données projet'!$B$12,Paramètres!$A$1:$I$89,3,0)*0.475*44/12</f>
        <v>0.22464546246858597</v>
      </c>
      <c r="CM183" s="21">
        <f>EXP(-LN(2)/2)*CM182+(1-EXP(-LN(2)/2))/(LN(2)/2)*CG183*CJ183*VLOOKUP('Données projet'!$B$12,Paramètres!$A$1:$I$89,3,0)*0.475*44/12</f>
        <v>1.1901343893378004E-24</v>
      </c>
      <c r="CN183" s="22">
        <f t="shared" si="172"/>
        <v>6.5571146632568613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84.708000000000396</v>
      </c>
      <c r="D184" s="11">
        <f t="shared" si="140"/>
        <v>23.284455653273778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833.62597346387076</v>
      </c>
      <c r="H184" s="66">
        <f t="shared" si="110"/>
        <v>481.42019359611913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-0.79000000000000148</v>
      </c>
      <c r="N184" s="13">
        <f>IF('Données projet'!$A$36&gt;35,N183+M184-V183,IF(A184&lt;'Données projet'!$A$36,$K$205^A184,IF(A184='Données projet'!$A$36,'Données projet'!$B$36,N183+M184-V183)))</f>
        <v>193.0499999999993</v>
      </c>
      <c r="O184" s="13">
        <f>N184*VLOOKUP('Données projet'!$B$9,Paramètres!$A$1:$I$89,3,0)*VLOOKUP('Données projet'!$B$9,Paramètres!$A$1:$I$89,5,0)</f>
        <v>195.75269999999929</v>
      </c>
      <c r="P184" s="13">
        <f t="shared" si="141"/>
        <v>48.809576833534997</v>
      </c>
      <c r="Q184" s="20">
        <f t="shared" si="162"/>
        <v>425.94596548507224</v>
      </c>
      <c r="R184" s="59">
        <f t="shared" si="109"/>
        <v>719.27929881840555</v>
      </c>
      <c r="S184" s="59">
        <f ca="1">AVERAGE(OFFSET($R$3,0,0,'Données projet'!$E$9+1,1))-AVERAGE(OFFSET($H$3,0,0,'Données projet'!$E$9+1,1))</f>
        <v>561.16051468364344</v>
      </c>
      <c r="T184" s="59">
        <f t="shared" si="142"/>
        <v>137.34523913145267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278.68413817568972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278.68413817568972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174.67163999999934</v>
      </c>
      <c r="AK184" s="13">
        <f t="shared" si="164"/>
        <v>44.134659021409632</v>
      </c>
      <c r="AL184" s="20">
        <f t="shared" si="165"/>
        <v>381.0876374622872</v>
      </c>
      <c r="AM184" s="59">
        <f t="shared" si="113"/>
        <v>674.42097079562052</v>
      </c>
      <c r="AN184" s="59">
        <f ca="1">AVERAGE(OFFSET($AM$3,0,0,'Données projet'!$E$10+1,1))-AVERAGE(OFFSET($H$3,0,0,'Données projet'!$E$10+1,1))</f>
        <v>491.82493848755047</v>
      </c>
      <c r="AO184" s="59">
        <f t="shared" si="144"/>
        <v>119.46953275458026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248.67200021830777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248.67200021830777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212.00000000000009</v>
      </c>
      <c r="BE184" s="13">
        <f>BD184*VLOOKUP('Données projet'!$B$11,Paramètres!$A$1:$I$89,3,0)*VLOOKUP('Données projet'!$B$11,Paramètres!$A$1:$I$89,5,0)</f>
        <v>185.20320000000009</v>
      </c>
      <c r="BF184" s="13">
        <f t="shared" si="167"/>
        <v>46.477875402099386</v>
      </c>
      <c r="BG184" s="20">
        <f t="shared" si="168"/>
        <v>403.5112063253232</v>
      </c>
      <c r="BH184" s="59">
        <f t="shared" si="116"/>
        <v>696.84453965865646</v>
      </c>
      <c r="BI184" s="59">
        <f ca="1">AVERAGE(OFFSET($BH$3,0,0,'Données projet'!$E$11+1,1))-AVERAGE(OFFSET($H$3,0,0,'Données projet'!$E$11+1,1))</f>
        <v>216.10252108537389</v>
      </c>
      <c r="BJ184" s="59">
        <f t="shared" si="146"/>
        <v>196.91968622092054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8.804980997579662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0</v>
      </c>
      <c r="BS184" s="22">
        <f t="shared" si="169"/>
        <v>8.804980997579662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>
        <f>BY184*VLOOKUP('Données projet'!$B$12,Paramètres!$A$1:$I$89,3,0)*VLOOKUP('Données projet'!$B$12,Paramètres!$A$1:$I$89,5,0)</f>
        <v>0</v>
      </c>
      <c r="CA184" s="13" t="e">
        <f t="shared" si="170"/>
        <v>#NUM!</v>
      </c>
      <c r="CB184" s="20" t="e">
        <f t="shared" si="171"/>
        <v>#NUM!</v>
      </c>
      <c r="CC184" s="59" t="e">
        <f t="shared" si="119"/>
        <v>#NUM!</v>
      </c>
      <c r="CD184" s="59">
        <f ca="1">AVERAGE(OFFSET($CC$3,0,0,'Données projet'!$E$12+1,1))-AVERAGE(OFFSET($H$3,0,0,'Données projet'!$E$12+1,1))</f>
        <v>152.85416952858094</v>
      </c>
      <c r="CE184" s="59">
        <f t="shared" si="148"/>
        <v>369.87619681979322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6.2082933421856472</v>
      </c>
      <c r="CL184" s="21">
        <f>EXP(-LN(2)/25)*CL183+(1-EXP(-LN(2)/25))/(LN(2)/25)*Calculateur!CG184*Calculateur!CI184*VLOOKUP('Données projet'!$B$12,Paramètres!$A$1:$I$89,3,0)*0.475*44/12</f>
        <v>0.21850252048379104</v>
      </c>
      <c r="CM184" s="21">
        <f>EXP(-LN(2)/2)*CM183+(1-EXP(-LN(2)/2))/(LN(2)/2)*CG184*CJ184*VLOOKUP('Données projet'!$B$12,Paramètres!$A$1:$I$89,3,0)*0.475*44/12</f>
        <v>8.415520972240694E-25</v>
      </c>
      <c r="CN184" s="22">
        <f t="shared" si="172"/>
        <v>6.4267958626694384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85.1760000000004</v>
      </c>
      <c r="D185" s="11">
        <f t="shared" si="140"/>
        <v>23.398088487656537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838.11577078191328</v>
      </c>
      <c r="H185" s="66">
        <f t="shared" si="110"/>
        <v>482.43320411600246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-0.79000000000000148</v>
      </c>
      <c r="N185" s="13">
        <f>IF('Données projet'!$A$36&gt;35,N184+M185-V184,IF(A185&lt;'Données projet'!$A$36,$K$205^A185,IF(A185='Données projet'!$A$36,'Données projet'!$B$36,N184+M185-V184)))</f>
        <v>192.25999999999931</v>
      </c>
      <c r="O185" s="13">
        <f>N185*VLOOKUP('Données projet'!$B$9,Paramètres!$A$1:$I$89,3,0)*VLOOKUP('Données projet'!$B$9,Paramètres!$A$1:$I$89,5,0)</f>
        <v>194.95163999999932</v>
      </c>
      <c r="P185" s="13">
        <f t="shared" si="141"/>
        <v>48.633045576068533</v>
      </c>
      <c r="Q185" s="20">
        <f t="shared" si="162"/>
        <v>424.24332737831816</v>
      </c>
      <c r="R185" s="59">
        <f t="shared" si="109"/>
        <v>717.57666071165147</v>
      </c>
      <c r="S185" s="59">
        <f ca="1">AVERAGE(OFFSET($R$3,0,0,'Données projet'!$E$9+1,1))-AVERAGE(OFFSET($H$3,0,0,'Données projet'!$E$9+1,1))</f>
        <v>561.16051468364344</v>
      </c>
      <c r="T185" s="59">
        <f t="shared" si="142"/>
        <v>137.34523913145267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273.21931220660457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273.21931220660457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173.95684799999935</v>
      </c>
      <c r="AK185" s="13">
        <f t="shared" si="164"/>
        <v>43.975035698276209</v>
      </c>
      <c r="AL185" s="20">
        <f t="shared" si="165"/>
        <v>379.56469744116322</v>
      </c>
      <c r="AM185" s="59">
        <f t="shared" si="113"/>
        <v>672.89803077449653</v>
      </c>
      <c r="AN185" s="59">
        <f ca="1">AVERAGE(OFFSET($AM$3,0,0,'Données projet'!$E$10+1,1))-AVERAGE(OFFSET($H$3,0,0,'Données projet'!$E$10+1,1))</f>
        <v>491.82493848755047</v>
      </c>
      <c r="AO185" s="59">
        <f t="shared" si="144"/>
        <v>119.46953275458026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243.79569396897023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243.79569396897023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212.00000000000009</v>
      </c>
      <c r="BE185" s="13">
        <f>BD185*VLOOKUP('Données projet'!$B$11,Paramètres!$A$1:$I$89,3,0)*VLOOKUP('Données projet'!$B$11,Paramètres!$A$1:$I$89,5,0)</f>
        <v>185.20320000000009</v>
      </c>
      <c r="BF185" s="13">
        <f t="shared" si="167"/>
        <v>46.477875402099386</v>
      </c>
      <c r="BG185" s="20">
        <f t="shared" si="168"/>
        <v>403.5112063253232</v>
      </c>
      <c r="BH185" s="59">
        <f t="shared" si="116"/>
        <v>696.84453965865646</v>
      </c>
      <c r="BI185" s="59">
        <f ca="1">AVERAGE(OFFSET($BH$3,0,0,'Données projet'!$E$11+1,1))-AVERAGE(OFFSET($H$3,0,0,'Données projet'!$E$11+1,1))</f>
        <v>216.10252108537389</v>
      </c>
      <c r="BJ185" s="59">
        <f t="shared" si="146"/>
        <v>196.91968622092054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8.6323206907252406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0</v>
      </c>
      <c r="BS185" s="22">
        <f t="shared" si="169"/>
        <v>8.6323206907252406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>
        <f>BY185*VLOOKUP('Données projet'!$B$12,Paramètres!$A$1:$I$89,3,0)*VLOOKUP('Données projet'!$B$12,Paramètres!$A$1:$I$89,5,0)</f>
        <v>0</v>
      </c>
      <c r="CA185" s="13" t="e">
        <f t="shared" si="170"/>
        <v>#NUM!</v>
      </c>
      <c r="CB185" s="20" t="e">
        <f t="shared" si="171"/>
        <v>#NUM!</v>
      </c>
      <c r="CC185" s="59" t="e">
        <f t="shared" si="119"/>
        <v>#NUM!</v>
      </c>
      <c r="CD185" s="59">
        <f ca="1">AVERAGE(OFFSET($CC$3,0,0,'Données projet'!$E$12+1,1))-AVERAGE(OFFSET($H$3,0,0,'Données projet'!$E$12+1,1))</f>
        <v>152.85416952858094</v>
      </c>
      <c r="CE185" s="59">
        <f t="shared" si="148"/>
        <v>369.87619681979322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6.0865524964304214</v>
      </c>
      <c r="CL185" s="21">
        <f>EXP(-LN(2)/25)*CL184+(1-EXP(-LN(2)/25))/(LN(2)/25)*Calculateur!CG185*Calculateur!CI185*VLOOKUP('Données projet'!$B$12,Paramètres!$A$1:$I$89,3,0)*0.475*44/12</f>
        <v>0.21252755757061362</v>
      </c>
      <c r="CM185" s="21">
        <f>EXP(-LN(2)/2)*CM184+(1-EXP(-LN(2)/2))/(LN(2)/2)*CG185*CJ185*VLOOKUP('Données projet'!$B$12,Paramètres!$A$1:$I$89,3,0)*0.475*44/12</f>
        <v>5.9506719466890021E-25</v>
      </c>
      <c r="CN185" s="22">
        <f t="shared" si="172"/>
        <v>6.2990800540010348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85.644000000000403</v>
      </c>
      <c r="D186" s="11">
        <f t="shared" si="140"/>
        <v>23.511648669822165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842.60500727582337</v>
      </c>
      <c r="H186" s="66">
        <f t="shared" si="110"/>
        <v>483.44608809994094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>
        <f>VLOOKUP(A186,'Données projet'!$A$35:$I$55,2,0)</f>
        <v>191.47</v>
      </c>
      <c r="L186" s="12">
        <f>VLOOKUP(A186,'Données projet'!$A$35:$I$55,9,0)</f>
        <v>-0.79000000000000148</v>
      </c>
      <c r="M186" s="12">
        <f t="array" ref="M186">INDEX(L:L,MIN(IF(ISNUMBER(L186:L382),ROW(L186:L382),"")))</f>
        <v>-0.79000000000000148</v>
      </c>
      <c r="N186" s="13">
        <f>IF('Données projet'!$A$36&gt;35,N185+M186-V185,IF(A186&lt;'Données projet'!$A$36,$K$205^A186,IF(A186='Données projet'!$A$36,'Données projet'!$B$36,N185+M186-V185)))</f>
        <v>191.46999999999932</v>
      </c>
      <c r="O186" s="13">
        <f>N186*VLOOKUP('Données projet'!$B$9,Paramètres!$A$1:$I$89,3,0)*VLOOKUP('Données projet'!$B$9,Paramètres!$A$1:$I$89,5,0)</f>
        <v>194.15057999999931</v>
      </c>
      <c r="P186" s="13">
        <f t="shared" si="141"/>
        <v>48.456429865052911</v>
      </c>
      <c r="Q186" s="20">
        <f t="shared" si="162"/>
        <v>422.54054218163259</v>
      </c>
      <c r="R186" s="59">
        <f t="shared" si="109"/>
        <v>715.8738755149659</v>
      </c>
      <c r="S186" s="59">
        <f ca="1">AVERAGE(OFFSET($R$3,0,0,'Données projet'!$E$9+1,1))-AVERAGE(OFFSET($H$3,0,0,'Données projet'!$E$9+1,1))</f>
        <v>561.16051468364344</v>
      </c>
      <c r="T186" s="59">
        <f t="shared" si="142"/>
        <v>137.34523913145267</v>
      </c>
      <c r="U186" s="15">
        <f>IF(ISNA(VLOOKUP(A186,'Données projet'!$A$35:$I$55,3,0)),0,VLOOKUP(A186,'Données projet'!$A$35:$I$55,3,0))</f>
        <v>18</v>
      </c>
      <c r="V186" s="15">
        <f>IF(ISNA(VLOOKUP(A186,'Données projet'!$A$35:$I$55,4,0)),0,VLOOKUP(A186,'Données projet'!$A$35:$I$55,4,0))</f>
        <v>169.76</v>
      </c>
      <c r="W186" s="16">
        <f>IF(ISNA(VLOOKUP(A186,'Données projet'!$A$35:$I$55,5,0)),0%,VLOOKUP(A186,'Données projet'!$A$35:$I$55,5,0)*VLOOKUP('Données projet'!$B$9,Paramètres!$A$1:$I$89,7,0))</f>
        <v>0.43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349.68718954505891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349.68718954505891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173.24205599999939</v>
      </c>
      <c r="AK186" s="13">
        <f t="shared" si="164"/>
        <v>43.815336010444845</v>
      </c>
      <c r="AL186" s="20">
        <f t="shared" si="165"/>
        <v>378.04162441819039</v>
      </c>
      <c r="AM186" s="59">
        <f t="shared" si="113"/>
        <v>671.37495775152365</v>
      </c>
      <c r="AN186" s="59">
        <f ca="1">AVERAGE(OFFSET($AM$3,0,0,'Données projet'!$E$10+1,1))-AVERAGE(OFFSET($H$3,0,0,'Données projet'!$E$10+1,1))</f>
        <v>491.82493848755047</v>
      </c>
      <c r="AO186" s="59">
        <f t="shared" si="144"/>
        <v>119.46953275458026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312.02856913251412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312.02856913251412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212.00000000000009</v>
      </c>
      <c r="BE186" s="13">
        <f>BD186*VLOOKUP('Données projet'!$B$11,Paramètres!$A$1:$I$89,3,0)*VLOOKUP('Données projet'!$B$11,Paramètres!$A$1:$I$89,5,0)</f>
        <v>185.20320000000009</v>
      </c>
      <c r="BF186" s="13">
        <f t="shared" si="167"/>
        <v>46.477875402099386</v>
      </c>
      <c r="BG186" s="20">
        <f t="shared" si="168"/>
        <v>403.5112063253232</v>
      </c>
      <c r="BH186" s="59">
        <f t="shared" si="116"/>
        <v>696.84453965865646</v>
      </c>
      <c r="BI186" s="59">
        <f ca="1">AVERAGE(OFFSET($BH$3,0,0,'Données projet'!$E$11+1,1))-AVERAGE(OFFSET($H$3,0,0,'Données projet'!$E$11+1,1))</f>
        <v>216.10252108537389</v>
      </c>
      <c r="BJ186" s="59">
        <f t="shared" si="146"/>
        <v>196.91968622092054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8.4630461471758451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0</v>
      </c>
      <c r="BS186" s="22">
        <f t="shared" si="169"/>
        <v>8.4630461471758451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>
        <f>BY186*VLOOKUP('Données projet'!$B$12,Paramètres!$A$1:$I$89,3,0)*VLOOKUP('Données projet'!$B$12,Paramètres!$A$1:$I$89,5,0)</f>
        <v>0</v>
      </c>
      <c r="CA186" s="13" t="e">
        <f t="shared" si="170"/>
        <v>#NUM!</v>
      </c>
      <c r="CB186" s="20" t="e">
        <f t="shared" si="171"/>
        <v>#NUM!</v>
      </c>
      <c r="CC186" s="59" t="e">
        <f t="shared" si="119"/>
        <v>#NUM!</v>
      </c>
      <c r="CD186" s="59">
        <f ca="1">AVERAGE(OFFSET($CC$3,0,0,'Données projet'!$E$12+1,1))-AVERAGE(OFFSET($H$3,0,0,'Données projet'!$E$12+1,1))</f>
        <v>152.85416952858094</v>
      </c>
      <c r="CE186" s="59">
        <f t="shared" si="148"/>
        <v>369.87619681979322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5.9671989144058717</v>
      </c>
      <c r="CL186" s="21">
        <f>EXP(-LN(2)/25)*CL185+(1-EXP(-LN(2)/25))/(LN(2)/25)*Calculateur!CG186*Calculateur!CI186*VLOOKUP('Données projet'!$B$12,Paramètres!$A$1:$I$89,3,0)*0.475*44/12</f>
        <v>0.20671598033250668</v>
      </c>
      <c r="CM186" s="21">
        <f>EXP(-LN(2)/2)*CM185+(1-EXP(-LN(2)/2))/(LN(2)/2)*CG186*CJ186*VLOOKUP('Données projet'!$B$12,Paramètres!$A$1:$I$89,3,0)*0.475*44/12</f>
        <v>4.207760486120347E-25</v>
      </c>
      <c r="CN186" s="22">
        <f t="shared" si="172"/>
        <v>6.1739148947383784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86.112000000000407</v>
      </c>
      <c r="D187" s="11">
        <f t="shared" si="140"/>
        <v>23.625136642852389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847.09368636588124</v>
      </c>
      <c r="H187" s="66">
        <f t="shared" si="110"/>
        <v>484.4588463196352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21.709999999999326</v>
      </c>
      <c r="O187" s="13">
        <f>N187*VLOOKUP('Données projet'!$B$9,Paramètres!$A$1:$I$89,3,0)*VLOOKUP('Données projet'!$B$9,Paramètres!$A$1:$I$89,5,0)</f>
        <v>22.013939999999319</v>
      </c>
      <c r="P187" s="13">
        <f t="shared" si="141"/>
        <v>7.0788029289091918</v>
      </c>
      <c r="Q187" s="20">
        <f t="shared" si="162"/>
        <v>50.669860601182314</v>
      </c>
      <c r="R187" s="59">
        <f t="shared" si="109"/>
        <v>344.00319393451565</v>
      </c>
      <c r="S187" s="59">
        <f ca="1">AVERAGE(OFFSET($R$3,0,0,'Données projet'!$E$9+1,1))-AVERAGE(OFFSET($H$3,0,0,'Données projet'!$E$9+1,1))</f>
        <v>561.16051468364344</v>
      </c>
      <c r="T187" s="59">
        <f t="shared" si="142"/>
        <v>137.34523913145267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342.83003704620546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342.83003704620546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19.64320799999939</v>
      </c>
      <c r="AK187" s="13">
        <f t="shared" si="164"/>
        <v>6.4008043874806155</v>
      </c>
      <c r="AL187" s="20">
        <f t="shared" si="165"/>
        <v>45.359988241527674</v>
      </c>
      <c r="AM187" s="59">
        <f t="shared" si="113"/>
        <v>338.69332157486099</v>
      </c>
      <c r="AN187" s="59">
        <f ca="1">AVERAGE(OFFSET($AM$3,0,0,'Données projet'!$E$10+1,1))-AVERAGE(OFFSET($H$3,0,0,'Données projet'!$E$10+1,1))</f>
        <v>491.82493848755047</v>
      </c>
      <c r="AO187" s="59">
        <f t="shared" si="144"/>
        <v>119.46953275458026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305.9098792104603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305.9098792104603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212.00000000000009</v>
      </c>
      <c r="BE187" s="13">
        <f>BD187*VLOOKUP('Données projet'!$B$11,Paramètres!$A$1:$I$89,3,0)*VLOOKUP('Données projet'!$B$11,Paramètres!$A$1:$I$89,5,0)</f>
        <v>185.20320000000009</v>
      </c>
      <c r="BF187" s="13">
        <f t="shared" si="167"/>
        <v>46.477875402099386</v>
      </c>
      <c r="BG187" s="20">
        <f t="shared" si="168"/>
        <v>403.5112063253232</v>
      </c>
      <c r="BH187" s="59">
        <f t="shared" si="116"/>
        <v>696.84453965865646</v>
      </c>
      <c r="BI187" s="59">
        <f ca="1">AVERAGE(OFFSET($BH$3,0,0,'Données projet'!$E$11+1,1))-AVERAGE(OFFSET($H$3,0,0,'Données projet'!$E$11+1,1))</f>
        <v>216.10252108537389</v>
      </c>
      <c r="BJ187" s="59">
        <f t="shared" si="146"/>
        <v>196.91968622092054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8.2970909741781771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0</v>
      </c>
      <c r="BS187" s="22">
        <f t="shared" si="169"/>
        <v>8.2970909741781771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>
        <f>BY187*VLOOKUP('Données projet'!$B$12,Paramètres!$A$1:$I$89,3,0)*VLOOKUP('Données projet'!$B$12,Paramètres!$A$1:$I$89,5,0)</f>
        <v>0</v>
      </c>
      <c r="CA187" s="13" t="e">
        <f t="shared" si="170"/>
        <v>#NUM!</v>
      </c>
      <c r="CB187" s="20" t="e">
        <f t="shared" si="171"/>
        <v>#NUM!</v>
      </c>
      <c r="CC187" s="59" t="e">
        <f t="shared" si="119"/>
        <v>#NUM!</v>
      </c>
      <c r="CD187" s="59">
        <f ca="1">AVERAGE(OFFSET($CC$3,0,0,'Données projet'!$E$12+1,1))-AVERAGE(OFFSET($H$3,0,0,'Données projet'!$E$12+1,1))</f>
        <v>152.85416952858094</v>
      </c>
      <c r="CE187" s="59">
        <f t="shared" si="148"/>
        <v>369.87619681979322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5.8501857833263262</v>
      </c>
      <c r="CL187" s="21">
        <f>EXP(-LN(2)/25)*CL186+(1-EXP(-LN(2)/25))/(LN(2)/25)*Calculateur!CG187*Calculateur!CI187*VLOOKUP('Données projet'!$B$12,Paramètres!$A$1:$I$89,3,0)*0.475*44/12</f>
        <v>0.20106332097959334</v>
      </c>
      <c r="CM187" s="21">
        <f>EXP(-LN(2)/2)*CM186+(1-EXP(-LN(2)/2))/(LN(2)/2)*CG187*CJ187*VLOOKUP('Données projet'!$B$12,Paramètres!$A$1:$I$89,3,0)*0.475*44/12</f>
        <v>2.9753359733445011E-25</v>
      </c>
      <c r="CN187" s="22">
        <f t="shared" si="172"/>
        <v>6.0512491043059198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86.58000000000041</v>
      </c>
      <c r="D188" s="11">
        <f t="shared" si="140"/>
        <v>23.73855284473407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851.58181143303818</v>
      </c>
      <c r="H188" s="66">
        <f t="shared" si="110"/>
        <v>485.4714795379125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21.709999999999326</v>
      </c>
      <c r="O188" s="13">
        <f>N188*VLOOKUP('Données projet'!$B$9,Paramètres!$A$1:$I$89,3,0)*VLOOKUP('Données projet'!$B$9,Paramètres!$A$1:$I$89,5,0)</f>
        <v>22.013939999999319</v>
      </c>
      <c r="P188" s="13">
        <f t="shared" si="141"/>
        <v>7.0788029289091918</v>
      </c>
      <c r="Q188" s="20">
        <f t="shared" si="162"/>
        <v>50.669860601182314</v>
      </c>
      <c r="R188" s="59">
        <f t="shared" si="109"/>
        <v>344.00319393451565</v>
      </c>
      <c r="S188" s="59">
        <f ca="1">AVERAGE(OFFSET($R$3,0,0,'Données projet'!$E$9+1,1))-AVERAGE(OFFSET($H$3,0,0,'Données projet'!$E$9+1,1))</f>
        <v>561.16051468364344</v>
      </c>
      <c r="T188" s="59">
        <f t="shared" si="142"/>
        <v>137.34523913145267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336.10734912540448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336.10734912540448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19.64320799999939</v>
      </c>
      <c r="AK188" s="13">
        <f t="shared" si="164"/>
        <v>6.4008043874806155</v>
      </c>
      <c r="AL188" s="20">
        <f t="shared" si="165"/>
        <v>45.359988241527674</v>
      </c>
      <c r="AM188" s="59">
        <f t="shared" si="113"/>
        <v>338.69332157486099</v>
      </c>
      <c r="AN188" s="59">
        <f ca="1">AVERAGE(OFFSET($AM$3,0,0,'Données projet'!$E$10+1,1))-AVERAGE(OFFSET($H$3,0,0,'Données projet'!$E$10+1,1))</f>
        <v>491.82493848755047</v>
      </c>
      <c r="AO188" s="59">
        <f t="shared" si="144"/>
        <v>119.46953275458026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299.91117306574557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299.91117306574557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212.00000000000009</v>
      </c>
      <c r="BE188" s="13">
        <f>BD188*VLOOKUP('Données projet'!$B$11,Paramètres!$A$1:$I$89,3,0)*VLOOKUP('Données projet'!$B$11,Paramètres!$A$1:$I$89,5,0)</f>
        <v>185.20320000000009</v>
      </c>
      <c r="BF188" s="13">
        <f t="shared" si="167"/>
        <v>46.477875402099386</v>
      </c>
      <c r="BG188" s="20">
        <f t="shared" si="168"/>
        <v>403.5112063253232</v>
      </c>
      <c r="BH188" s="59">
        <f t="shared" si="116"/>
        <v>696.84453965865646</v>
      </c>
      <c r="BI188" s="59">
        <f ca="1">AVERAGE(OFFSET($BH$3,0,0,'Données projet'!$E$11+1,1))-AVERAGE(OFFSET($H$3,0,0,'Données projet'!$E$11+1,1))</f>
        <v>216.10252108537389</v>
      </c>
      <c r="BJ188" s="59">
        <f t="shared" si="146"/>
        <v>196.91968622092054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8.1343900809003316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0</v>
      </c>
      <c r="BS188" s="22">
        <f t="shared" si="169"/>
        <v>8.1343900809003316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>
        <f>BY188*VLOOKUP('Données projet'!$B$12,Paramètres!$A$1:$I$89,3,0)*VLOOKUP('Données projet'!$B$12,Paramètres!$A$1:$I$89,5,0)</f>
        <v>0</v>
      </c>
      <c r="CA188" s="13" t="e">
        <f t="shared" si="170"/>
        <v>#NUM!</v>
      </c>
      <c r="CB188" s="20" t="e">
        <f t="shared" si="171"/>
        <v>#NUM!</v>
      </c>
      <c r="CC188" s="59" t="e">
        <f t="shared" si="119"/>
        <v>#NUM!</v>
      </c>
      <c r="CD188" s="59">
        <f ca="1">AVERAGE(OFFSET($CC$3,0,0,'Données projet'!$E$12+1,1))-AVERAGE(OFFSET($H$3,0,0,'Données projet'!$E$12+1,1))</f>
        <v>152.85416952858094</v>
      </c>
      <c r="CE188" s="59">
        <f t="shared" si="148"/>
        <v>369.87619681979322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5.7354672083762885</v>
      </c>
      <c r="CL188" s="21">
        <f>EXP(-LN(2)/25)*CL187+(1-EXP(-LN(2)/25))/(LN(2)/25)*Calculateur!CG188*Calculateur!CI188*VLOOKUP('Données projet'!$B$12,Paramètres!$A$1:$I$89,3,0)*0.475*44/12</f>
        <v>0.19556523389394584</v>
      </c>
      <c r="CM188" s="21">
        <f>EXP(-LN(2)/2)*CM187+(1-EXP(-LN(2)/2))/(LN(2)/2)*CG188*CJ188*VLOOKUP('Données projet'!$B$12,Paramètres!$A$1:$I$89,3,0)*0.475*44/12</f>
        <v>2.1038802430601735E-25</v>
      </c>
      <c r="CN188" s="22">
        <f t="shared" si="172"/>
        <v>5.9310324422702347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87.048000000000414</v>
      </c>
      <c r="D189" s="11">
        <f t="shared" si="140"/>
        <v>23.851897708444977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856.06938581957854</v>
      </c>
      <c r="H189" s="66">
        <f t="shared" si="110"/>
        <v>486.48398850887571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21.709999999999326</v>
      </c>
      <c r="O189" s="13">
        <f>N189*VLOOKUP('Données projet'!$B$9,Paramètres!$A$1:$I$89,3,0)*VLOOKUP('Données projet'!$B$9,Paramètres!$A$1:$I$89,5,0)</f>
        <v>22.013939999999319</v>
      </c>
      <c r="P189" s="13">
        <f t="shared" si="141"/>
        <v>7.0788029289091918</v>
      </c>
      <c r="Q189" s="20">
        <f t="shared" si="162"/>
        <v>50.669860601182314</v>
      </c>
      <c r="R189" s="59">
        <f t="shared" si="109"/>
        <v>344.00319393451565</v>
      </c>
      <c r="S189" s="59">
        <f ca="1">AVERAGE(OFFSET($R$3,0,0,'Données projet'!$E$9+1,1))-AVERAGE(OFFSET($H$3,0,0,'Données projet'!$E$9+1,1))</f>
        <v>561.16051468364344</v>
      </c>
      <c r="T189" s="59">
        <f t="shared" si="142"/>
        <v>137.34523913145267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329.5164890142957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329.5164890142957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19.64320799999939</v>
      </c>
      <c r="AK189" s="13">
        <f t="shared" si="164"/>
        <v>6.4008043874806155</v>
      </c>
      <c r="AL189" s="20">
        <f t="shared" si="165"/>
        <v>45.359988241527674</v>
      </c>
      <c r="AM189" s="59">
        <f t="shared" si="113"/>
        <v>338.69332157486099</v>
      </c>
      <c r="AN189" s="59">
        <f ca="1">AVERAGE(OFFSET($AM$3,0,0,'Données projet'!$E$10+1,1))-AVERAGE(OFFSET($H$3,0,0,'Données projet'!$E$10+1,1))</f>
        <v>491.82493848755047</v>
      </c>
      <c r="AO189" s="59">
        <f t="shared" si="144"/>
        <v>119.46953275458026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294.03009788967927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294.03009788967927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212.00000000000009</v>
      </c>
      <c r="BE189" s="13">
        <f>BD189*VLOOKUP('Données projet'!$B$11,Paramètres!$A$1:$I$89,3,0)*VLOOKUP('Données projet'!$B$11,Paramètres!$A$1:$I$89,5,0)</f>
        <v>185.20320000000009</v>
      </c>
      <c r="BF189" s="13">
        <f t="shared" si="167"/>
        <v>46.477875402099386</v>
      </c>
      <c r="BG189" s="20">
        <f t="shared" si="168"/>
        <v>403.5112063253232</v>
      </c>
      <c r="BH189" s="59">
        <f t="shared" si="116"/>
        <v>696.84453965865646</v>
      </c>
      <c r="BI189" s="59">
        <f ca="1">AVERAGE(OFFSET($BH$3,0,0,'Données projet'!$E$11+1,1))-AVERAGE(OFFSET($H$3,0,0,'Données projet'!$E$11+1,1))</f>
        <v>216.10252108537389</v>
      </c>
      <c r="BJ189" s="59">
        <f t="shared" si="146"/>
        <v>196.91968622092054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7.9748796529019188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0</v>
      </c>
      <c r="BS189" s="22">
        <f t="shared" si="169"/>
        <v>7.9748796529019188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>
        <f>BY189*VLOOKUP('Données projet'!$B$12,Paramètres!$A$1:$I$89,3,0)*VLOOKUP('Données projet'!$B$12,Paramètres!$A$1:$I$89,5,0)</f>
        <v>0</v>
      </c>
      <c r="CA189" s="13" t="e">
        <f t="shared" si="170"/>
        <v>#NUM!</v>
      </c>
      <c r="CB189" s="20" t="e">
        <f t="shared" si="171"/>
        <v>#NUM!</v>
      </c>
      <c r="CC189" s="59" t="e">
        <f t="shared" si="119"/>
        <v>#NUM!</v>
      </c>
      <c r="CD189" s="59">
        <f ca="1">AVERAGE(OFFSET($CC$3,0,0,'Données projet'!$E$12+1,1))-AVERAGE(OFFSET($H$3,0,0,'Données projet'!$E$12+1,1))</f>
        <v>152.85416952858094</v>
      </c>
      <c r="CE189" s="59">
        <f t="shared" si="148"/>
        <v>369.87619681979322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5.6229981947095995</v>
      </c>
      <c r="CL189" s="21">
        <f>EXP(-LN(2)/25)*CL188+(1-EXP(-LN(2)/25))/(LN(2)/25)*Calculateur!CG189*Calculateur!CI189*VLOOKUP('Données projet'!$B$12,Paramètres!$A$1:$I$89,3,0)*0.475*44/12</f>
        <v>0.1902174922887872</v>
      </c>
      <c r="CM189" s="21">
        <f>EXP(-LN(2)/2)*CM188+(1-EXP(-LN(2)/2))/(LN(2)/2)*CG189*CJ189*VLOOKUP('Données projet'!$B$12,Paramètres!$A$1:$I$89,3,0)*0.475*44/12</f>
        <v>1.4876679866722505E-25</v>
      </c>
      <c r="CN189" s="22">
        <f t="shared" si="172"/>
        <v>5.8132156869983866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87.516000000000417</v>
      </c>
      <c r="D190" s="11">
        <f t="shared" si="140"/>
        <v>23.96517166203774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860.55641282976819</v>
      </c>
      <c r="H190" s="66">
        <f t="shared" si="110"/>
        <v>487.49637397804975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21.709999999999326</v>
      </c>
      <c r="O190" s="13">
        <f>N190*VLOOKUP('Données projet'!$B$9,Paramètres!$A$1:$I$89,3,0)*VLOOKUP('Données projet'!$B$9,Paramètres!$A$1:$I$89,5,0)</f>
        <v>22.013939999999319</v>
      </c>
      <c r="P190" s="13">
        <f t="shared" si="141"/>
        <v>7.0788029289091918</v>
      </c>
      <c r="Q190" s="20">
        <f t="shared" si="162"/>
        <v>50.669860601182314</v>
      </c>
      <c r="R190" s="59">
        <f t="shared" si="109"/>
        <v>344.00319393451565</v>
      </c>
      <c r="S190" s="59">
        <f ca="1">AVERAGE(OFFSET($R$3,0,0,'Données projet'!$E$9+1,1))-AVERAGE(OFFSET($H$3,0,0,'Données projet'!$E$9+1,1))</f>
        <v>561.16051468364344</v>
      </c>
      <c r="T190" s="59">
        <f t="shared" si="142"/>
        <v>137.34523913145267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323.05487164993804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323.05487164993804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19.64320799999939</v>
      </c>
      <c r="AK190" s="13">
        <f t="shared" si="164"/>
        <v>6.4008043874806155</v>
      </c>
      <c r="AL190" s="20">
        <f t="shared" si="165"/>
        <v>45.359988241527674</v>
      </c>
      <c r="AM190" s="59">
        <f t="shared" si="113"/>
        <v>338.69332157486099</v>
      </c>
      <c r="AN190" s="59">
        <f ca="1">AVERAGE(OFFSET($AM$3,0,0,'Données projet'!$E$10+1,1))-AVERAGE(OFFSET($H$3,0,0,'Données projet'!$E$10+1,1))</f>
        <v>491.82493848755047</v>
      </c>
      <c r="AO190" s="59">
        <f t="shared" si="144"/>
        <v>119.46953275458026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288.26434701071395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288.26434701071395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212.00000000000009</v>
      </c>
      <c r="BE190" s="13">
        <f>BD190*VLOOKUP('Données projet'!$B$11,Paramètres!$A$1:$I$89,3,0)*VLOOKUP('Données projet'!$B$11,Paramètres!$A$1:$I$89,5,0)</f>
        <v>185.20320000000009</v>
      </c>
      <c r="BF190" s="13">
        <f t="shared" si="167"/>
        <v>46.477875402099386</v>
      </c>
      <c r="BG190" s="20">
        <f t="shared" si="168"/>
        <v>403.5112063253232</v>
      </c>
      <c r="BH190" s="59">
        <f t="shared" si="116"/>
        <v>696.84453965865646</v>
      </c>
      <c r="BI190" s="59">
        <f ca="1">AVERAGE(OFFSET($BH$3,0,0,'Données projet'!$E$11+1,1))-AVERAGE(OFFSET($H$3,0,0,'Données projet'!$E$11+1,1))</f>
        <v>216.10252108537389</v>
      </c>
      <c r="BJ190" s="59">
        <f t="shared" si="146"/>
        <v>196.91968622092054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7.8184971271048012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0</v>
      </c>
      <c r="BS190" s="22">
        <f t="shared" si="169"/>
        <v>7.8184971271048012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>
        <f>BY190*VLOOKUP('Données projet'!$B$12,Paramètres!$A$1:$I$89,3,0)*VLOOKUP('Données projet'!$B$12,Paramètres!$A$1:$I$89,5,0)</f>
        <v>0</v>
      </c>
      <c r="CA190" s="13" t="e">
        <f t="shared" si="170"/>
        <v>#NUM!</v>
      </c>
      <c r="CB190" s="20" t="e">
        <f t="shared" si="171"/>
        <v>#NUM!</v>
      </c>
      <c r="CC190" s="59" t="e">
        <f t="shared" si="119"/>
        <v>#NUM!</v>
      </c>
      <c r="CD190" s="59">
        <f ca="1">AVERAGE(OFFSET($CC$3,0,0,'Données projet'!$E$12+1,1))-AVERAGE(OFFSET($H$3,0,0,'Données projet'!$E$12+1,1))</f>
        <v>152.85416952858094</v>
      </c>
      <c r="CE190" s="59">
        <f t="shared" si="148"/>
        <v>369.87619681979322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5.5127346298015896</v>
      </c>
      <c r="CL190" s="21">
        <f>EXP(-LN(2)/25)*CL189+(1-EXP(-LN(2)/25))/(LN(2)/25)*Calculateur!CG190*Calculateur!CI190*VLOOKUP('Données projet'!$B$12,Paramètres!$A$1:$I$89,3,0)*0.475*44/12</f>
        <v>0.18501598495904714</v>
      </c>
      <c r="CM190" s="21">
        <f>EXP(-LN(2)/2)*CM189+(1-EXP(-LN(2)/2))/(LN(2)/2)*CG190*CJ190*VLOOKUP('Données projet'!$B$12,Paramètres!$A$1:$I$89,3,0)*0.475*44/12</f>
        <v>1.0519401215300867E-25</v>
      </c>
      <c r="CN190" s="22">
        <f t="shared" si="172"/>
        <v>5.6977506147606363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87.984000000000421</v>
      </c>
      <c r="D191" s="11">
        <f t="shared" si="140"/>
        <v>24.078375128721891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865.042895730488</v>
      </c>
      <c r="H191" s="66">
        <f t="shared" si="110"/>
        <v>488.50863668252464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21.709999999999326</v>
      </c>
      <c r="O191" s="13">
        <f>N191*VLOOKUP('Données projet'!$B$9,Paramètres!$A$1:$I$89,3,0)*VLOOKUP('Données projet'!$B$9,Paramètres!$A$1:$I$89,5,0)</f>
        <v>22.013939999999319</v>
      </c>
      <c r="P191" s="13">
        <f t="shared" si="141"/>
        <v>7.0788029289091918</v>
      </c>
      <c r="Q191" s="20">
        <f t="shared" si="162"/>
        <v>50.669860601182314</v>
      </c>
      <c r="R191" s="59">
        <f t="shared" si="109"/>
        <v>344.00319393451565</v>
      </c>
      <c r="S191" s="59">
        <f ca="1">AVERAGE(OFFSET($R$3,0,0,'Données projet'!$E$9+1,1))-AVERAGE(OFFSET($H$3,0,0,'Données projet'!$E$9+1,1))</f>
        <v>561.16051468364344</v>
      </c>
      <c r="T191" s="59">
        <f t="shared" si="142"/>
        <v>137.34523913145267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316.71996266089798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316.71996266089798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19.64320799999939</v>
      </c>
      <c r="AK191" s="13">
        <f t="shared" si="164"/>
        <v>6.4008043874806155</v>
      </c>
      <c r="AL191" s="20">
        <f t="shared" si="165"/>
        <v>45.359988241527674</v>
      </c>
      <c r="AM191" s="59">
        <f t="shared" si="113"/>
        <v>338.69332157486099</v>
      </c>
      <c r="AN191" s="59">
        <f ca="1">AVERAGE(OFFSET($AM$3,0,0,'Données projet'!$E$10+1,1))-AVERAGE(OFFSET($H$3,0,0,'Données projet'!$E$10+1,1))</f>
        <v>491.82493848755047</v>
      </c>
      <c r="AO191" s="59">
        <f t="shared" si="144"/>
        <v>119.46953275458026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282.61165898972433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282.61165898972433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212.00000000000009</v>
      </c>
      <c r="BE191" s="13">
        <f>BD191*VLOOKUP('Données projet'!$B$11,Paramètres!$A$1:$I$89,3,0)*VLOOKUP('Données projet'!$B$11,Paramètres!$A$1:$I$89,5,0)</f>
        <v>185.20320000000009</v>
      </c>
      <c r="BF191" s="13">
        <f t="shared" si="167"/>
        <v>46.477875402099386</v>
      </c>
      <c r="BG191" s="20">
        <f t="shared" si="168"/>
        <v>403.5112063253232</v>
      </c>
      <c r="BH191" s="59">
        <f t="shared" si="116"/>
        <v>696.84453965865646</v>
      </c>
      <c r="BI191" s="59">
        <f ca="1">AVERAGE(OFFSET($BH$3,0,0,'Données projet'!$E$11+1,1))-AVERAGE(OFFSET($H$3,0,0,'Données projet'!$E$11+1,1))</f>
        <v>216.10252108537389</v>
      </c>
      <c r="BJ191" s="59">
        <f t="shared" si="146"/>
        <v>196.91968622092054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7.6651811672546426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0</v>
      </c>
      <c r="BS191" s="22">
        <f t="shared" si="169"/>
        <v>7.6651811672546426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>
        <f>BY191*VLOOKUP('Données projet'!$B$12,Paramètres!$A$1:$I$89,3,0)*VLOOKUP('Données projet'!$B$12,Paramètres!$A$1:$I$89,5,0)</f>
        <v>0</v>
      </c>
      <c r="CA191" s="13" t="e">
        <f t="shared" si="170"/>
        <v>#NUM!</v>
      </c>
      <c r="CB191" s="20" t="e">
        <f t="shared" si="171"/>
        <v>#NUM!</v>
      </c>
      <c r="CC191" s="59" t="e">
        <f t="shared" si="119"/>
        <v>#NUM!</v>
      </c>
      <c r="CD191" s="59">
        <f ca="1">AVERAGE(OFFSET($CC$3,0,0,'Données projet'!$E$12+1,1))-AVERAGE(OFFSET($H$3,0,0,'Données projet'!$E$12+1,1))</f>
        <v>152.85416952858094</v>
      </c>
      <c r="CE191" s="59">
        <f t="shared" si="148"/>
        <v>369.87619681979322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5.4046332661472913</v>
      </c>
      <c r="CL191" s="21">
        <f>EXP(-LN(2)/25)*CL190+(1-EXP(-LN(2)/25))/(LN(2)/25)*Calculateur!CG191*Calculateur!CI191*VLOOKUP('Données projet'!$B$12,Paramètres!$A$1:$I$89,3,0)*0.475*44/12</f>
        <v>0.17995671312077421</v>
      </c>
      <c r="CM191" s="21">
        <f>EXP(-LN(2)/2)*CM190+(1-EXP(-LN(2)/2))/(LN(2)/2)*CG191*CJ191*VLOOKUP('Données projet'!$B$12,Paramètres!$A$1:$I$89,3,0)*0.475*44/12</f>
        <v>7.4383399333612527E-26</v>
      </c>
      <c r="CN191" s="22">
        <f t="shared" si="172"/>
        <v>5.5845899792680651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88.452000000000425</v>
      </c>
      <c r="D192" s="11">
        <f t="shared" si="140"/>
        <v>24.191508526944062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869.52883775185228</v>
      </c>
      <c r="H192" s="66">
        <f t="shared" si="110"/>
        <v>489.52077735109492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21.709999999999326</v>
      </c>
      <c r="O192" s="13">
        <f>N192*VLOOKUP('Données projet'!$B$9,Paramètres!$A$1:$I$89,3,0)*VLOOKUP('Données projet'!$B$9,Paramètres!$A$1:$I$89,5,0)</f>
        <v>22.013939999999319</v>
      </c>
      <c r="P192" s="13">
        <f t="shared" si="141"/>
        <v>7.0788029289091918</v>
      </c>
      <c r="Q192" s="20">
        <f t="shared" si="162"/>
        <v>50.669860601182314</v>
      </c>
      <c r="R192" s="59">
        <f t="shared" si="109"/>
        <v>344.00319393451565</v>
      </c>
      <c r="S192" s="59">
        <f ca="1">AVERAGE(OFFSET($R$3,0,0,'Données projet'!$E$9+1,1))-AVERAGE(OFFSET($H$3,0,0,'Données projet'!$E$9+1,1))</f>
        <v>561.16051468364344</v>
      </c>
      <c r="T192" s="59">
        <f t="shared" si="142"/>
        <v>137.34523913145267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310.50927737322002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310.50927737322002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19.64320799999939</v>
      </c>
      <c r="AK192" s="13">
        <f t="shared" si="164"/>
        <v>6.4008043874806155</v>
      </c>
      <c r="AL192" s="20">
        <f t="shared" si="165"/>
        <v>45.359988241527674</v>
      </c>
      <c r="AM192" s="59">
        <f t="shared" si="113"/>
        <v>338.69332157486099</v>
      </c>
      <c r="AN192" s="59">
        <f ca="1">AVERAGE(OFFSET($AM$3,0,0,'Données projet'!$E$10+1,1))-AVERAGE(OFFSET($H$3,0,0,'Données projet'!$E$10+1,1))</f>
        <v>491.82493848755047</v>
      </c>
      <c r="AO192" s="59">
        <f t="shared" si="144"/>
        <v>119.46953275458026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277.0698167330271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277.0698167330271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212.00000000000009</v>
      </c>
      <c r="BE192" s="13">
        <f>BD192*VLOOKUP('Données projet'!$B$11,Paramètres!$A$1:$I$89,3,0)*VLOOKUP('Données projet'!$B$11,Paramètres!$A$1:$I$89,5,0)</f>
        <v>185.20320000000009</v>
      </c>
      <c r="BF192" s="13">
        <f t="shared" si="167"/>
        <v>46.477875402099386</v>
      </c>
      <c r="BG192" s="20">
        <f t="shared" si="168"/>
        <v>403.5112063253232</v>
      </c>
      <c r="BH192" s="59">
        <f t="shared" si="116"/>
        <v>696.84453965865646</v>
      </c>
      <c r="BI192" s="59">
        <f ca="1">AVERAGE(OFFSET($BH$3,0,0,'Données projet'!$E$11+1,1))-AVERAGE(OFFSET($H$3,0,0,'Données projet'!$E$11+1,1))</f>
        <v>216.10252108537389</v>
      </c>
      <c r="BJ192" s="59">
        <f t="shared" si="146"/>
        <v>196.91968622092054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7.5148716398636433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0</v>
      </c>
      <c r="BS192" s="22">
        <f t="shared" si="169"/>
        <v>7.5148716398636433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>
        <f>BY192*VLOOKUP('Données projet'!$B$12,Paramètres!$A$1:$I$89,3,0)*VLOOKUP('Données projet'!$B$12,Paramètres!$A$1:$I$89,5,0)</f>
        <v>0</v>
      </c>
      <c r="CA192" s="13" t="e">
        <f t="shared" si="170"/>
        <v>#NUM!</v>
      </c>
      <c r="CB192" s="20" t="e">
        <f t="shared" si="171"/>
        <v>#NUM!</v>
      </c>
      <c r="CC192" s="59" t="e">
        <f t="shared" si="119"/>
        <v>#NUM!</v>
      </c>
      <c r="CD192" s="59">
        <f ca="1">AVERAGE(OFFSET($CC$3,0,0,'Données projet'!$E$12+1,1))-AVERAGE(OFFSET($H$3,0,0,'Données projet'!$E$12+1,1))</f>
        <v>152.85416952858094</v>
      </c>
      <c r="CE192" s="59">
        <f t="shared" si="148"/>
        <v>369.87619681979322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5.2986517042989325</v>
      </c>
      <c r="CL192" s="21">
        <f>EXP(-LN(2)/25)*CL191+(1-EXP(-LN(2)/25))/(LN(2)/25)*Calculateur!CG192*Calculateur!CI192*VLOOKUP('Données projet'!$B$12,Paramètres!$A$1:$I$89,3,0)*0.475*44/12</f>
        <v>0.17503578733697439</v>
      </c>
      <c r="CM192" s="21">
        <f>EXP(-LN(2)/2)*CM191+(1-EXP(-LN(2)/2))/(LN(2)/2)*CG192*CJ192*VLOOKUP('Données projet'!$B$12,Paramètres!$A$1:$I$89,3,0)*0.475*44/12</f>
        <v>5.2597006076504337E-26</v>
      </c>
      <c r="CN192" s="22">
        <f t="shared" si="172"/>
        <v>5.4736874916359071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88.920000000000428</v>
      </c>
      <c r="D193" s="11">
        <f t="shared" si="140"/>
        <v>24.304572270466586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874.01424208781555</v>
      </c>
      <c r="H193" s="66">
        <f t="shared" si="110"/>
        <v>490.53279670439667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21.709999999999326</v>
      </c>
      <c r="O193" s="13">
        <f>N193*VLOOKUP('Données projet'!$B$9,Paramètres!$A$1:$I$89,3,0)*VLOOKUP('Données projet'!$B$9,Paramètres!$A$1:$I$89,5,0)</f>
        <v>22.013939999999319</v>
      </c>
      <c r="P193" s="13">
        <f t="shared" si="141"/>
        <v>7.0788029289091918</v>
      </c>
      <c r="Q193" s="20">
        <f t="shared" si="162"/>
        <v>50.669860601182314</v>
      </c>
      <c r="R193" s="59">
        <f t="shared" si="109"/>
        <v>344.00319393451565</v>
      </c>
      <c r="S193" s="59">
        <f ca="1">AVERAGE(OFFSET($R$3,0,0,'Données projet'!$E$9+1,1))-AVERAGE(OFFSET($H$3,0,0,'Données projet'!$E$9+1,1))</f>
        <v>561.16051468364344</v>
      </c>
      <c r="T193" s="59">
        <f t="shared" si="142"/>
        <v>137.34523913145267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304.42037983588949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304.42037983588949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19.64320799999939</v>
      </c>
      <c r="AK193" s="13">
        <f t="shared" si="164"/>
        <v>6.4008043874806155</v>
      </c>
      <c r="AL193" s="20">
        <f t="shared" si="165"/>
        <v>45.359988241527674</v>
      </c>
      <c r="AM193" s="59">
        <f t="shared" si="113"/>
        <v>338.69332157486099</v>
      </c>
      <c r="AN193" s="59">
        <f ca="1">AVERAGE(OFFSET($AM$3,0,0,'Données projet'!$E$10+1,1))-AVERAGE(OFFSET($H$3,0,0,'Données projet'!$E$10+1,1))</f>
        <v>491.82493848755047</v>
      </c>
      <c r="AO193" s="59">
        <f t="shared" si="144"/>
        <v>119.46953275458026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271.63664662279371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271.63664662279371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212.00000000000009</v>
      </c>
      <c r="BE193" s="13">
        <f>BD193*VLOOKUP('Données projet'!$B$11,Paramètres!$A$1:$I$89,3,0)*VLOOKUP('Données projet'!$B$11,Paramètres!$A$1:$I$89,5,0)</f>
        <v>185.20320000000009</v>
      </c>
      <c r="BF193" s="13">
        <f t="shared" si="167"/>
        <v>46.477875402099386</v>
      </c>
      <c r="BG193" s="20">
        <f t="shared" si="168"/>
        <v>403.5112063253232</v>
      </c>
      <c r="BH193" s="59">
        <f t="shared" si="116"/>
        <v>696.84453965865646</v>
      </c>
      <c r="BI193" s="59">
        <f ca="1">AVERAGE(OFFSET($BH$3,0,0,'Données projet'!$E$11+1,1))-AVERAGE(OFFSET($H$3,0,0,'Données projet'!$E$11+1,1))</f>
        <v>216.10252108537389</v>
      </c>
      <c r="BJ193" s="59">
        <f t="shared" si="146"/>
        <v>196.91968622092054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7.3675095906250228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0</v>
      </c>
      <c r="BS193" s="22">
        <f t="shared" si="169"/>
        <v>7.3675095906250228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>
        <f>BY193*VLOOKUP('Données projet'!$B$12,Paramètres!$A$1:$I$89,3,0)*VLOOKUP('Données projet'!$B$12,Paramètres!$A$1:$I$89,5,0)</f>
        <v>0</v>
      </c>
      <c r="CA193" s="13" t="e">
        <f t="shared" si="170"/>
        <v>#NUM!</v>
      </c>
      <c r="CB193" s="20" t="e">
        <f t="shared" si="171"/>
        <v>#NUM!</v>
      </c>
      <c r="CC193" s="59" t="e">
        <f t="shared" si="119"/>
        <v>#NUM!</v>
      </c>
      <c r="CD193" s="59">
        <f ca="1">AVERAGE(OFFSET($CC$3,0,0,'Données projet'!$E$12+1,1))-AVERAGE(OFFSET($H$3,0,0,'Données projet'!$E$12+1,1))</f>
        <v>152.85416952858094</v>
      </c>
      <c r="CE193" s="59">
        <f t="shared" si="148"/>
        <v>369.87619681979322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5.1947483762360509</v>
      </c>
      <c r="CL193" s="21">
        <f>EXP(-LN(2)/25)*CL192+(1-EXP(-LN(2)/25))/(LN(2)/25)*Calculateur!CG193*Calculateur!CI193*VLOOKUP('Données projet'!$B$12,Paramètres!$A$1:$I$89,3,0)*0.475*44/12</f>
        <v>0.17024942452751282</v>
      </c>
      <c r="CM193" s="21">
        <f>EXP(-LN(2)/2)*CM192+(1-EXP(-LN(2)/2))/(LN(2)/2)*CG193*CJ193*VLOOKUP('Données projet'!$B$12,Paramètres!$A$1:$I$89,3,0)*0.475*44/12</f>
        <v>3.7191699666806263E-26</v>
      </c>
      <c r="CN193" s="22">
        <f t="shared" si="172"/>
        <v>5.3649978007635637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89.388000000000432</v>
      </c>
      <c r="D194" s="11">
        <f t="shared" si="140"/>
        <v>24.417566768444267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878.49911189676607</v>
      </c>
      <c r="H194" s="66">
        <f t="shared" si="110"/>
        <v>491.54469545504116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21.709999999999326</v>
      </c>
      <c r="O194" s="13">
        <f>N194*VLOOKUP('Données projet'!$B$9,Paramètres!$A$1:$I$89,3,0)*VLOOKUP('Données projet'!$B$9,Paramètres!$A$1:$I$89,5,0)</f>
        <v>22.013939999999319</v>
      </c>
      <c r="P194" s="13">
        <f t="shared" si="141"/>
        <v>7.0788029289091918</v>
      </c>
      <c r="Q194" s="20">
        <f t="shared" si="162"/>
        <v>50.669860601182314</v>
      </c>
      <c r="R194" s="59">
        <f t="shared" si="109"/>
        <v>344.00319393451565</v>
      </c>
      <c r="S194" s="59">
        <f ca="1">AVERAGE(OFFSET($R$3,0,0,'Données projet'!$E$9+1,1))-AVERAGE(OFFSET($H$3,0,0,'Données projet'!$E$9+1,1))</f>
        <v>561.16051468364344</v>
      </c>
      <c r="T194" s="59">
        <f t="shared" si="142"/>
        <v>137.34523913145267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298.45088186540522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298.45088186540522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19.64320799999939</v>
      </c>
      <c r="AK194" s="13">
        <f t="shared" si="164"/>
        <v>6.4008043874806155</v>
      </c>
      <c r="AL194" s="20">
        <f t="shared" si="165"/>
        <v>45.359988241527674</v>
      </c>
      <c r="AM194" s="59">
        <f t="shared" si="113"/>
        <v>338.69332157486099</v>
      </c>
      <c r="AN194" s="59">
        <f ca="1">AVERAGE(OFFSET($AM$3,0,0,'Données projet'!$E$10+1,1))-AVERAGE(OFFSET($H$3,0,0,'Données projet'!$E$10+1,1))</f>
        <v>491.82493848755047</v>
      </c>
      <c r="AO194" s="59">
        <f t="shared" si="144"/>
        <v>119.46953275458026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266.31001766451544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266.31001766451544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212.00000000000009</v>
      </c>
      <c r="BE194" s="13">
        <f>BD194*VLOOKUP('Données projet'!$B$11,Paramètres!$A$1:$I$89,3,0)*VLOOKUP('Données projet'!$B$11,Paramètres!$A$1:$I$89,5,0)</f>
        <v>185.20320000000009</v>
      </c>
      <c r="BF194" s="13">
        <f t="shared" si="167"/>
        <v>46.477875402099386</v>
      </c>
      <c r="BG194" s="20">
        <f t="shared" si="168"/>
        <v>403.5112063253232</v>
      </c>
      <c r="BH194" s="59">
        <f t="shared" si="116"/>
        <v>696.84453965865646</v>
      </c>
      <c r="BI194" s="59">
        <f ca="1">AVERAGE(OFFSET($BH$3,0,0,'Données projet'!$E$11+1,1))-AVERAGE(OFFSET($H$3,0,0,'Données projet'!$E$11+1,1))</f>
        <v>216.10252108537389</v>
      </c>
      <c r="BJ194" s="59">
        <f t="shared" si="146"/>
        <v>196.91968622092054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7.2230372212899967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0</v>
      </c>
      <c r="BS194" s="22">
        <f t="shared" si="169"/>
        <v>7.2230372212899967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>
        <f>BY194*VLOOKUP('Données projet'!$B$12,Paramètres!$A$1:$I$89,3,0)*VLOOKUP('Données projet'!$B$12,Paramètres!$A$1:$I$89,5,0)</f>
        <v>0</v>
      </c>
      <c r="CA194" s="13" t="e">
        <f t="shared" si="170"/>
        <v>#NUM!</v>
      </c>
      <c r="CB194" s="20" t="e">
        <f t="shared" si="171"/>
        <v>#NUM!</v>
      </c>
      <c r="CC194" s="59" t="e">
        <f t="shared" si="119"/>
        <v>#NUM!</v>
      </c>
      <c r="CD194" s="59">
        <f ca="1">AVERAGE(OFFSET($CC$3,0,0,'Données projet'!$E$12+1,1))-AVERAGE(OFFSET($H$3,0,0,'Données projet'!$E$12+1,1))</f>
        <v>152.85416952858094</v>
      </c>
      <c r="CE194" s="59">
        <f t="shared" si="148"/>
        <v>369.87619681979322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5.0928825290617095</v>
      </c>
      <c r="CL194" s="21">
        <f>EXP(-LN(2)/25)*CL193+(1-EXP(-LN(2)/25))/(LN(2)/25)*Calculateur!CG194*Calculateur!CI194*VLOOKUP('Données projet'!$B$12,Paramètres!$A$1:$I$89,3,0)*0.475*44/12</f>
        <v>0.16559394506077985</v>
      </c>
      <c r="CM194" s="21">
        <f>EXP(-LN(2)/2)*CM193+(1-EXP(-LN(2)/2))/(LN(2)/2)*CG194*CJ194*VLOOKUP('Données projet'!$B$12,Paramètres!$A$1:$I$89,3,0)*0.475*44/12</f>
        <v>2.6298503038252169E-26</v>
      </c>
      <c r="CN194" s="22">
        <f t="shared" si="172"/>
        <v>5.2584764741224896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89.856000000000435</v>
      </c>
      <c r="D195" s="11">
        <f t="shared" si="140"/>
        <v>24.530492425499521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882.98345030210487</v>
      </c>
      <c r="H195" s="66">
        <f t="shared" si="110"/>
        <v>492.5564743077457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21.709999999999326</v>
      </c>
      <c r="O195" s="13">
        <f>N195*VLOOKUP('Données projet'!$B$9,Paramètres!$A$1:$I$89,3,0)*VLOOKUP('Données projet'!$B$9,Paramètres!$A$1:$I$89,5,0)</f>
        <v>22.013939999999319</v>
      </c>
      <c r="P195" s="13">
        <f t="shared" si="141"/>
        <v>7.0788029289091918</v>
      </c>
      <c r="Q195" s="20">
        <f t="shared" si="162"/>
        <v>50.669860601182314</v>
      </c>
      <c r="R195" s="59">
        <f t="shared" ref="R195:R203" si="191">Q195+(I195+J195)*44/12</f>
        <v>344.00319393451565</v>
      </c>
      <c r="S195" s="59">
        <f ca="1">AVERAGE(OFFSET($R$3,0,0,'Données projet'!$E$9+1,1))-AVERAGE(OFFSET($H$3,0,0,'Données projet'!$E$9+1,1))</f>
        <v>561.16051468364344</v>
      </c>
      <c r="T195" s="59">
        <f t="shared" si="142"/>
        <v>137.34523913145267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292.5984421090879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292.5984421090879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19.64320799999939</v>
      </c>
      <c r="AK195" s="13">
        <f t="shared" si="164"/>
        <v>6.4008043874806155</v>
      </c>
      <c r="AL195" s="20">
        <f t="shared" si="165"/>
        <v>45.359988241527674</v>
      </c>
      <c r="AM195" s="59">
        <f t="shared" si="113"/>
        <v>338.69332157486099</v>
      </c>
      <c r="AN195" s="59">
        <f ca="1">AVERAGE(OFFSET($AM$3,0,0,'Données projet'!$E$10+1,1))-AVERAGE(OFFSET($H$3,0,0,'Données projet'!$E$10+1,1))</f>
        <v>491.82493848755047</v>
      </c>
      <c r="AO195" s="59">
        <f t="shared" si="144"/>
        <v>119.46953275458026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261.08784065118613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261.08784065118613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212.00000000000009</v>
      </c>
      <c r="BE195" s="13">
        <f>BD195*VLOOKUP('Données projet'!$B$11,Paramètres!$A$1:$I$89,3,0)*VLOOKUP('Données projet'!$B$11,Paramètres!$A$1:$I$89,5,0)</f>
        <v>185.20320000000009</v>
      </c>
      <c r="BF195" s="13">
        <f t="shared" si="167"/>
        <v>46.477875402099386</v>
      </c>
      <c r="BG195" s="20">
        <f t="shared" si="168"/>
        <v>403.5112063253232</v>
      </c>
      <c r="BH195" s="59">
        <f t="shared" si="116"/>
        <v>696.84453965865646</v>
      </c>
      <c r="BI195" s="59">
        <f ca="1">AVERAGE(OFFSET($BH$3,0,0,'Données projet'!$E$11+1,1))-AVERAGE(OFFSET($H$3,0,0,'Données projet'!$E$11+1,1))</f>
        <v>216.10252108537389</v>
      </c>
      <c r="BJ195" s="59">
        <f t="shared" si="146"/>
        <v>196.91968622092054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7.0813978669981861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0</v>
      </c>
      <c r="BS195" s="22">
        <f t="shared" si="169"/>
        <v>7.0813978669981861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>
        <f>BY195*VLOOKUP('Données projet'!$B$12,Paramètres!$A$1:$I$89,3,0)*VLOOKUP('Données projet'!$B$12,Paramètres!$A$1:$I$89,5,0)</f>
        <v>0</v>
      </c>
      <c r="CA195" s="13" t="e">
        <f t="shared" si="170"/>
        <v>#NUM!</v>
      </c>
      <c r="CB195" s="20" t="e">
        <f t="shared" si="171"/>
        <v>#NUM!</v>
      </c>
      <c r="CC195" s="59" t="e">
        <f t="shared" si="119"/>
        <v>#NUM!</v>
      </c>
      <c r="CD195" s="59">
        <f ca="1">AVERAGE(OFFSET($CC$3,0,0,'Données projet'!$E$12+1,1))-AVERAGE(OFFSET($H$3,0,0,'Données projet'!$E$12+1,1))</f>
        <v>152.85416952858094</v>
      </c>
      <c r="CE195" s="59">
        <f t="shared" si="148"/>
        <v>369.87619681979322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4.9930142090184253</v>
      </c>
      <c r="CL195" s="21">
        <f>EXP(-LN(2)/25)*CL194+(1-EXP(-LN(2)/25))/(LN(2)/25)*Calculateur!CG195*Calculateur!CI195*VLOOKUP('Données projet'!$B$12,Paramètres!$A$1:$I$89,3,0)*0.475*44/12</f>
        <v>0.16106576992488572</v>
      </c>
      <c r="CM195" s="21">
        <f>EXP(-LN(2)/2)*CM194+(1-EXP(-LN(2)/2))/(LN(2)/2)*CG195*CJ195*VLOOKUP('Données projet'!$B$12,Paramètres!$A$1:$I$89,3,0)*0.475*44/12</f>
        <v>1.8595849833403132E-26</v>
      </c>
      <c r="CN195" s="22">
        <f t="shared" si="172"/>
        <v>5.1540799789433107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90.324000000000439</v>
      </c>
      <c r="D196" s="11">
        <f t="shared" si="140"/>
        <v>24.643349641795954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887.4672603928143</v>
      </c>
      <c r="H196" s="66">
        <f t="shared" ref="H196:H203" si="192">(B196+E196+F196)*44/12+(C196+D196)*0.475*44/12</f>
        <v>493.56813395946199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21.709999999999326</v>
      </c>
      <c r="O196" s="13">
        <f>N196*VLOOKUP('Données projet'!$B$9,Paramètres!$A$1:$I$89,3,0)*VLOOKUP('Données projet'!$B$9,Paramètres!$A$1:$I$89,5,0)</f>
        <v>22.013939999999319</v>
      </c>
      <c r="P196" s="13">
        <f t="shared" si="141"/>
        <v>7.0788029289091918</v>
      </c>
      <c r="Q196" s="20">
        <f t="shared" si="162"/>
        <v>50.669860601182314</v>
      </c>
      <c r="R196" s="59">
        <f t="shared" si="191"/>
        <v>344.00319393451565</v>
      </c>
      <c r="S196" s="59">
        <f ca="1">AVERAGE(OFFSET($R$3,0,0,'Données projet'!$E$9+1,1))-AVERAGE(OFFSET($H$3,0,0,'Données projet'!$E$9+1,1))</f>
        <v>561.16051468364344</v>
      </c>
      <c r="T196" s="59">
        <f t="shared" si="142"/>
        <v>137.34523913145267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286.86076512675618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286.86076512675618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19.64320799999939</v>
      </c>
      <c r="AK196" s="13">
        <f t="shared" si="164"/>
        <v>6.4008043874806155</v>
      </c>
      <c r="AL196" s="20">
        <f t="shared" si="165"/>
        <v>45.359988241527674</v>
      </c>
      <c r="AM196" s="59">
        <f t="shared" ref="AM196:AM203" si="193">AL196+(AD196+AE196)*44/12</f>
        <v>338.69332157486099</v>
      </c>
      <c r="AN196" s="59">
        <f ca="1">AVERAGE(OFFSET($AM$3,0,0,'Données projet'!$E$10+1,1))-AVERAGE(OFFSET($H$3,0,0,'Données projet'!$E$10+1,1))</f>
        <v>491.82493848755047</v>
      </c>
      <c r="AO196" s="59">
        <f t="shared" si="144"/>
        <v>119.46953275458026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255.96806734387474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255.96806734387474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212.00000000000009</v>
      </c>
      <c r="BE196" s="13">
        <f>BD196*VLOOKUP('Données projet'!$B$11,Paramètres!$A$1:$I$89,3,0)*VLOOKUP('Données projet'!$B$11,Paramètres!$A$1:$I$89,5,0)</f>
        <v>185.20320000000009</v>
      </c>
      <c r="BF196" s="13">
        <f t="shared" si="167"/>
        <v>46.477875402099386</v>
      </c>
      <c r="BG196" s="20">
        <f t="shared" si="168"/>
        <v>403.5112063253232</v>
      </c>
      <c r="BH196" s="59">
        <f t="shared" ref="BH196:BH203" si="194">BG196+(AY196+AZ196)*44/12</f>
        <v>696.84453965865646</v>
      </c>
      <c r="BI196" s="59">
        <f ca="1">AVERAGE(OFFSET($BH$3,0,0,'Données projet'!$E$11+1,1))-AVERAGE(OFFSET($H$3,0,0,'Données projet'!$E$11+1,1))</f>
        <v>216.10252108537389</v>
      </c>
      <c r="BJ196" s="59">
        <f t="shared" si="146"/>
        <v>196.91968622092054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6.9425359740525625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0</v>
      </c>
      <c r="BS196" s="22">
        <f t="shared" si="169"/>
        <v>6.9425359740525625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>
        <f>BY196*VLOOKUP('Données projet'!$B$12,Paramètres!$A$1:$I$89,3,0)*VLOOKUP('Données projet'!$B$12,Paramètres!$A$1:$I$89,5,0)</f>
        <v>0</v>
      </c>
      <c r="CA196" s="13" t="e">
        <f t="shared" si="170"/>
        <v>#NUM!</v>
      </c>
      <c r="CB196" s="20" t="e">
        <f t="shared" si="171"/>
        <v>#NUM!</v>
      </c>
      <c r="CC196" s="59" t="e">
        <f t="shared" ref="CC196:CC203" si="195">CB196+(BT196+BU196)*44/12</f>
        <v>#NUM!</v>
      </c>
      <c r="CD196" s="59">
        <f ca="1">AVERAGE(OFFSET($CC$3,0,0,'Données projet'!$E$12+1,1))-AVERAGE(OFFSET($H$3,0,0,'Données projet'!$E$12+1,1))</f>
        <v>152.85416952858094</v>
      </c>
      <c r="CE196" s="59">
        <f t="shared" si="148"/>
        <v>369.87619681979322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4.8951042458175298</v>
      </c>
      <c r="CL196" s="21">
        <f>EXP(-LN(2)/25)*CL195+(1-EXP(-LN(2)/25))/(LN(2)/25)*Calculateur!CG196*Calculateur!CI196*VLOOKUP('Données projet'!$B$12,Paramètres!$A$1:$I$89,3,0)*0.475*44/12</f>
        <v>0.156661417976209</v>
      </c>
      <c r="CM196" s="21">
        <f>EXP(-LN(2)/2)*CM195+(1-EXP(-LN(2)/2))/(LN(2)/2)*CG196*CJ196*VLOOKUP('Données projet'!$B$12,Paramètres!$A$1:$I$89,3,0)*0.475*44/12</f>
        <v>1.3149251519126084E-26</v>
      </c>
      <c r="CN196" s="22">
        <f t="shared" si="172"/>
        <v>5.0517656637937387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90.792000000000442</v>
      </c>
      <c r="D197" s="11">
        <f t="shared" ref="D197:D203" si="202">IFERROR(EXP(-1.0587+0.8836*LN(C197)+0.284),0)</f>
        <v>24.756138813110294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891.95054522401279</v>
      </c>
      <c r="H197" s="66">
        <f t="shared" si="192"/>
        <v>494.57967509950117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21.709999999999326</v>
      </c>
      <c r="O197" s="13">
        <f>N197*VLOOKUP('Données projet'!$B$9,Paramètres!$A$1:$I$89,3,0)*VLOOKUP('Données projet'!$B$9,Paramètres!$A$1:$I$89,5,0)</f>
        <v>22.013939999999319</v>
      </c>
      <c r="P197" s="13">
        <f t="shared" ref="P197:P203" si="203">EXP(-1.0587+0.8836*LN(O197)+0.284)</f>
        <v>7.0788029289091918</v>
      </c>
      <c r="Q197" s="20">
        <f t="shared" si="162"/>
        <v>50.669860601182314</v>
      </c>
      <c r="R197" s="59">
        <f t="shared" si="191"/>
        <v>344.00319393451565</v>
      </c>
      <c r="S197" s="59">
        <f ca="1">AVERAGE(OFFSET($R$3,0,0,'Données projet'!$E$9+1,1))-AVERAGE(OFFSET($H$3,0,0,'Données projet'!$E$9+1,1))</f>
        <v>561.16051468364344</v>
      </c>
      <c r="T197" s="59">
        <f t="shared" ref="T197:T203" si="204">$T$3</f>
        <v>137.34523913145267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281.2356004904106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281.2356004904106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19.64320799999939</v>
      </c>
      <c r="AK197" s="13">
        <f t="shared" si="164"/>
        <v>6.4008043874806155</v>
      </c>
      <c r="AL197" s="20">
        <f t="shared" si="165"/>
        <v>45.359988241527674</v>
      </c>
      <c r="AM197" s="59">
        <f t="shared" si="193"/>
        <v>338.69332157486099</v>
      </c>
      <c r="AN197" s="59">
        <f ca="1">AVERAGE(OFFSET($AM$3,0,0,'Données projet'!$E$10+1,1))-AVERAGE(OFFSET($H$3,0,0,'Données projet'!$E$10+1,1))</f>
        <v>491.82493848755047</v>
      </c>
      <c r="AO197" s="59">
        <f t="shared" ref="AO197:AO203" si="205">$AO$3</f>
        <v>119.46953275458026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250.94868966836637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250.94868966836637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212.00000000000009</v>
      </c>
      <c r="BE197" s="13">
        <f>BD197*VLOOKUP('Données projet'!$B$11,Paramètres!$A$1:$I$89,3,0)*VLOOKUP('Données projet'!$B$11,Paramètres!$A$1:$I$89,5,0)</f>
        <v>185.20320000000009</v>
      </c>
      <c r="BF197" s="13">
        <f t="shared" si="167"/>
        <v>46.477875402099386</v>
      </c>
      <c r="BG197" s="20">
        <f t="shared" si="168"/>
        <v>403.5112063253232</v>
      </c>
      <c r="BH197" s="59">
        <f t="shared" si="194"/>
        <v>696.84453965865646</v>
      </c>
      <c r="BI197" s="59">
        <f ca="1">AVERAGE(OFFSET($BH$3,0,0,'Données projet'!$E$11+1,1))-AVERAGE(OFFSET($H$3,0,0,'Données projet'!$E$11+1,1))</f>
        <v>216.10252108537389</v>
      </c>
      <c r="BJ197" s="59">
        <f t="shared" ref="BJ197:BJ203" si="206">$BJ$3</f>
        <v>196.91968622092054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6.8063970781302112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0</v>
      </c>
      <c r="BS197" s="22">
        <f t="shared" si="169"/>
        <v>6.8063970781302112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>
        <f>BY197*VLOOKUP('Données projet'!$B$12,Paramètres!$A$1:$I$89,3,0)*VLOOKUP('Données projet'!$B$12,Paramètres!$A$1:$I$89,5,0)</f>
        <v>0</v>
      </c>
      <c r="CA197" s="13" t="e">
        <f t="shared" si="170"/>
        <v>#NUM!</v>
      </c>
      <c r="CB197" s="20" t="e">
        <f t="shared" si="171"/>
        <v>#NUM!</v>
      </c>
      <c r="CC197" s="59" t="e">
        <f t="shared" si="195"/>
        <v>#NUM!</v>
      </c>
      <c r="CD197" s="59">
        <f ca="1">AVERAGE(OFFSET($CC$3,0,0,'Données projet'!$E$12+1,1))-AVERAGE(OFFSET($H$3,0,0,'Données projet'!$E$12+1,1))</f>
        <v>152.85416952858094</v>
      </c>
      <c r="CE197" s="59">
        <f t="shared" ref="CE197:CE203" si="207">$CE$3</f>
        <v>369.87619681979322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4.7991142372758224</v>
      </c>
      <c r="CL197" s="21">
        <f>EXP(-LN(2)/25)*CL196+(1-EXP(-LN(2)/25))/(LN(2)/25)*Calculateur!CG197*Calculateur!CI197*VLOOKUP('Données projet'!$B$12,Paramètres!$A$1:$I$89,3,0)*0.475*44/12</f>
        <v>0.15237750326318364</v>
      </c>
      <c r="CM197" s="21">
        <f>EXP(-LN(2)/2)*CM196+(1-EXP(-LN(2)/2))/(LN(2)/2)*CG197*CJ197*VLOOKUP('Données projet'!$B$12,Paramètres!$A$1:$I$89,3,0)*0.475*44/12</f>
        <v>9.2979249167015658E-27</v>
      </c>
      <c r="CN197" s="22">
        <f t="shared" si="172"/>
        <v>4.951491740539006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91.260000000000446</v>
      </c>
      <c r="D198" s="11">
        <f t="shared" si="202"/>
        <v>24.868860330902901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896.43330781749955</v>
      </c>
      <c r="H198" s="66">
        <f t="shared" si="192"/>
        <v>495.59109840965664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21.709999999999326</v>
      </c>
      <c r="O198" s="13">
        <f>N198*VLOOKUP('Données projet'!$B$9,Paramètres!$A$1:$I$89,3,0)*VLOOKUP('Données projet'!$B$9,Paramètres!$A$1:$I$89,5,0)</f>
        <v>22.013939999999319</v>
      </c>
      <c r="P198" s="13">
        <f t="shared" si="203"/>
        <v>7.0788029289091918</v>
      </c>
      <c r="Q198" s="20">
        <f t="shared" si="162"/>
        <v>50.669860601182314</v>
      </c>
      <c r="R198" s="59">
        <f t="shared" si="191"/>
        <v>344.00319393451565</v>
      </c>
      <c r="S198" s="59">
        <f ca="1">AVERAGE(OFFSET($R$3,0,0,'Données projet'!$E$9+1,1))-AVERAGE(OFFSET($H$3,0,0,'Données projet'!$E$9+1,1))</f>
        <v>561.16051468364344</v>
      </c>
      <c r="T198" s="59">
        <f t="shared" si="204"/>
        <v>137.34523913145267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275.72074190157213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275.72074190157213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19.64320799999939</v>
      </c>
      <c r="AK198" s="13">
        <f t="shared" si="164"/>
        <v>6.4008043874806155</v>
      </c>
      <c r="AL198" s="20">
        <f t="shared" si="165"/>
        <v>45.359988241527674</v>
      </c>
      <c r="AM198" s="59">
        <f t="shared" si="193"/>
        <v>338.69332157486099</v>
      </c>
      <c r="AN198" s="59">
        <f ca="1">AVERAGE(OFFSET($AM$3,0,0,'Données projet'!$E$10+1,1))-AVERAGE(OFFSET($H$3,0,0,'Données projet'!$E$10+1,1))</f>
        <v>491.82493848755047</v>
      </c>
      <c r="AO198" s="59">
        <f t="shared" si="205"/>
        <v>119.46953275458026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246.02773892755664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246.02773892755664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212.00000000000009</v>
      </c>
      <c r="BE198" s="13">
        <f>BD198*VLOOKUP('Données projet'!$B$11,Paramètres!$A$1:$I$89,3,0)*VLOOKUP('Données projet'!$B$11,Paramètres!$A$1:$I$89,5,0)</f>
        <v>185.20320000000009</v>
      </c>
      <c r="BF198" s="13">
        <f t="shared" si="167"/>
        <v>46.477875402099386</v>
      </c>
      <c r="BG198" s="20">
        <f t="shared" si="168"/>
        <v>403.5112063253232</v>
      </c>
      <c r="BH198" s="59">
        <f t="shared" si="194"/>
        <v>696.84453965865646</v>
      </c>
      <c r="BI198" s="59">
        <f ca="1">AVERAGE(OFFSET($BH$3,0,0,'Données projet'!$E$11+1,1))-AVERAGE(OFFSET($H$3,0,0,'Données projet'!$E$11+1,1))</f>
        <v>216.10252108537389</v>
      </c>
      <c r="BJ198" s="59">
        <f t="shared" si="206"/>
        <v>196.91968622092054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6.6729277829203699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0</v>
      </c>
      <c r="BS198" s="22">
        <f t="shared" si="169"/>
        <v>6.6729277829203699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>
        <f>BY198*VLOOKUP('Données projet'!$B$12,Paramètres!$A$1:$I$89,3,0)*VLOOKUP('Données projet'!$B$12,Paramètres!$A$1:$I$89,5,0)</f>
        <v>0</v>
      </c>
      <c r="CA198" s="13" t="e">
        <f t="shared" si="170"/>
        <v>#NUM!</v>
      </c>
      <c r="CB198" s="20" t="e">
        <f t="shared" si="171"/>
        <v>#NUM!</v>
      </c>
      <c r="CC198" s="59" t="e">
        <f t="shared" si="195"/>
        <v>#NUM!</v>
      </c>
      <c r="CD198" s="59">
        <f ca="1">AVERAGE(OFFSET($CC$3,0,0,'Données projet'!$E$12+1,1))-AVERAGE(OFFSET($H$3,0,0,'Données projet'!$E$12+1,1))</f>
        <v>152.85416952858094</v>
      </c>
      <c r="CE198" s="59">
        <f t="shared" si="207"/>
        <v>369.87619681979322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4.7050065342534939</v>
      </c>
      <c r="CL198" s="21">
        <f>EXP(-LN(2)/25)*CL197+(1-EXP(-LN(2)/25))/(LN(2)/25)*Calculateur!CG198*Calculateur!CI198*VLOOKUP('Données projet'!$B$12,Paramètres!$A$1:$I$89,3,0)*0.475*44/12</f>
        <v>0.14821073242326724</v>
      </c>
      <c r="CM198" s="21">
        <f>EXP(-LN(2)/2)*CM197+(1-EXP(-LN(2)/2))/(LN(2)/2)*CG198*CJ198*VLOOKUP('Données projet'!$B$12,Paramètres!$A$1:$I$89,3,0)*0.475*44/12</f>
        <v>6.5746257595630422E-27</v>
      </c>
      <c r="CN198" s="22">
        <f t="shared" si="172"/>
        <v>4.8532172666767615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91.728000000000449</v>
      </c>
      <c r="D199" s="11">
        <f t="shared" si="202"/>
        <v>24.981514582386662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900.91555116228653</v>
      </c>
      <c r="H199" s="66">
        <f t="shared" si="192"/>
        <v>496.60240456432416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21.709999999999326</v>
      </c>
      <c r="O199" s="13">
        <f>N199*VLOOKUP('Données projet'!$B$9,Paramètres!$A$1:$I$89,3,0)*VLOOKUP('Données projet'!$B$9,Paramètres!$A$1:$I$89,5,0)</f>
        <v>22.013939999999319</v>
      </c>
      <c r="P199" s="13">
        <f t="shared" si="203"/>
        <v>7.0788029289091918</v>
      </c>
      <c r="Q199" s="20">
        <f t="shared" si="162"/>
        <v>50.669860601182314</v>
      </c>
      <c r="R199" s="59">
        <f t="shared" si="191"/>
        <v>344.00319393451565</v>
      </c>
      <c r="S199" s="59">
        <f ca="1">AVERAGE(OFFSET($R$3,0,0,'Données projet'!$E$9+1,1))-AVERAGE(OFFSET($H$3,0,0,'Données projet'!$E$9+1,1))</f>
        <v>561.16051468364344</v>
      </c>
      <c r="T199" s="59">
        <f t="shared" si="204"/>
        <v>137.34523913145267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270.31402632592915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270.31402632592915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19.64320799999939</v>
      </c>
      <c r="AK199" s="13">
        <f t="shared" si="164"/>
        <v>6.4008043874806155</v>
      </c>
      <c r="AL199" s="20">
        <f t="shared" si="165"/>
        <v>45.359988241527674</v>
      </c>
      <c r="AM199" s="59">
        <f t="shared" si="193"/>
        <v>338.69332157486099</v>
      </c>
      <c r="AN199" s="59">
        <f ca="1">AVERAGE(OFFSET($AM$3,0,0,'Données projet'!$E$10+1,1))-AVERAGE(OFFSET($H$3,0,0,'Données projet'!$E$10+1,1))</f>
        <v>491.82493848755047</v>
      </c>
      <c r="AO199" s="59">
        <f t="shared" si="205"/>
        <v>119.46953275458026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241.20328502929061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241.20328502929061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212.00000000000009</v>
      </c>
      <c r="BE199" s="13">
        <f>BD199*VLOOKUP('Données projet'!$B$11,Paramètres!$A$1:$I$89,3,0)*VLOOKUP('Données projet'!$B$11,Paramètres!$A$1:$I$89,5,0)</f>
        <v>185.20320000000009</v>
      </c>
      <c r="BF199" s="13">
        <f t="shared" si="167"/>
        <v>46.477875402099386</v>
      </c>
      <c r="BG199" s="20">
        <f t="shared" si="168"/>
        <v>403.5112063253232</v>
      </c>
      <c r="BH199" s="59">
        <f t="shared" si="194"/>
        <v>696.84453965865646</v>
      </c>
      <c r="BI199" s="59">
        <f ca="1">AVERAGE(OFFSET($BH$3,0,0,'Données projet'!$E$11+1,1))-AVERAGE(OFFSET($H$3,0,0,'Données projet'!$E$11+1,1))</f>
        <v>216.10252108537389</v>
      </c>
      <c r="BJ199" s="59">
        <f t="shared" si="206"/>
        <v>196.91968622092054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6.542075739181362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0</v>
      </c>
      <c r="BS199" s="22">
        <f t="shared" si="169"/>
        <v>6.542075739181362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>
        <f>BY199*VLOOKUP('Données projet'!$B$12,Paramètres!$A$1:$I$89,3,0)*VLOOKUP('Données projet'!$B$12,Paramètres!$A$1:$I$89,5,0)</f>
        <v>0</v>
      </c>
      <c r="CA199" s="13" t="e">
        <f t="shared" si="170"/>
        <v>#NUM!</v>
      </c>
      <c r="CB199" s="20" t="e">
        <f t="shared" si="171"/>
        <v>#NUM!</v>
      </c>
      <c r="CC199" s="59" t="e">
        <f t="shared" si="195"/>
        <v>#NUM!</v>
      </c>
      <c r="CD199" s="59">
        <f ca="1">AVERAGE(OFFSET($CC$3,0,0,'Données projet'!$E$12+1,1))-AVERAGE(OFFSET($H$3,0,0,'Données projet'!$E$12+1,1))</f>
        <v>152.85416952858094</v>
      </c>
      <c r="CE199" s="59">
        <f t="shared" si="207"/>
        <v>369.87619681979322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4.6127442258874023</v>
      </c>
      <c r="CL199" s="21">
        <f>EXP(-LN(2)/25)*CL198+(1-EXP(-LN(2)/25))/(LN(2)/25)*Calculateur!CG199*Calculateur!CI199*VLOOKUP('Données projet'!$B$12,Paramètres!$A$1:$I$89,3,0)*0.475*44/12</f>
        <v>0.14415790215108931</v>
      </c>
      <c r="CM199" s="21">
        <f>EXP(-LN(2)/2)*CM198+(1-EXP(-LN(2)/2))/(LN(2)/2)*CG199*CJ199*VLOOKUP('Données projet'!$B$12,Paramètres!$A$1:$I$89,3,0)*0.475*44/12</f>
        <v>4.6489624583507829E-27</v>
      </c>
      <c r="CN199" s="22">
        <f t="shared" si="172"/>
        <v>4.756902128038492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92.196000000000453</v>
      </c>
      <c r="D200" s="11">
        <f t="shared" si="202"/>
        <v>25.094101950594609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905.39727821511985</v>
      </c>
      <c r="H200" s="66">
        <f t="shared" si="192"/>
        <v>497.6135942306197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21.709999999999326</v>
      </c>
      <c r="O200" s="13">
        <f>N200*VLOOKUP('Données projet'!$B$9,Paramètres!$A$1:$I$89,3,0)*VLOOKUP('Données projet'!$B$9,Paramètres!$A$1:$I$89,5,0)</f>
        <v>22.013939999999319</v>
      </c>
      <c r="P200" s="13">
        <f t="shared" si="203"/>
        <v>7.0788029289091918</v>
      </c>
      <c r="Q200" s="20">
        <f t="shared" si="162"/>
        <v>50.669860601182314</v>
      </c>
      <c r="R200" s="59">
        <f t="shared" si="191"/>
        <v>344.00319393451565</v>
      </c>
      <c r="S200" s="59">
        <f ca="1">AVERAGE(OFFSET($R$3,0,0,'Données projet'!$E$9+1,1))-AVERAGE(OFFSET($H$3,0,0,'Données projet'!$E$9+1,1))</f>
        <v>561.16051468364344</v>
      </c>
      <c r="T200" s="59">
        <f t="shared" si="204"/>
        <v>137.34523913145267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265.01333314495366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265.01333314495366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19.64320799999939</v>
      </c>
      <c r="AK200" s="13">
        <f t="shared" si="164"/>
        <v>6.4008043874806155</v>
      </c>
      <c r="AL200" s="20">
        <f t="shared" si="165"/>
        <v>45.359988241527674</v>
      </c>
      <c r="AM200" s="59">
        <f t="shared" si="193"/>
        <v>338.69332157486099</v>
      </c>
      <c r="AN200" s="59">
        <f ca="1">AVERAGE(OFFSET($AM$3,0,0,'Données projet'!$E$10+1,1))-AVERAGE(OFFSET($H$3,0,0,'Données projet'!$E$10+1,1))</f>
        <v>491.82493848755047</v>
      </c>
      <c r="AO200" s="59">
        <f t="shared" si="205"/>
        <v>119.46953275458026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236.47343572934324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236.47343572934324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212.00000000000009</v>
      </c>
      <c r="BE200" s="13">
        <f>BD200*VLOOKUP('Données projet'!$B$11,Paramètres!$A$1:$I$89,3,0)*VLOOKUP('Données projet'!$B$11,Paramètres!$A$1:$I$89,5,0)</f>
        <v>185.20320000000009</v>
      </c>
      <c r="BF200" s="13">
        <f t="shared" si="167"/>
        <v>46.477875402099386</v>
      </c>
      <c r="BG200" s="20">
        <f t="shared" si="168"/>
        <v>403.5112063253232</v>
      </c>
      <c r="BH200" s="59">
        <f t="shared" si="194"/>
        <v>696.84453965865646</v>
      </c>
      <c r="BI200" s="59">
        <f ca="1">AVERAGE(OFFSET($BH$3,0,0,'Données projet'!$E$11+1,1))-AVERAGE(OFFSET($H$3,0,0,'Données projet'!$E$11+1,1))</f>
        <v>216.10252108537389</v>
      </c>
      <c r="BJ200" s="59">
        <f t="shared" si="206"/>
        <v>196.91968622092054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6.41378962420821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0</v>
      </c>
      <c r="BS200" s="22">
        <f t="shared" si="169"/>
        <v>6.41378962420821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>
        <f>BY200*VLOOKUP('Données projet'!$B$12,Paramètres!$A$1:$I$89,3,0)*VLOOKUP('Données projet'!$B$12,Paramètres!$A$1:$I$89,5,0)</f>
        <v>0</v>
      </c>
      <c r="CA200" s="13" t="e">
        <f t="shared" si="170"/>
        <v>#NUM!</v>
      </c>
      <c r="CB200" s="20" t="e">
        <f t="shared" si="171"/>
        <v>#NUM!</v>
      </c>
      <c r="CC200" s="59" t="e">
        <f t="shared" si="195"/>
        <v>#NUM!</v>
      </c>
      <c r="CD200" s="59">
        <f ca="1">AVERAGE(OFFSET($CC$3,0,0,'Données projet'!$E$12+1,1))-AVERAGE(OFFSET($H$3,0,0,'Données projet'!$E$12+1,1))</f>
        <v>152.85416952858094</v>
      </c>
      <c r="CE200" s="59">
        <f t="shared" si="207"/>
        <v>369.87619681979322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4.5222911251139184</v>
      </c>
      <c r="CL200" s="21">
        <f>EXP(-LN(2)/25)*CL199+(1-EXP(-LN(2)/25))/(LN(2)/25)*Calculateur!CG200*Calculateur!CI200*VLOOKUP('Données projet'!$B$12,Paramètres!$A$1:$I$89,3,0)*0.475*44/12</f>
        <v>0.14021589673583318</v>
      </c>
      <c r="CM200" s="21">
        <f>EXP(-LN(2)/2)*CM199+(1-EXP(-LN(2)/2))/(LN(2)/2)*CG200*CJ200*VLOOKUP('Données projet'!$B$12,Paramètres!$A$1:$I$89,3,0)*0.475*44/12</f>
        <v>3.2873128797815211E-27</v>
      </c>
      <c r="CN200" s="22">
        <f t="shared" si="172"/>
        <v>4.662507021849752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92.664000000000456</v>
      </c>
      <c r="D201" s="11">
        <f t="shared" si="202"/>
        <v>25.206622814445883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909.87849190098939</v>
      </c>
      <c r="H201" s="66">
        <f t="shared" si="192"/>
        <v>498.62466806849403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21.709999999999326</v>
      </c>
      <c r="O201" s="13">
        <f>N201*VLOOKUP('Données projet'!$B$9,Paramètres!$A$1:$I$89,3,0)*VLOOKUP('Données projet'!$B$9,Paramètres!$A$1:$I$89,5,0)</f>
        <v>22.013939999999319</v>
      </c>
      <c r="P201" s="13">
        <f t="shared" si="203"/>
        <v>7.0788029289091918</v>
      </c>
      <c r="Q201" s="20">
        <f t="shared" si="162"/>
        <v>50.669860601182314</v>
      </c>
      <c r="R201" s="59">
        <f t="shared" si="191"/>
        <v>344.00319393451565</v>
      </c>
      <c r="S201" s="59">
        <f ca="1">AVERAGE(OFFSET($R$3,0,0,'Données projet'!$E$9+1,1))-AVERAGE(OFFSET($H$3,0,0,'Données projet'!$E$9+1,1))</f>
        <v>561.16051468364344</v>
      </c>
      <c r="T201" s="59">
        <f t="shared" si="204"/>
        <v>137.34523913145267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259.8165833241535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259.8165833241535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19.64320799999939</v>
      </c>
      <c r="AK201" s="13">
        <f t="shared" si="164"/>
        <v>6.4008043874806155</v>
      </c>
      <c r="AL201" s="20">
        <f t="shared" si="165"/>
        <v>45.359988241527674</v>
      </c>
      <c r="AM201" s="59">
        <f t="shared" si="193"/>
        <v>338.69332157486099</v>
      </c>
      <c r="AN201" s="59">
        <f ca="1">AVERAGE(OFFSET($AM$3,0,0,'Données projet'!$E$10+1,1))-AVERAGE(OFFSET($H$3,0,0,'Données projet'!$E$10+1,1))</f>
        <v>491.82493848755047</v>
      </c>
      <c r="AO201" s="59">
        <f t="shared" si="205"/>
        <v>119.46953275458026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231.83633588924462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231.83633588924462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212.00000000000009</v>
      </c>
      <c r="BE201" s="13">
        <f>BD201*VLOOKUP('Données projet'!$B$11,Paramètres!$A$1:$I$89,3,0)*VLOOKUP('Données projet'!$B$11,Paramètres!$A$1:$I$89,5,0)</f>
        <v>185.20320000000009</v>
      </c>
      <c r="BF201" s="13">
        <f t="shared" si="167"/>
        <v>46.477875402099386</v>
      </c>
      <c r="BG201" s="20">
        <f t="shared" si="168"/>
        <v>403.5112063253232</v>
      </c>
      <c r="BH201" s="59">
        <f t="shared" si="194"/>
        <v>696.84453965865646</v>
      </c>
      <c r="BI201" s="59">
        <f ca="1">AVERAGE(OFFSET($BH$3,0,0,'Données projet'!$E$11+1,1))-AVERAGE(OFFSET($H$3,0,0,'Données projet'!$E$11+1,1))</f>
        <v>216.10252108537389</v>
      </c>
      <c r="BJ201" s="59">
        <f t="shared" si="206"/>
        <v>196.91968622092054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6.2880191217028774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0</v>
      </c>
      <c r="BS201" s="22">
        <f t="shared" si="169"/>
        <v>6.2880191217028774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>
        <f>BY201*VLOOKUP('Données projet'!$B$12,Paramètres!$A$1:$I$89,3,0)*VLOOKUP('Données projet'!$B$12,Paramètres!$A$1:$I$89,5,0)</f>
        <v>0</v>
      </c>
      <c r="CA201" s="13" t="e">
        <f t="shared" si="170"/>
        <v>#NUM!</v>
      </c>
      <c r="CB201" s="20" t="e">
        <f t="shared" si="171"/>
        <v>#NUM!</v>
      </c>
      <c r="CC201" s="59" t="e">
        <f t="shared" si="195"/>
        <v>#NUM!</v>
      </c>
      <c r="CD201" s="59">
        <f ca="1">AVERAGE(OFFSET($CC$3,0,0,'Données projet'!$E$12+1,1))-AVERAGE(OFFSET($H$3,0,0,'Données projet'!$E$12+1,1))</f>
        <v>152.85416952858094</v>
      </c>
      <c r="CE201" s="59">
        <f t="shared" si="207"/>
        <v>369.87619681979322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4.4336117544756588</v>
      </c>
      <c r="CL201" s="21">
        <f>EXP(-LN(2)/25)*CL200+(1-EXP(-LN(2)/25))/(LN(2)/25)*Calculateur!CG201*Calculateur!CI201*VLOOKUP('Données projet'!$B$12,Paramètres!$A$1:$I$89,3,0)*0.475*44/12</f>
        <v>0.13638168566595829</v>
      </c>
      <c r="CM201" s="21">
        <f>EXP(-LN(2)/2)*CM200+(1-EXP(-LN(2)/2))/(LN(2)/2)*CG201*CJ201*VLOOKUP('Données projet'!$B$12,Paramètres!$A$1:$I$89,3,0)*0.475*44/12</f>
        <v>2.3244812291753915E-27</v>
      </c>
      <c r="CN201" s="22">
        <f t="shared" si="172"/>
        <v>4.5699934401416167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93.13200000000046</v>
      </c>
      <c r="D202" s="11">
        <f t="shared" si="202"/>
        <v>25.319077548810565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914.35919511362908</v>
      </c>
      <c r="H202" s="66">
        <f t="shared" si="192"/>
        <v>499.63562673084584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21.709999999999326</v>
      </c>
      <c r="O202" s="13">
        <f>N202*VLOOKUP('Données projet'!$B$9,Paramètres!$A$1:$I$89,3,0)*VLOOKUP('Données projet'!$B$9,Paramètres!$A$1:$I$89,5,0)</f>
        <v>22.013939999999319</v>
      </c>
      <c r="P202" s="13">
        <f t="shared" si="203"/>
        <v>7.0788029289091918</v>
      </c>
      <c r="Q202" s="20">
        <f t="shared" si="162"/>
        <v>50.669860601182314</v>
      </c>
      <c r="R202" s="59">
        <f t="shared" si="191"/>
        <v>344.00319393451565</v>
      </c>
      <c r="S202" s="59">
        <f ca="1">AVERAGE(OFFSET($R$3,0,0,'Données projet'!$E$9+1,1))-AVERAGE(OFFSET($H$3,0,0,'Données projet'!$E$9+1,1))</f>
        <v>561.16051468364344</v>
      </c>
      <c r="T202" s="59">
        <f t="shared" si="204"/>
        <v>137.34523913145267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254.72173859763481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254.72173859763481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19.64320799999939</v>
      </c>
      <c r="AK202" s="13">
        <f t="shared" si="164"/>
        <v>6.4008043874806155</v>
      </c>
      <c r="AL202" s="20">
        <f t="shared" si="165"/>
        <v>45.359988241527674</v>
      </c>
      <c r="AM202" s="59">
        <f t="shared" si="193"/>
        <v>338.69332157486099</v>
      </c>
      <c r="AN202" s="59">
        <f ca="1">AVERAGE(OFFSET($AM$3,0,0,'Données projet'!$E$10+1,1))-AVERAGE(OFFSET($H$3,0,0,'Données projet'!$E$10+1,1))</f>
        <v>491.82493848755047</v>
      </c>
      <c r="AO202" s="59">
        <f t="shared" si="205"/>
        <v>119.46953275458026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227.29016674865872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227.29016674865872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212.00000000000009</v>
      </c>
      <c r="BE202" s="13">
        <f>BD202*VLOOKUP('Données projet'!$B$11,Paramètres!$A$1:$I$89,3,0)*VLOOKUP('Données projet'!$B$11,Paramètres!$A$1:$I$89,5,0)</f>
        <v>185.20320000000009</v>
      </c>
      <c r="BF202" s="13">
        <f t="shared" si="167"/>
        <v>46.477875402099386</v>
      </c>
      <c r="BG202" s="20">
        <f t="shared" si="168"/>
        <v>403.5112063253232</v>
      </c>
      <c r="BH202" s="59">
        <f t="shared" si="194"/>
        <v>696.84453965865646</v>
      </c>
      <c r="BI202" s="59">
        <f ca="1">AVERAGE(OFFSET($BH$3,0,0,'Données projet'!$E$11+1,1))-AVERAGE(OFFSET($H$3,0,0,'Données projet'!$E$11+1,1))</f>
        <v>216.10252108537389</v>
      </c>
      <c r="BJ202" s="59">
        <f t="shared" si="206"/>
        <v>196.91968622092054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6.1647149020392424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0</v>
      </c>
      <c r="BS202" s="22">
        <f t="shared" si="169"/>
        <v>6.1647149020392424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>
        <f>BY202*VLOOKUP('Données projet'!$B$12,Paramètres!$A$1:$I$89,3,0)*VLOOKUP('Données projet'!$B$12,Paramètres!$A$1:$I$89,5,0)</f>
        <v>0</v>
      </c>
      <c r="CA202" s="13" t="e">
        <f t="shared" si="170"/>
        <v>#NUM!</v>
      </c>
      <c r="CB202" s="20" t="e">
        <f t="shared" si="171"/>
        <v>#NUM!</v>
      </c>
      <c r="CC202" s="59" t="e">
        <f t="shared" si="195"/>
        <v>#NUM!</v>
      </c>
      <c r="CD202" s="59">
        <f ca="1">AVERAGE(OFFSET($CC$3,0,0,'Données projet'!$E$12+1,1))-AVERAGE(OFFSET($H$3,0,0,'Données projet'!$E$12+1,1))</f>
        <v>152.85416952858094</v>
      </c>
      <c r="CE202" s="59">
        <f t="shared" si="207"/>
        <v>369.87619681979322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4.3466713322065402</v>
      </c>
      <c r="CL202" s="21">
        <f>EXP(-LN(2)/25)*CL201+(1-EXP(-LN(2)/25))/(LN(2)/25)*Calculateur!CG202*Calculateur!CI202*VLOOKUP('Données projet'!$B$12,Paramètres!$A$1:$I$89,3,0)*0.475*44/12</f>
        <v>0.13265232129942151</v>
      </c>
      <c r="CM202" s="21">
        <f>EXP(-LN(2)/2)*CM201+(1-EXP(-LN(2)/2))/(LN(2)/2)*CG202*CJ202*VLOOKUP('Données projet'!$B$12,Paramètres!$A$1:$I$89,3,0)*0.475*44/12</f>
        <v>1.6436564398907605E-27</v>
      </c>
      <c r="CN202" s="22">
        <f t="shared" si="172"/>
        <v>4.4793236535059613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93.600000000000463</v>
      </c>
      <c r="D203" s="11">
        <f t="shared" si="202"/>
        <v>25.43146652457305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918.83939071600616</v>
      </c>
      <c r="H203" s="66">
        <f t="shared" si="192"/>
        <v>500.6464708636322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21.709999999999326</v>
      </c>
      <c r="O203" s="13">
        <f>N203*VLOOKUP('Données projet'!$B$9,Paramètres!$A$1:$I$89,3,0)*VLOOKUP('Données projet'!$B$9,Paramètres!$A$1:$I$89,5,0)</f>
        <v>22.013939999999319</v>
      </c>
      <c r="P203" s="13">
        <f t="shared" si="203"/>
        <v>7.0788029289091918</v>
      </c>
      <c r="Q203" s="20">
        <f t="shared" si="162"/>
        <v>50.669860601182314</v>
      </c>
      <c r="R203" s="59">
        <f t="shared" si="191"/>
        <v>344.00319393451565</v>
      </c>
      <c r="S203" s="59">
        <f ca="1">AVERAGE(OFFSET($R$3,0,0,'Données projet'!$E$9+1,1))-AVERAGE(OFFSET($H$3,0,0,'Données projet'!$E$9+1,1))</f>
        <v>561.16051468364344</v>
      </c>
      <c r="T203" s="59">
        <f t="shared" si="204"/>
        <v>137.34523913145267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249.72680066865473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249.72680066865473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19.64320799999939</v>
      </c>
      <c r="AK203" s="13">
        <f t="shared" si="164"/>
        <v>6.4008043874806155</v>
      </c>
      <c r="AL203" s="20">
        <f t="shared" si="165"/>
        <v>45.359988241527674</v>
      </c>
      <c r="AM203" s="59">
        <f t="shared" si="193"/>
        <v>338.69332157486099</v>
      </c>
      <c r="AN203" s="59">
        <f ca="1">AVERAGE(OFFSET($AM$3,0,0,'Données projet'!$E$10+1,1))-AVERAGE(OFFSET($H$3,0,0,'Données projet'!$E$10+1,1))</f>
        <v>491.82493848755047</v>
      </c>
      <c r="AO203" s="59">
        <f t="shared" si="205"/>
        <v>119.46953275458026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222.83314521203033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222.83314521203033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212.00000000000009</v>
      </c>
      <c r="BE203" s="13">
        <f>BD203*VLOOKUP('Données projet'!$B$11,Paramètres!$A$1:$I$89,3,0)*VLOOKUP('Données projet'!$B$11,Paramètres!$A$1:$I$89,5,0)</f>
        <v>185.20320000000009</v>
      </c>
      <c r="BF203" s="13">
        <f t="shared" si="167"/>
        <v>46.477875402099386</v>
      </c>
      <c r="BG203" s="20">
        <f t="shared" si="168"/>
        <v>403.5112063253232</v>
      </c>
      <c r="BH203" s="59">
        <f t="shared" si="194"/>
        <v>696.84453965865646</v>
      </c>
      <c r="BI203" s="59">
        <f ca="1">AVERAGE(OFFSET($BH$3,0,0,'Données projet'!$E$11+1,1))-AVERAGE(OFFSET($H$3,0,0,'Données projet'!$E$11+1,1))</f>
        <v>216.10252108537389</v>
      </c>
      <c r="BJ203" s="59">
        <f t="shared" si="206"/>
        <v>196.91968622092054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6.0438286029150632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0</v>
      </c>
      <c r="BS203" s="22">
        <f t="shared" si="169"/>
        <v>6.0438286029150632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>
        <f>BY203*VLOOKUP('Données projet'!$B$12,Paramètres!$A$1:$I$89,3,0)*VLOOKUP('Données projet'!$B$12,Paramètres!$A$1:$I$89,5,0)</f>
        <v>0</v>
      </c>
      <c r="CA203" s="13" t="e">
        <f t="shared" si="170"/>
        <v>#NUM!</v>
      </c>
      <c r="CB203" s="20" t="e">
        <f t="shared" si="171"/>
        <v>#NUM!</v>
      </c>
      <c r="CC203" s="59" t="e">
        <f t="shared" si="195"/>
        <v>#NUM!</v>
      </c>
      <c r="CD203" s="59">
        <f ca="1">AVERAGE(OFFSET($CC$3,0,0,'Données projet'!$E$12+1,1))-AVERAGE(OFFSET($H$3,0,0,'Données projet'!$E$12+1,1))</f>
        <v>152.85416952858094</v>
      </c>
      <c r="CE203" s="59">
        <f t="shared" si="207"/>
        <v>369.87619681979322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4.2614357585896974</v>
      </c>
      <c r="CL203" s="21">
        <f>EXP(-LN(2)/25)*CL202+(1-EXP(-LN(2)/25))/(LN(2)/25)*Calculateur!CG203*Calculateur!CI203*VLOOKUP('Données projet'!$B$12,Paramètres!$A$1:$I$89,3,0)*0.475*44/12</f>
        <v>0.12902493659760642</v>
      </c>
      <c r="CM203" s="21">
        <f>EXP(-LN(2)/2)*CM202+(1-EXP(-LN(2)/2))/(LN(2)/2)*CG203*CJ203*VLOOKUP('Données projet'!$B$12,Paramètres!$A$1:$I$89,3,0)*0.475*44/12</f>
        <v>1.1622406145876957E-27</v>
      </c>
      <c r="CN203" s="22">
        <f t="shared" si="172"/>
        <v>4.3904606951873042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1.1549646791293957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1.1549646791293957</v>
      </c>
      <c r="BA205" s="81">
        <f>EXP(LN('Données projet'!B88)/'Données projet'!A88)</f>
        <v>1.335141362540313</v>
      </c>
      <c r="BV205" s="81">
        <f>EXP(LN('Données projet'!B114)/'Données projet'!A114)</f>
        <v>1.4943820583928935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73"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Chêne pubescent</v>
      </c>
      <c r="B6" s="144">
        <f>'Données projet'!D9</f>
        <v>0.83333333329999992</v>
      </c>
      <c r="C6" s="145">
        <f ca="1">IF(OR('Données projet'!B9="",'Données projet'!C9="",'Données projet'!C9=0%),0,Calculateur!S3)</f>
        <v>561.16051468364344</v>
      </c>
      <c r="D6" s="145">
        <f>IF(OR('Données projet'!B9="",'Données projet'!C9="",'Données projet'!C9=0%),0,Calculateur!T3)</f>
        <v>137.34523913145267</v>
      </c>
      <c r="E6" s="145">
        <f ca="1">MIN(C6,D6)</f>
        <v>137.34523913145267</v>
      </c>
      <c r="F6" s="145">
        <f ca="1">E6*B6</f>
        <v>114.45436593829905</v>
      </c>
      <c r="G6" s="145">
        <f ca="1">F6*(100%-'Données projet'!$C$24)*(100%-'Données projet'!$C$25)*(100%-'Données projet'!$C$26)*(100%-'Données projet'!$C$27)</f>
        <v>92.708036410022245</v>
      </c>
      <c r="H6" s="146">
        <f>IF(OR('Données projet'!B9="",'Données projet'!C9="",'Données projet'!C9=0%),0,AVERAGE(Calculateur!$AC$3:$AC$33)*B6)</f>
        <v>0</v>
      </c>
      <c r="I6" s="147">
        <f>H6*(100%-'Données projet'!$C$24)*(100%-'Données projet'!$C$25)*(100%-'Données projet'!$C$26)*(100%-'Données projet'!$C$27)</f>
        <v>0</v>
      </c>
      <c r="J6" s="148">
        <f>IF(OR('Données projet'!B9="",'Données projet'!C9="",'Données projet'!C9=0%),0,SUM(Calculateur!$V$3:$V$33)*VLOOKUP('Données projet'!$B$9,Paramètres!$A$1:$I$89,9,0)*B6)</f>
        <v>0</v>
      </c>
      <c r="K6" s="149">
        <f>J6*(100%-'Données projet'!$C$24)*(100%-'Données projet'!$C$25)*(100%-'Données projet'!$C$26)*(100%-'Données projet'!$C$27)</f>
        <v>0</v>
      </c>
      <c r="L6" s="150">
        <f ca="1">G6+I6+K6</f>
        <v>92.708036410022245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>Chêne sessile</v>
      </c>
      <c r="B7" s="152">
        <f>'Données projet'!D10</f>
        <v>0.83333333329999992</v>
      </c>
      <c r="C7" s="145">
        <f ca="1">IF(OR('Données projet'!B10="",'Données projet'!C10="",'Données projet'!C10=0%),0,Calculateur!AN3)</f>
        <v>491.82493848755047</v>
      </c>
      <c r="D7" s="145">
        <f>IF(OR('Données projet'!B10="",'Données projet'!C10="",'Données projet'!C10=0%),0,Calculateur!AO3)</f>
        <v>119.46953275458026</v>
      </c>
      <c r="E7" s="145">
        <f t="shared" ref="E7:E15" ca="1" si="0">MIN(C7,D7)</f>
        <v>119.46953275458026</v>
      </c>
      <c r="F7" s="145">
        <f t="shared" ref="F7:F15" ca="1" si="1">E7*B7</f>
        <v>99.557943958167883</v>
      </c>
      <c r="G7" s="145">
        <f ca="1">F7*(100%-'Données projet'!$C$24)*(100%-'Données projet'!$C$25)*(100%-'Données projet'!$C$26)*(100%-'Données projet'!$C$27)</f>
        <v>80.641934606115996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80.641934606115996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>Chêne rouge d'Amérique</v>
      </c>
      <c r="B8" s="152">
        <f>'Données projet'!D11</f>
        <v>0.83333333329999992</v>
      </c>
      <c r="C8" s="145">
        <f ca="1">IF(OR('Données projet'!B11="",'Données projet'!C11="",'Données projet'!C11=0%),0,Calculateur!BI3)</f>
        <v>216.10252108537389</v>
      </c>
      <c r="D8" s="145">
        <f>IF(OR('Données projet'!B11="",'Données projet'!C11="",'Données projet'!C11=0%),0,Calculateur!BJ3)</f>
        <v>196.91968622092054</v>
      </c>
      <c r="E8" s="145">
        <f t="shared" ca="1" si="0"/>
        <v>196.91968622092054</v>
      </c>
      <c r="F8" s="145">
        <f t="shared" ca="1" si="1"/>
        <v>164.09973851086977</v>
      </c>
      <c r="G8" s="145">
        <f ca="1">F8*(100%-'Données projet'!$C$24)*(100%-'Données projet'!$C$25)*(100%-'Données projet'!$C$26)*(100%-'Données projet'!$C$27)</f>
        <v>132.92078819380453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14.166666666099999</v>
      </c>
      <c r="K8" s="149">
        <f>J8*(100%-'Données projet'!$C$24)*(100%-'Données projet'!$C$25)*(100%-'Données projet'!$C$26)*(100%-'Données projet'!$C$27)</f>
        <v>11.474999999541</v>
      </c>
      <c r="L8" s="150">
        <f t="shared" ca="1" si="2"/>
        <v>144.39578819334554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>Pin maritime</v>
      </c>
      <c r="B9" s="152">
        <f>'Données projet'!D12</f>
        <v>7.5</v>
      </c>
      <c r="C9" s="145">
        <f ca="1">IF(OR('Données projet'!B12="",'Données projet'!C12="",'Données projet'!C12=0%),0,Calculateur!CD3)</f>
        <v>152.85416952858094</v>
      </c>
      <c r="D9" s="145">
        <f>IF(OR('Données projet'!B12="",'Données projet'!C12="",'Données projet'!C12=0%),0,Calculateur!CE3)</f>
        <v>369.87619681979322</v>
      </c>
      <c r="E9" s="145">
        <f t="shared" ca="1" si="0"/>
        <v>152.85416952858094</v>
      </c>
      <c r="F9" s="145">
        <f t="shared" ca="1" si="1"/>
        <v>1146.4062714643571</v>
      </c>
      <c r="G9" s="145">
        <f ca="1">F9*(100%-'Données projet'!$C$24)*(100%-'Données projet'!$C$25)*(100%-'Données projet'!$C$26)*(100%-'Données projet'!$C$27)</f>
        <v>928.5890798861293</v>
      </c>
      <c r="H9" s="153">
        <f>IF(OR('Données projet'!B12="",'Données projet'!C12="",'Données projet'!C12=0%),0,AVERAGE(Calculateur!$CN$3:$CN$33)*B9)</f>
        <v>129.50049063656289</v>
      </c>
      <c r="I9" s="147">
        <f>H9*(100%-'Données projet'!$C$24)*(100%-'Données projet'!$C$25)*(100%-'Données projet'!$C$26)*(100%-'Données projet'!$C$27)</f>
        <v>104.89539741561595</v>
      </c>
      <c r="J9" s="148">
        <f>IF(OR('Données projet'!B12="",'Données projet'!C12="",'Données projet'!C12=0%),0,SUM(Calculateur!$CG$3:$CG$33)*VLOOKUP('Données projet'!$B$12,Paramètres!$A$1:$I$89,9,0)*B9)</f>
        <v>1955.85</v>
      </c>
      <c r="K9" s="149">
        <f>J9*(100%-'Données projet'!$C$24)*(100%-'Données projet'!$C$25)*(100%-'Données projet'!$C$26)*(100%-'Données projet'!$C$27)</f>
        <v>1584.2384999999999</v>
      </c>
      <c r="L9" s="150">
        <f t="shared" ca="1" si="2"/>
        <v>2617.7229773017452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1524.5183198716938</v>
      </c>
      <c r="G16" s="164">
        <f t="shared" ca="1" si="3"/>
        <v>1234.8598390960719</v>
      </c>
      <c r="H16" s="165">
        <f t="shared" si="3"/>
        <v>129.50049063656289</v>
      </c>
      <c r="I16" s="165">
        <f t="shared" si="3"/>
        <v>104.89539741561595</v>
      </c>
      <c r="J16" s="166">
        <f t="shared" si="3"/>
        <v>1970.0166666660998</v>
      </c>
      <c r="K16" s="166">
        <f t="shared" si="3"/>
        <v>1595.713499999541</v>
      </c>
      <c r="L16" s="167">
        <f t="shared" ca="1" si="3"/>
        <v>2935.4687365112291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Chêne pubescent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>Chêne sessile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>Chêne rouge d'Amérique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>Pin maritime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7" zoomScale="90" zoomScaleNormal="90" workbookViewId="0">
      <selection activeCell="C55" sqref="C55:C72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71" t="s">
        <v>315</v>
      </c>
      <c r="I4" s="271"/>
      <c r="K4" s="295" t="s">
        <v>253</v>
      </c>
      <c r="L4" s="296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5" t="s">
        <v>310</v>
      </c>
      <c r="S7" s="306"/>
      <c r="T7" s="306"/>
      <c r="U7" s="306"/>
      <c r="V7" s="30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Chêne pubescent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2454.703178744453</v>
      </c>
      <c r="U10" s="176">
        <f>'Données projet'!D9</f>
        <v>0.83333333329999992</v>
      </c>
      <c r="V10" s="175">
        <f>U10*T10</f>
        <v>2045.5859822052205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 sessile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855.9996638185653</v>
      </c>
      <c r="U11" s="176">
        <f>'Données projet'!D10</f>
        <v>0.83333333329999992</v>
      </c>
      <c r="V11" s="175">
        <f t="shared" ref="V11" si="0">U11*T11</f>
        <v>713.3330531536044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>Chêne rouge d'Amérique</v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-683.697391669833</v>
      </c>
      <c r="U12" s="176">
        <f>'Données projet'!D11</f>
        <v>0.83333333329999992</v>
      </c>
      <c r="V12" s="175">
        <f t="shared" ref="V12:V19" si="1">U12*T12</f>
        <v>-569.74782636873749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>Pin maritime</v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4274.6800803645619</v>
      </c>
      <c r="U13" s="176">
        <f>'Données projet'!D12</f>
        <v>7.5</v>
      </c>
      <c r="V13" s="175">
        <f t="shared" si="1"/>
        <v>32060.100602734215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Chêne pubescent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298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298"/>
      <c r="H16" s="188"/>
      <c r="I16" s="189"/>
      <c r="J16" s="200"/>
      <c r="K16" s="206"/>
      <c r="L16" s="295" t="s">
        <v>254</v>
      </c>
      <c r="M16" s="296"/>
      <c r="N16" s="2">
        <v>60</v>
      </c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>
        <v>2975.74</v>
      </c>
      <c r="F17" s="228"/>
      <c r="G17" s="298"/>
      <c r="J17" s="200"/>
      <c r="K17" s="206"/>
      <c r="L17" s="268" t="s">
        <v>289</v>
      </c>
      <c r="M17" s="270"/>
      <c r="N17" s="173">
        <f>VLOOKUP(N16,Calculateur!$A$2:$H$153,3,0)/VLOOKUP('Scénario référence'!$G$15,Paramètres!A1:I89,3,0)/VLOOKUP('Scénario référence'!$G$15,Paramètres!A1:I89,5,0)</f>
        <v>60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298"/>
      <c r="J18" s="200"/>
      <c r="K18" s="206"/>
      <c r="L18" s="268" t="s">
        <v>255</v>
      </c>
      <c r="M18" s="270"/>
      <c r="N18" s="190">
        <v>20</v>
      </c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298"/>
      <c r="H19" s="210" t="s">
        <v>178</v>
      </c>
      <c r="I19" s="210" t="s">
        <v>287</v>
      </c>
      <c r="J19" s="91"/>
      <c r="K19" s="171"/>
      <c r="L19" s="295" t="s">
        <v>288</v>
      </c>
      <c r="M19" s="296"/>
      <c r="N19" s="177">
        <f>N17*N18</f>
        <v>1200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298"/>
      <c r="H20" s="188">
        <v>0</v>
      </c>
      <c r="I20" s="189">
        <v>2103</v>
      </c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>
        <v>480</v>
      </c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>
        <v>516</v>
      </c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30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>
        <v>576</v>
      </c>
      <c r="K23" s="206"/>
      <c r="L23" s="297" t="s">
        <v>260</v>
      </c>
      <c r="M23" s="297"/>
      <c r="N23" s="297"/>
      <c r="O23" s="23"/>
      <c r="P23" s="23"/>
      <c r="Q23" s="232"/>
      <c r="R23" s="23"/>
      <c r="S23" s="36" t="s">
        <v>264</v>
      </c>
      <c r="T23" s="31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-1146.6646114235555</v>
      </c>
      <c r="U23" s="310"/>
      <c r="V23" s="31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42</v>
      </c>
      <c r="B24" s="179">
        <f>'Données projet'!D37</f>
        <v>43.21</v>
      </c>
      <c r="C24" s="191">
        <v>235</v>
      </c>
      <c r="D24" s="180">
        <f t="shared" ref="D24:D42" si="2">B24*C24</f>
        <v>10154.35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11">
        <f ca="1">'Scénario référence'!$B$8*$M$30*'Données projet'!$C$5+('Scénario référence'!B9+'Scénario référence'!B10+'Scénario référence'!F8+'Scénario référence'!F9)*$N$19/(1+M4)^N16*'Données projet'!$C$5</f>
        <v>855.46809936887826</v>
      </c>
      <c r="U24" s="311"/>
      <c r="V24" s="31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50</v>
      </c>
      <c r="B25" s="179">
        <f>'Données projet'!D38</f>
        <v>35.58</v>
      </c>
      <c r="C25" s="191">
        <v>235</v>
      </c>
      <c r="D25" s="180">
        <f t="shared" si="2"/>
        <v>8361.2999999999993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12">
        <f ca="1">T23-T24</f>
        <v>-2002.1327107924337</v>
      </c>
      <c r="U25" s="312"/>
      <c r="V25" s="31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58</v>
      </c>
      <c r="B26" s="179">
        <f>'Données projet'!D39</f>
        <v>44.93</v>
      </c>
      <c r="C26" s="191">
        <v>235</v>
      </c>
      <c r="D26" s="180">
        <f t="shared" si="2"/>
        <v>10558.55</v>
      </c>
      <c r="E26" s="191"/>
      <c r="F26" s="231"/>
      <c r="G26" s="227"/>
      <c r="H26" s="188"/>
      <c r="I26" s="189"/>
      <c r="K26" s="206"/>
      <c r="L26" s="299" t="s">
        <v>258</v>
      </c>
      <c r="M26" s="300"/>
      <c r="N26" s="300"/>
      <c r="O26" s="300"/>
      <c r="P26" s="301"/>
      <c r="Q26" s="232"/>
      <c r="R26" s="23"/>
      <c r="S26" s="184" t="s">
        <v>265</v>
      </c>
      <c r="T26" s="309" t="str">
        <f ca="1">IF(T25&lt;0,"Votre projet est additionnel","Votre projet n'est pas additionnel")</f>
        <v>Votre projet est additionnel</v>
      </c>
      <c r="U26" s="309"/>
      <c r="V26" s="30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66</v>
      </c>
      <c r="B27" s="179">
        <f>'Données projet'!D40</f>
        <v>49.91</v>
      </c>
      <c r="C27" s="191">
        <v>235</v>
      </c>
      <c r="D27" s="180">
        <f t="shared" si="2"/>
        <v>11728.849999999999</v>
      </c>
      <c r="E27" s="191"/>
      <c r="F27" s="231"/>
      <c r="G27" s="227"/>
      <c r="H27" s="188"/>
      <c r="I27" s="189"/>
      <c r="K27" s="206"/>
      <c r="L27" s="302"/>
      <c r="M27" s="303"/>
      <c r="N27" s="303"/>
      <c r="O27" s="303"/>
      <c r="P27" s="304"/>
      <c r="Q27" s="232"/>
      <c r="R27" s="23"/>
      <c r="S27" s="308" t="s">
        <v>267</v>
      </c>
      <c r="T27" s="308"/>
      <c r="U27" s="308"/>
      <c r="V27" s="30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74</v>
      </c>
      <c r="B28" s="179">
        <f>'Données projet'!D41</f>
        <v>47.4</v>
      </c>
      <c r="C28" s="191">
        <v>235</v>
      </c>
      <c r="D28" s="180">
        <f t="shared" si="2"/>
        <v>11139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84</v>
      </c>
      <c r="B29" s="179">
        <f>'Données projet'!D42</f>
        <v>61.47</v>
      </c>
      <c r="C29" s="191">
        <v>235</v>
      </c>
      <c r="D29" s="180">
        <f t="shared" si="2"/>
        <v>14445.449999999999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94</v>
      </c>
      <c r="B30" s="179">
        <f>'Données projet'!D43</f>
        <v>61.85</v>
      </c>
      <c r="C30" s="191">
        <v>235</v>
      </c>
      <c r="D30" s="180">
        <f t="shared" si="2"/>
        <v>14534.75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104</v>
      </c>
      <c r="B31" s="179">
        <f>'Données projet'!D44</f>
        <v>60.19</v>
      </c>
      <c r="C31" s="191">
        <v>235</v>
      </c>
      <c r="D31" s="180">
        <f t="shared" si="2"/>
        <v>14144.65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114</v>
      </c>
      <c r="B32" s="179">
        <f>'Données projet'!D45</f>
        <v>56.07</v>
      </c>
      <c r="C32" s="191">
        <v>235</v>
      </c>
      <c r="D32" s="180">
        <f t="shared" si="2"/>
        <v>13176.45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124</v>
      </c>
      <c r="B33" s="179">
        <f>'Données projet'!D46</f>
        <v>52.53</v>
      </c>
      <c r="C33" s="191">
        <v>235</v>
      </c>
      <c r="D33" s="180">
        <f t="shared" si="2"/>
        <v>12344.550000000001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134</v>
      </c>
      <c r="B34" s="179">
        <f>'Données projet'!D47</f>
        <v>54.95</v>
      </c>
      <c r="C34" s="191">
        <v>235</v>
      </c>
      <c r="D34" s="180">
        <f t="shared" si="2"/>
        <v>12913.25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144</v>
      </c>
      <c r="B35" s="179">
        <f>'Données projet'!D48</f>
        <v>56.01</v>
      </c>
      <c r="C35" s="191">
        <v>235</v>
      </c>
      <c r="D35" s="180">
        <f t="shared" si="2"/>
        <v>13162.35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154</v>
      </c>
      <c r="B36" s="179">
        <f>'Données projet'!D49</f>
        <v>55.13</v>
      </c>
      <c r="C36" s="191">
        <v>235</v>
      </c>
      <c r="D36" s="180">
        <f t="shared" si="2"/>
        <v>12955.550000000001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164</v>
      </c>
      <c r="B37" s="179">
        <f>'Données projet'!D50</f>
        <v>59.58</v>
      </c>
      <c r="C37" s="191">
        <v>235</v>
      </c>
      <c r="D37" s="180">
        <f t="shared" si="2"/>
        <v>14001.3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174</v>
      </c>
      <c r="B38" s="179">
        <f>'Données projet'!D51</f>
        <v>214.77</v>
      </c>
      <c r="C38" s="191">
        <v>235</v>
      </c>
      <c r="D38" s="180">
        <f t="shared" si="2"/>
        <v>50470.950000000004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177</v>
      </c>
      <c r="B39" s="179">
        <f>'Données projet'!D52</f>
        <v>115.19</v>
      </c>
      <c r="C39" s="191">
        <v>235</v>
      </c>
      <c r="D39" s="180">
        <f t="shared" si="2"/>
        <v>27069.649999999998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180</v>
      </c>
      <c r="B40" s="179">
        <f>'Données projet'!D53</f>
        <v>77.72</v>
      </c>
      <c r="C40" s="191">
        <v>235</v>
      </c>
      <c r="D40" s="180">
        <f t="shared" si="2"/>
        <v>18264.2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183</v>
      </c>
      <c r="B41" s="179">
        <f>'Données projet'!D54</f>
        <v>169.76</v>
      </c>
      <c r="C41" s="191">
        <v>235</v>
      </c>
      <c r="D41" s="180">
        <f t="shared" si="2"/>
        <v>39893.599999999999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0</v>
      </c>
      <c r="B42" s="179">
        <f>'Données projet'!D55</f>
        <v>0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Chêne sessile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>
        <v>2975.74</v>
      </c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42</v>
      </c>
      <c r="B55" s="179">
        <f>'Données projet'!D63</f>
        <v>43.21</v>
      </c>
      <c r="C55" s="189">
        <v>235</v>
      </c>
      <c r="D55" s="177">
        <f t="shared" ref="D55:D73" si="4">B55*C55</f>
        <v>10154.35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50</v>
      </c>
      <c r="B56" s="179">
        <f>'Données projet'!D64</f>
        <v>35.58</v>
      </c>
      <c r="C56" s="189">
        <v>235</v>
      </c>
      <c r="D56" s="177">
        <f t="shared" si="4"/>
        <v>8361.2999999999993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58</v>
      </c>
      <c r="B57" s="179">
        <f>'Données projet'!D65</f>
        <v>44.93</v>
      </c>
      <c r="C57" s="189">
        <v>235</v>
      </c>
      <c r="D57" s="177">
        <f t="shared" si="4"/>
        <v>10558.55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66</v>
      </c>
      <c r="B58" s="179">
        <f>'Données projet'!D66</f>
        <v>49.91</v>
      </c>
      <c r="C58" s="189">
        <v>235</v>
      </c>
      <c r="D58" s="177">
        <f t="shared" si="4"/>
        <v>11728.849999999999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74</v>
      </c>
      <c r="B59" s="179">
        <f>'Données projet'!D67</f>
        <v>47.4</v>
      </c>
      <c r="C59" s="189">
        <v>235</v>
      </c>
      <c r="D59" s="177">
        <f t="shared" si="4"/>
        <v>11139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84</v>
      </c>
      <c r="B60" s="179">
        <f>'Données projet'!D68</f>
        <v>61.47</v>
      </c>
      <c r="C60" s="189">
        <v>235</v>
      </c>
      <c r="D60" s="177">
        <f t="shared" si="4"/>
        <v>14445.449999999999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94</v>
      </c>
      <c r="B61" s="179">
        <f>'Données projet'!D69</f>
        <v>61.85</v>
      </c>
      <c r="C61" s="189">
        <v>235</v>
      </c>
      <c r="D61" s="177">
        <f t="shared" si="4"/>
        <v>14534.75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104</v>
      </c>
      <c r="B62" s="179">
        <f>'Données projet'!D70</f>
        <v>60.19</v>
      </c>
      <c r="C62" s="189">
        <v>235</v>
      </c>
      <c r="D62" s="177">
        <f t="shared" si="4"/>
        <v>14144.65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114</v>
      </c>
      <c r="B63" s="179">
        <f>'Données projet'!D71</f>
        <v>56.07</v>
      </c>
      <c r="C63" s="189">
        <v>235</v>
      </c>
      <c r="D63" s="177">
        <f t="shared" si="4"/>
        <v>13176.45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124</v>
      </c>
      <c r="B64" s="179">
        <f>'Données projet'!D72</f>
        <v>52.53</v>
      </c>
      <c r="C64" s="189">
        <v>235</v>
      </c>
      <c r="D64" s="177">
        <f t="shared" si="4"/>
        <v>12344.550000000001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134</v>
      </c>
      <c r="B65" s="179">
        <f>'Données projet'!D73</f>
        <v>54.95</v>
      </c>
      <c r="C65" s="189">
        <v>235</v>
      </c>
      <c r="D65" s="177">
        <f t="shared" si="4"/>
        <v>12913.25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144</v>
      </c>
      <c r="B66" s="179">
        <f>'Données projet'!D74</f>
        <v>56.01</v>
      </c>
      <c r="C66" s="189">
        <v>235</v>
      </c>
      <c r="D66" s="177">
        <f t="shared" si="4"/>
        <v>13162.35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154</v>
      </c>
      <c r="B67" s="179">
        <f>'Données projet'!D75</f>
        <v>55.13</v>
      </c>
      <c r="C67" s="189">
        <v>235</v>
      </c>
      <c r="D67" s="177">
        <f t="shared" si="4"/>
        <v>12955.550000000001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164</v>
      </c>
      <c r="B68" s="179">
        <f>'Données projet'!D76</f>
        <v>59.58</v>
      </c>
      <c r="C68" s="189">
        <v>235</v>
      </c>
      <c r="D68" s="177">
        <f t="shared" si="4"/>
        <v>14001.3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174</v>
      </c>
      <c r="B69" s="179">
        <f>'Données projet'!D77</f>
        <v>214.77</v>
      </c>
      <c r="C69" s="189">
        <v>235</v>
      </c>
      <c r="D69" s="177">
        <f t="shared" si="4"/>
        <v>50470.950000000004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177</v>
      </c>
      <c r="B70" s="179">
        <f>'Données projet'!D78</f>
        <v>115.19</v>
      </c>
      <c r="C70" s="189">
        <v>235</v>
      </c>
      <c r="D70" s="177">
        <f t="shared" si="4"/>
        <v>27069.649999999998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180</v>
      </c>
      <c r="B71" s="179">
        <f>'Données projet'!D79</f>
        <v>77.72</v>
      </c>
      <c r="C71" s="189">
        <v>235</v>
      </c>
      <c r="D71" s="177">
        <f t="shared" si="4"/>
        <v>18264.2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183</v>
      </c>
      <c r="B72" s="179">
        <f>'Données projet'!D80</f>
        <v>169.76</v>
      </c>
      <c r="C72" s="189">
        <v>235</v>
      </c>
      <c r="D72" s="177">
        <f t="shared" si="4"/>
        <v>39893.599999999999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>Chêne rouge d'Amérique</v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>
        <v>2975.74</v>
      </c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10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15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20</v>
      </c>
      <c r="B87" s="179">
        <f>'Données projet'!D90</f>
        <v>29</v>
      </c>
      <c r="C87" s="189">
        <v>55</v>
      </c>
      <c r="D87" s="177">
        <f t="shared" si="6"/>
        <v>1595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25</v>
      </c>
      <c r="B88" s="179">
        <f>'Données projet'!D91</f>
        <v>19</v>
      </c>
      <c r="C88" s="189">
        <v>55</v>
      </c>
      <c r="D88" s="177">
        <f t="shared" si="6"/>
        <v>1045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30</v>
      </c>
      <c r="B89" s="179">
        <f>'Données projet'!D92</f>
        <v>20</v>
      </c>
      <c r="C89" s="189">
        <v>55</v>
      </c>
      <c r="D89" s="177">
        <f t="shared" si="6"/>
        <v>1100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35</v>
      </c>
      <c r="B90" s="179">
        <f>'Données projet'!D93</f>
        <v>20</v>
      </c>
      <c r="C90" s="189">
        <v>55</v>
      </c>
      <c r="D90" s="177">
        <f t="shared" si="6"/>
        <v>1100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40</v>
      </c>
      <c r="B91" s="179">
        <f>'Données projet'!D94</f>
        <v>20</v>
      </c>
      <c r="C91" s="189">
        <v>55</v>
      </c>
      <c r="D91" s="177">
        <f t="shared" si="6"/>
        <v>1100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45</v>
      </c>
      <c r="B92" s="179">
        <f>'Données projet'!D95</f>
        <v>19</v>
      </c>
      <c r="C92" s="189">
        <v>55</v>
      </c>
      <c r="D92" s="177">
        <f t="shared" si="6"/>
        <v>1045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50</v>
      </c>
      <c r="B93" s="179">
        <f>'Données projet'!D96</f>
        <v>18</v>
      </c>
      <c r="C93" s="189">
        <v>55</v>
      </c>
      <c r="D93" s="177">
        <f t="shared" si="6"/>
        <v>990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55</v>
      </c>
      <c r="B94" s="179">
        <f>'Données projet'!D97</f>
        <v>17</v>
      </c>
      <c r="C94" s="189">
        <v>55</v>
      </c>
      <c r="D94" s="177">
        <f t="shared" si="6"/>
        <v>935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60</v>
      </c>
      <c r="B95" s="179">
        <f>'Données projet'!D98</f>
        <v>16</v>
      </c>
      <c r="C95" s="189">
        <v>55</v>
      </c>
      <c r="D95" s="177">
        <f t="shared" si="6"/>
        <v>880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65</v>
      </c>
      <c r="B96" s="179">
        <f>'Données projet'!D99</f>
        <v>15</v>
      </c>
      <c r="C96" s="189">
        <v>55</v>
      </c>
      <c r="D96" s="177">
        <f t="shared" si="6"/>
        <v>825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70</v>
      </c>
      <c r="B97" s="179">
        <f>'Données projet'!D100</f>
        <v>14</v>
      </c>
      <c r="C97" s="189">
        <v>55</v>
      </c>
      <c r="D97" s="177">
        <f t="shared" si="6"/>
        <v>770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75</v>
      </c>
      <c r="B98" s="179">
        <f>'Données projet'!D101</f>
        <v>12</v>
      </c>
      <c r="C98" s="189">
        <v>55</v>
      </c>
      <c r="D98" s="177">
        <f t="shared" si="6"/>
        <v>660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80</v>
      </c>
      <c r="B99" s="179">
        <f>'Données projet'!D102</f>
        <v>11</v>
      </c>
      <c r="C99" s="189">
        <v>55</v>
      </c>
      <c r="D99" s="177">
        <f t="shared" si="6"/>
        <v>605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85</v>
      </c>
      <c r="B100" s="179">
        <f>'Données projet'!D103</f>
        <v>10</v>
      </c>
      <c r="C100" s="189">
        <v>55</v>
      </c>
      <c r="D100" s="177">
        <f t="shared" si="6"/>
        <v>550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90</v>
      </c>
      <c r="B101" s="179">
        <f>'Données projet'!D104</f>
        <v>10</v>
      </c>
      <c r="C101" s="189">
        <v>55</v>
      </c>
      <c r="D101" s="177">
        <f t="shared" si="6"/>
        <v>550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95</v>
      </c>
      <c r="B102" s="179">
        <f>'Données projet'!D105</f>
        <v>11</v>
      </c>
      <c r="C102" s="189">
        <v>55</v>
      </c>
      <c r="D102" s="177">
        <f t="shared" si="6"/>
        <v>605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100</v>
      </c>
      <c r="B103" s="179">
        <f>'Données projet'!D106</f>
        <v>11</v>
      </c>
      <c r="C103" s="189">
        <v>55</v>
      </c>
      <c r="D103" s="177">
        <f t="shared" si="6"/>
        <v>605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>Pin maritime</v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>
        <v>1508.76</v>
      </c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11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12</v>
      </c>
      <c r="B117" s="179">
        <f>'Données projet'!D115</f>
        <v>34</v>
      </c>
      <c r="C117" s="189">
        <v>15</v>
      </c>
      <c r="D117" s="177">
        <f t="shared" ref="D117:D135" si="8">B117*C117</f>
        <v>510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13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14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15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16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17</v>
      </c>
      <c r="B122" s="179">
        <f>'Données projet'!D120</f>
        <v>43</v>
      </c>
      <c r="C122" s="189">
        <v>24</v>
      </c>
      <c r="D122" s="177">
        <f t="shared" si="8"/>
        <v>1032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18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19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20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21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22</v>
      </c>
      <c r="B127" s="179">
        <f>'Données projet'!D125</f>
        <v>56</v>
      </c>
      <c r="C127" s="189">
        <v>37</v>
      </c>
      <c r="D127" s="177">
        <f t="shared" si="8"/>
        <v>2072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23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24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25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26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27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28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29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30</v>
      </c>
      <c r="B135" s="179">
        <f>'Données projet'!D133</f>
        <v>309</v>
      </c>
      <c r="C135" s="189">
        <v>51</v>
      </c>
      <c r="D135" s="177">
        <f t="shared" si="8"/>
        <v>15759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2025-01-24T16:48:08Z</dcterms:modified>
</cp:coreProperties>
</file>