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Jean de Grandcourt\Broué\Dossier définitif\"/>
    </mc:Choice>
  </mc:AlternateContent>
  <xr:revisionPtr revIDLastSave="0" documentId="13_ncr:1_{93F1683F-2043-4508-BB07-D3989A6A7A2A}" xr6:coauthVersionLast="47" xr6:coauthVersionMax="47" xr10:uidLastSave="{00000000-0000-0000-0000-000000000000}"/>
  <bookViews>
    <workbookView xWindow="11520" yWindow="36" windowWidth="11916" windowHeight="118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" i="6" l="1"/>
  <c r="B69" i="1"/>
  <c r="B76" i="1"/>
  <c r="B75" i="1"/>
  <c r="B74" i="1"/>
  <c r="B73" i="1"/>
  <c r="B72" i="1"/>
  <c r="B71" i="1"/>
  <c r="B70" i="1"/>
  <c r="B68" i="1"/>
  <c r="B67" i="1"/>
  <c r="B66" i="1"/>
  <c r="B65" i="1"/>
  <c r="B64" i="1"/>
  <c r="B63" i="1"/>
  <c r="B62" i="1"/>
  <c r="B42" i="1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B49" i="1" l="1"/>
  <c r="B48" i="1"/>
  <c r="B47" i="1"/>
  <c r="B46" i="1"/>
  <c r="B45" i="1"/>
  <c r="B44" i="1"/>
  <c r="B43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EC4" i="2"/>
  <c r="BQ4" i="2"/>
  <c r="GL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W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C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B130" i="2"/>
  <c r="HH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G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G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DH156" i="2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A157" i="2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HG164" i="2"/>
  <c r="FR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G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W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FQ195" i="2" l="1"/>
  <c r="EB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ED200" i="2"/>
  <c r="HH201" i="2" l="1"/>
  <c r="FS201" i="2"/>
  <c r="HG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59" i="2" a="1"/>
  <c r="FD59" i="2" s="1"/>
  <c r="BC126" i="2" a="1"/>
  <c r="BC126" i="2" s="1"/>
  <c r="BC114" i="2" a="1"/>
  <c r="BC114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52" i="2" a="1"/>
  <c r="DN152" i="2" s="1"/>
  <c r="DN66" i="2" a="1"/>
  <c r="DN66" i="2" s="1"/>
  <c r="CS116" i="2" a="1"/>
  <c r="CS116" i="2" s="1"/>
  <c r="EI195" i="2" a="1"/>
  <c r="EI195" i="2" s="1"/>
  <c r="CS77" i="2" a="1"/>
  <c r="CS77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43" i="2" a="1"/>
  <c r="BC143" i="2" s="1"/>
  <c r="BC185" i="2" a="1"/>
  <c r="BC185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72" i="2" a="1"/>
  <c r="CS72" i="2" s="1"/>
  <c r="HJ202" i="2"/>
  <c r="EY202" i="2"/>
  <c r="AX200" i="2"/>
  <c r="BC65" i="2" l="1" a="1"/>
  <c r="BC65" i="2" s="1"/>
  <c r="BC82" i="2" a="1"/>
  <c r="BC82" i="2" s="1"/>
  <c r="BC34" i="2" a="1"/>
  <c r="BC34" i="2" s="1"/>
  <c r="BC83" i="2" a="1"/>
  <c r="BC83" i="2" s="1"/>
  <c r="BC151" i="2" a="1"/>
  <c r="BC151" i="2" s="1"/>
  <c r="BC7" i="2" a="1"/>
  <c r="BC7" i="2" s="1"/>
  <c r="BP203" i="2"/>
  <c r="AH163" i="2" a="1"/>
  <c r="AH163" i="2" s="1"/>
  <c r="AH62" i="2" a="1"/>
  <c r="AH62" i="2" s="1"/>
  <c r="AH19" i="2" a="1"/>
  <c r="AH19" i="2" s="1"/>
  <c r="AH90" i="2" a="1"/>
  <c r="AH90" i="2" s="1"/>
  <c r="AH151" i="2" a="1"/>
  <c r="AH151" i="2" s="1"/>
  <c r="DN132" i="2" a="1"/>
  <c r="DN132" i="2" s="1"/>
  <c r="DN41" i="2" a="1"/>
  <c r="DN41" i="2" s="1"/>
  <c r="FY34" i="2" a="1"/>
  <c r="FY34" i="2" s="1"/>
  <c r="FY133" i="2" a="1"/>
  <c r="FY133" i="2" s="1"/>
  <c r="FY86" i="2" a="1"/>
  <c r="FY86" i="2" s="1"/>
  <c r="FY188" i="2" a="1"/>
  <c r="FY188" i="2" s="1"/>
  <c r="FY79" i="2" a="1"/>
  <c r="FY79" i="2" s="1"/>
  <c r="FY58" i="2" a="1"/>
  <c r="FY58" i="2" s="1"/>
  <c r="DN115" i="2" a="1"/>
  <c r="DN115" i="2" s="1"/>
  <c r="FY28" i="2" a="1"/>
  <c r="FY28" i="2" s="1"/>
  <c r="FY29" i="2" a="1"/>
  <c r="FY29" i="2" s="1"/>
  <c r="DN164" i="2" a="1"/>
  <c r="DN164" i="2" s="1"/>
  <c r="BC31" i="2" a="1"/>
  <c r="BC31" i="2" s="1"/>
  <c r="FY121" i="2" a="1"/>
  <c r="FY121" i="2" s="1"/>
  <c r="DN137" i="2" a="1"/>
  <c r="DN137" i="2" s="1"/>
  <c r="FY24" i="2" a="1"/>
  <c r="FY24" i="2" s="1"/>
  <c r="FY191" i="2" a="1"/>
  <c r="FY191" i="2" s="1"/>
  <c r="FY35" i="2" a="1"/>
  <c r="FY35" i="2" s="1"/>
  <c r="FR203" i="2"/>
  <c r="DN187" i="2" a="1"/>
  <c r="DN187" i="2" s="1"/>
  <c r="DN190" i="2" a="1"/>
  <c r="DN190" i="2" s="1"/>
  <c r="DN135" i="2" a="1"/>
  <c r="DN135" i="2" s="1"/>
  <c r="BC84" i="2" a="1"/>
  <c r="BC84" i="2" s="1"/>
  <c r="FD107" i="2" a="1"/>
  <c r="FD107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88" i="2" a="1"/>
  <c r="DN188" i="2" s="1"/>
  <c r="DN30" i="2" a="1"/>
  <c r="DN30" i="2" s="1"/>
  <c r="FY115" i="2" a="1"/>
  <c r="FY115" i="2" s="1"/>
  <c r="FY126" i="2" a="1"/>
  <c r="FY126" i="2" s="1"/>
  <c r="FY109" i="2" a="1"/>
  <c r="FY109" i="2" s="1"/>
  <c r="DN43" i="2" a="1"/>
  <c r="DN43" i="2" s="1"/>
  <c r="FY164" i="2" a="1"/>
  <c r="FY164" i="2" s="1"/>
  <c r="DN49" i="2" a="1"/>
  <c r="DN49" i="2" s="1"/>
  <c r="DN103" i="2" a="1"/>
  <c r="DN103" i="2" s="1"/>
  <c r="DN186" i="2" a="1"/>
  <c r="DN186" i="2" s="1"/>
  <c r="FY149" i="2" a="1"/>
  <c r="FY149" i="2" s="1"/>
  <c r="FY143" i="2" a="1"/>
  <c r="FY143" i="2" s="1"/>
  <c r="FY47" i="2" a="1"/>
  <c r="FY47" i="2" s="1"/>
  <c r="HH203" i="2"/>
  <c r="DN176" i="2" a="1"/>
  <c r="DN176" i="2" s="1"/>
  <c r="DN153" i="2" a="1"/>
  <c r="DN153" i="2" s="1"/>
  <c r="BC47" i="2" a="1"/>
  <c r="BC47" i="2" s="1"/>
  <c r="FY78" i="2" a="1"/>
  <c r="FY78" i="2" s="1"/>
  <c r="FD82" i="2" a="1"/>
  <c r="FD82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6" i="2" a="1"/>
  <c r="DN16" i="2" s="1"/>
  <c r="FY173" i="2" a="1"/>
  <c r="FY173" i="2" s="1"/>
  <c r="DN46" i="2" a="1"/>
  <c r="DN46" i="2" s="1"/>
  <c r="DN177" i="2" a="1"/>
  <c r="DN177" i="2" s="1"/>
  <c r="FY140" i="2" a="1"/>
  <c r="FY140" i="2" s="1"/>
  <c r="DN65" i="2" a="1"/>
  <c r="DN65" i="2" s="1"/>
  <c r="DN50" i="2" a="1"/>
  <c r="DN50" i="2" s="1"/>
  <c r="FY116" i="2" a="1"/>
  <c r="FY116" i="2" s="1"/>
  <c r="FY32" i="2" a="1"/>
  <c r="FY32" i="2" s="1"/>
  <c r="DN70" i="2" a="1"/>
  <c r="DN70" i="2" s="1"/>
  <c r="DN63" i="2" a="1"/>
  <c r="DN63" i="2" s="1"/>
  <c r="DN113" i="2" a="1"/>
  <c r="DN113" i="2" s="1"/>
  <c r="FY92" i="2" a="1"/>
  <c r="FY92" i="2" s="1"/>
  <c r="FY22" i="2" a="1"/>
  <c r="FY2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DN29" i="2" a="1"/>
  <c r="DN29" i="2" s="1"/>
  <c r="DN86" i="2" a="1"/>
  <c r="DN86" i="2" s="1"/>
  <c r="DN162" i="2" a="1"/>
  <c r="DN162" i="2" s="1"/>
  <c r="DN114" i="2" a="1"/>
  <c r="DN114" i="2" s="1"/>
  <c r="FY159" i="2" a="1"/>
  <c r="FY159" i="2" s="1"/>
  <c r="BX107" i="2" a="1"/>
  <c r="BX107" i="2" s="1"/>
  <c r="FY80" i="2" a="1"/>
  <c r="FY80" i="2" s="1"/>
  <c r="DN124" i="2" a="1"/>
  <c r="DN124" i="2" s="1"/>
  <c r="FY62" i="2" a="1"/>
  <c r="FY62" i="2" s="1"/>
  <c r="FY102" i="2" a="1"/>
  <c r="FY102" i="2" s="1"/>
  <c r="BC192" i="2" a="1"/>
  <c r="BC192" i="2" s="1"/>
  <c r="FY30" i="2" a="1"/>
  <c r="FY30" i="2" s="1"/>
  <c r="FY190" i="2" a="1"/>
  <c r="FY190" i="2" s="1"/>
  <c r="FY69" i="2" a="1"/>
  <c r="FY69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<sst xmlns="http://schemas.openxmlformats.org/spreadsheetml/2006/main" count="1172" uniqueCount="324">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</sst>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47.42492700571804</c:v>
                </c:pt>
                <c:pt idx="12">
                  <c:v>62.343493576339263</c:v>
                </c:pt>
                <c:pt idx="13">
                  <c:v>77.168814873995913</c:v>
                </c:pt>
                <c:pt idx="14">
                  <c:v>91.921462901610539</c:v>
                </c:pt>
                <c:pt idx="15">
                  <c:v>106.61479457048438</c:v>
                </c:pt>
                <c:pt idx="16">
                  <c:v>91.247091075230173</c:v>
                </c:pt>
                <c:pt idx="17">
                  <c:v>108.32045522835934</c:v>
                </c:pt>
                <c:pt idx="18">
                  <c:v>125.32747216188733</c:v>
                </c:pt>
                <c:pt idx="19">
                  <c:v>142.27843303342624</c:v>
                </c:pt>
                <c:pt idx="20">
                  <c:v>159.18096583332604</c:v>
                </c:pt>
                <c:pt idx="21">
                  <c:v>136.8113993377481</c:v>
                </c:pt>
                <c:pt idx="22">
                  <c:v>153.87849262025864</c:v>
                </c:pt>
                <c:pt idx="23">
                  <c:v>170.90054749681329</c:v>
                </c:pt>
                <c:pt idx="24">
                  <c:v>187.8826842911449</c:v>
                </c:pt>
                <c:pt idx="25">
                  <c:v>204.82902043085241</c:v>
                </c:pt>
                <c:pt idx="26">
                  <c:v>177.80829710346873</c:v>
                </c:pt>
                <c:pt idx="27">
                  <c:v>194.34387262572696</c:v>
                </c:pt>
                <c:pt idx="28">
                  <c:v>210.8467449082905</c:v>
                </c:pt>
                <c:pt idx="29">
                  <c:v>227.31983449547954</c:v>
                </c:pt>
                <c:pt idx="30">
                  <c:v>243.76560371817732</c:v>
                </c:pt>
                <c:pt idx="31">
                  <c:v>214.77469315131597</c:v>
                </c:pt>
                <c:pt idx="32">
                  <c:v>230.60369047460779</c:v>
                </c:pt>
                <c:pt idx="33">
                  <c:v>246.40785697284107</c:v>
                </c:pt>
                <c:pt idx="34">
                  <c:v>262.18900962036975</c:v>
                </c:pt>
                <c:pt idx="35">
                  <c:v>277.94872870657525</c:v>
                </c:pt>
                <c:pt idx="36">
                  <c:v>247.93962452489868</c:v>
                </c:pt>
                <c:pt idx="37">
                  <c:v>262.61023011217929</c:v>
                </c:pt>
                <c:pt idx="38">
                  <c:v>277.26234531141171</c:v>
                </c:pt>
                <c:pt idx="39">
                  <c:v>291.8970849784788</c:v>
                </c:pt>
                <c:pt idx="40">
                  <c:v>306.51544301958097</c:v>
                </c:pt>
                <c:pt idx="41">
                  <c:v>276.02233012452263</c:v>
                </c:pt>
                <c:pt idx="42">
                  <c:v>290.10552371149498</c:v>
                </c:pt>
                <c:pt idx="43">
                  <c:v>304.17344409660365</c:v>
                </c:pt>
                <c:pt idx="44">
                  <c:v>318.22689723530982</c:v>
                </c:pt>
                <c:pt idx="45">
                  <c:v>332.26661207234343</c:v>
                </c:pt>
                <c:pt idx="46">
                  <c:v>302.42773128998635</c:v>
                </c:pt>
                <c:pt idx="47">
                  <c:v>315.64399785964042</c:v>
                </c:pt>
                <c:pt idx="48">
                  <c:v>328.84800471163857</c:v>
                </c:pt>
                <c:pt idx="49">
                  <c:v>342.04031352964643</c:v>
                </c:pt>
                <c:pt idx="50">
                  <c:v>355.22143912460518</c:v>
                </c:pt>
                <c:pt idx="51">
                  <c:v>328.87006274822141</c:v>
                </c:pt>
                <c:pt idx="52">
                  <c:v>341.20281107762116</c:v>
                </c:pt>
                <c:pt idx="53">
                  <c:v>353.52575947060069</c:v>
                </c:pt>
                <c:pt idx="54">
                  <c:v>365.83929773218136</c:v>
                </c:pt>
                <c:pt idx="55">
                  <c:v>378.14378727996035</c:v>
                </c:pt>
                <c:pt idx="56">
                  <c:v>349.76673298634796</c:v>
                </c:pt>
                <c:pt idx="57">
                  <c:v>361.45209628699848</c:v>
                </c:pt>
                <c:pt idx="58">
                  <c:v>373.1292016426292</c:v>
                </c:pt>
                <c:pt idx="59">
                  <c:v>384.79834396931165</c:v>
                </c:pt>
                <c:pt idx="60">
                  <c:v>396.45979883257809</c:v>
                </c:pt>
                <c:pt idx="61">
                  <c:v>368.89058535085474</c:v>
                </c:pt>
                <c:pt idx="62">
                  <c:v>379.91027630995069</c:v>
                </c:pt>
                <c:pt idx="63">
                  <c:v>390.92301454023817</c:v>
                </c:pt>
                <c:pt idx="64">
                  <c:v>401.92902356941221</c:v>
                </c:pt>
                <c:pt idx="65">
                  <c:v>412.92851368148484</c:v>
                </c:pt>
                <c:pt idx="66">
                  <c:v>387.30414502762784</c:v>
                </c:pt>
                <c:pt idx="67">
                  <c:v>397.37511032418178</c:v>
                </c:pt>
                <c:pt idx="68">
                  <c:v>407.44054835665901</c:v>
                </c:pt>
                <c:pt idx="69">
                  <c:v>417.50061496835542</c:v>
                </c:pt>
                <c:pt idx="70">
                  <c:v>427.55545787700885</c:v>
                </c:pt>
                <c:pt idx="71">
                  <c:v>403.09294706842178</c:v>
                </c:pt>
                <c:pt idx="72">
                  <c:v>412.8699837307916</c:v>
                </c:pt>
                <c:pt idx="73">
                  <c:v>422.6420255622786</c:v>
                </c:pt>
                <c:pt idx="74">
                  <c:v>432.40920437155336</c:v>
                </c:pt>
                <c:pt idx="75">
                  <c:v>442.17164552507137</c:v>
                </c:pt>
                <c:pt idx="76">
                  <c:v>418.50267489729316</c:v>
                </c:pt>
                <c:pt idx="77">
                  <c:v>427.62125449940362</c:v>
                </c:pt>
                <c:pt idx="78">
                  <c:v>436.73565382206658</c:v>
                </c:pt>
                <c:pt idx="79">
                  <c:v>445.84597243951981</c:v>
                </c:pt>
                <c:pt idx="80">
                  <c:v>454.95230552321522</c:v>
                </c:pt>
                <c:pt idx="81">
                  <c:v>423.60726063334477</c:v>
                </c:pt>
                <c:pt idx="82">
                  <c:v>423.60726063334477</c:v>
                </c:pt>
                <c:pt idx="83">
                  <c:v>423.60726063334477</c:v>
                </c:pt>
                <c:pt idx="84">
                  <c:v>423.60726063334477</c:v>
                </c:pt>
                <c:pt idx="85">
                  <c:v>423.60726063334477</c:v>
                </c:pt>
                <c:pt idx="86">
                  <c:v>423.60726063334477</c:v>
                </c:pt>
                <c:pt idx="87">
                  <c:v>423.60726063334477</c:v>
                </c:pt>
                <c:pt idx="88">
                  <c:v>423.60726063334477</c:v>
                </c:pt>
                <c:pt idx="89">
                  <c:v>423.60726063334477</c:v>
                </c:pt>
                <c:pt idx="90">
                  <c:v>423.60726063334477</c:v>
                </c:pt>
                <c:pt idx="91">
                  <c:v>423.60726063334477</c:v>
                </c:pt>
                <c:pt idx="92">
                  <c:v>423.60726063334477</c:v>
                </c:pt>
                <c:pt idx="93">
                  <c:v>423.60726063334477</c:v>
                </c:pt>
                <c:pt idx="94">
                  <c:v>423.60726063334477</c:v>
                </c:pt>
                <c:pt idx="95">
                  <c:v>423.60726063334477</c:v>
                </c:pt>
                <c:pt idx="96">
                  <c:v>423.60726063334477</c:v>
                </c:pt>
                <c:pt idx="97">
                  <c:v>423.60726063334477</c:v>
                </c:pt>
                <c:pt idx="98">
                  <c:v>423.60726063334477</c:v>
                </c:pt>
                <c:pt idx="99">
                  <c:v>423.60726063334477</c:v>
                </c:pt>
                <c:pt idx="100">
                  <c:v>423.60726063334477</c:v>
                </c:pt>
                <c:pt idx="101">
                  <c:v>423.60726063334477</c:v>
                </c:pt>
                <c:pt idx="102">
                  <c:v>423.60726063334477</c:v>
                </c:pt>
                <c:pt idx="103">
                  <c:v>423.60726063334477</c:v>
                </c:pt>
                <c:pt idx="104">
                  <c:v>423.60726063334477</c:v>
                </c:pt>
                <c:pt idx="105">
                  <c:v>423.60726063334477</c:v>
                </c:pt>
                <c:pt idx="106">
                  <c:v>423.60726063334477</c:v>
                </c:pt>
                <c:pt idx="107">
                  <c:v>423.60726063334477</c:v>
                </c:pt>
                <c:pt idx="108">
                  <c:v>423.60726063334477</c:v>
                </c:pt>
                <c:pt idx="109">
                  <c:v>423.60726063334477</c:v>
                </c:pt>
                <c:pt idx="110">
                  <c:v>423.60726063334477</c:v>
                </c:pt>
                <c:pt idx="111">
                  <c:v>423.60726063334477</c:v>
                </c:pt>
                <c:pt idx="112">
                  <c:v>423.60726063334477</c:v>
                </c:pt>
                <c:pt idx="113">
                  <c:v>423.60726063334477</c:v>
                </c:pt>
                <c:pt idx="114">
                  <c:v>423.60726063334477</c:v>
                </c:pt>
                <c:pt idx="115">
                  <c:v>423.60726063334477</c:v>
                </c:pt>
                <c:pt idx="116">
                  <c:v>423.60726063334477</c:v>
                </c:pt>
                <c:pt idx="117">
                  <c:v>423.60726063334477</c:v>
                </c:pt>
                <c:pt idx="118">
                  <c:v>423.60726063334477</c:v>
                </c:pt>
                <c:pt idx="119">
                  <c:v>423.60726063334477</c:v>
                </c:pt>
                <c:pt idx="120">
                  <c:v>423.60726063334477</c:v>
                </c:pt>
                <c:pt idx="121">
                  <c:v>423.60726063334477</c:v>
                </c:pt>
                <c:pt idx="122">
                  <c:v>423.60726063334477</c:v>
                </c:pt>
                <c:pt idx="123">
                  <c:v>423.60726063334477</c:v>
                </c:pt>
                <c:pt idx="124">
                  <c:v>423.60726063334477</c:v>
                </c:pt>
                <c:pt idx="125">
                  <c:v>423.60726063334477</c:v>
                </c:pt>
                <c:pt idx="126">
                  <c:v>423.60726063334477</c:v>
                </c:pt>
                <c:pt idx="127">
                  <c:v>423.60726063334477</c:v>
                </c:pt>
                <c:pt idx="128">
                  <c:v>423.60726063334477</c:v>
                </c:pt>
                <c:pt idx="129">
                  <c:v>423.60726063334477</c:v>
                </c:pt>
                <c:pt idx="130">
                  <c:v>423.60726063334477</c:v>
                </c:pt>
                <c:pt idx="131">
                  <c:v>423.60726063334477</c:v>
                </c:pt>
                <c:pt idx="132">
                  <c:v>423.60726063334477</c:v>
                </c:pt>
                <c:pt idx="133">
                  <c:v>423.60726063334477</c:v>
                </c:pt>
                <c:pt idx="134">
                  <c:v>423.60726063334477</c:v>
                </c:pt>
                <c:pt idx="135">
                  <c:v>423.60726063334477</c:v>
                </c:pt>
                <c:pt idx="136">
                  <c:v>423.60726063334477</c:v>
                </c:pt>
                <c:pt idx="137">
                  <c:v>423.60726063334477</c:v>
                </c:pt>
                <c:pt idx="138">
                  <c:v>423.60726063334477</c:v>
                </c:pt>
                <c:pt idx="139">
                  <c:v>423.60726063334477</c:v>
                </c:pt>
                <c:pt idx="140">
                  <c:v>423.60726063334477</c:v>
                </c:pt>
                <c:pt idx="141">
                  <c:v>423.60726063334477</c:v>
                </c:pt>
                <c:pt idx="142">
                  <c:v>423.60726063334477</c:v>
                </c:pt>
                <c:pt idx="143">
                  <c:v>423.60726063334477</c:v>
                </c:pt>
                <c:pt idx="144">
                  <c:v>423.60726063334477</c:v>
                </c:pt>
                <c:pt idx="145">
                  <c:v>423.60726063334477</c:v>
                </c:pt>
                <c:pt idx="146">
                  <c:v>423.60726063334477</c:v>
                </c:pt>
                <c:pt idx="147">
                  <c:v>423.60726063334477</c:v>
                </c:pt>
                <c:pt idx="148">
                  <c:v>423.60726063334477</c:v>
                </c:pt>
                <c:pt idx="149">
                  <c:v>423.60726063334477</c:v>
                </c:pt>
                <c:pt idx="150">
                  <c:v>423.60726063334477</c:v>
                </c:pt>
                <c:pt idx="151">
                  <c:v>423.60726063334477</c:v>
                </c:pt>
                <c:pt idx="152">
                  <c:v>423.60726063334477</c:v>
                </c:pt>
                <c:pt idx="153">
                  <c:v>423.60726063334477</c:v>
                </c:pt>
                <c:pt idx="154">
                  <c:v>423.60726063334477</c:v>
                </c:pt>
                <c:pt idx="155">
                  <c:v>423.60726063334477</c:v>
                </c:pt>
                <c:pt idx="156">
                  <c:v>423.60726063334477</c:v>
                </c:pt>
                <c:pt idx="157">
                  <c:v>423.60726063334477</c:v>
                </c:pt>
                <c:pt idx="158">
                  <c:v>423.60726063334477</c:v>
                </c:pt>
                <c:pt idx="159">
                  <c:v>423.60726063334477</c:v>
                </c:pt>
                <c:pt idx="160">
                  <c:v>423.60726063334477</c:v>
                </c:pt>
                <c:pt idx="161">
                  <c:v>423.60726063334477</c:v>
                </c:pt>
                <c:pt idx="162">
                  <c:v>423.60726063334477</c:v>
                </c:pt>
                <c:pt idx="163">
                  <c:v>423.60726063334477</c:v>
                </c:pt>
                <c:pt idx="164">
                  <c:v>423.60726063334477</c:v>
                </c:pt>
                <c:pt idx="165">
                  <c:v>423.60726063334477</c:v>
                </c:pt>
                <c:pt idx="166">
                  <c:v>423.60726063334477</c:v>
                </c:pt>
                <c:pt idx="167">
                  <c:v>423.60726063334477</c:v>
                </c:pt>
                <c:pt idx="168">
                  <c:v>423.60726063334477</c:v>
                </c:pt>
                <c:pt idx="169">
                  <c:v>423.60726063334477</c:v>
                </c:pt>
                <c:pt idx="170">
                  <c:v>423.60726063334477</c:v>
                </c:pt>
                <c:pt idx="171">
                  <c:v>423.60726063334477</c:v>
                </c:pt>
                <c:pt idx="172">
                  <c:v>423.60726063334477</c:v>
                </c:pt>
                <c:pt idx="173">
                  <c:v>423.60726063334477</c:v>
                </c:pt>
                <c:pt idx="174">
                  <c:v>423.60726063334477</c:v>
                </c:pt>
                <c:pt idx="175">
                  <c:v>423.60726063334477</c:v>
                </c:pt>
                <c:pt idx="176">
                  <c:v>423.60726063334477</c:v>
                </c:pt>
                <c:pt idx="177">
                  <c:v>423.60726063334477</c:v>
                </c:pt>
                <c:pt idx="178">
                  <c:v>423.60726063334477</c:v>
                </c:pt>
                <c:pt idx="179">
                  <c:v>423.60726063334477</c:v>
                </c:pt>
                <c:pt idx="180">
                  <c:v>423.60726063334477</c:v>
                </c:pt>
                <c:pt idx="181">
                  <c:v>423.60726063334477</c:v>
                </c:pt>
                <c:pt idx="182">
                  <c:v>423.60726063334477</c:v>
                </c:pt>
                <c:pt idx="183">
                  <c:v>423.60726063334477</c:v>
                </c:pt>
                <c:pt idx="184">
                  <c:v>423.60726063334477</c:v>
                </c:pt>
                <c:pt idx="185">
                  <c:v>423.60726063334477</c:v>
                </c:pt>
                <c:pt idx="186">
                  <c:v>423.60726063334477</c:v>
                </c:pt>
                <c:pt idx="187">
                  <c:v>423.60726063334477</c:v>
                </c:pt>
                <c:pt idx="188">
                  <c:v>423.60726063334477</c:v>
                </c:pt>
                <c:pt idx="189">
                  <c:v>423.60726063334477</c:v>
                </c:pt>
                <c:pt idx="190">
                  <c:v>423.60726063334477</c:v>
                </c:pt>
                <c:pt idx="191">
                  <c:v>423.60726063334477</c:v>
                </c:pt>
                <c:pt idx="192">
                  <c:v>423.60726063334477</c:v>
                </c:pt>
                <c:pt idx="193">
                  <c:v>423.60726063334477</c:v>
                </c:pt>
                <c:pt idx="194">
                  <c:v>423.60726063334477</c:v>
                </c:pt>
                <c:pt idx="195">
                  <c:v>423.60726063334477</c:v>
                </c:pt>
                <c:pt idx="196">
                  <c:v>423.60726063334477</c:v>
                </c:pt>
                <c:pt idx="197">
                  <c:v>423.60726063334477</c:v>
                </c:pt>
                <c:pt idx="198">
                  <c:v>423.60726063334477</c:v>
                </c:pt>
                <c:pt idx="199">
                  <c:v>423.60726063334477</c:v>
                </c:pt>
                <c:pt idx="200">
                  <c:v>423.60726063334477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2.7193115141557311</c:v>
                </c:pt>
                <c:pt idx="2">
                  <c:v>3.5559454568361653</c:v>
                </c:pt>
                <c:pt idx="3">
                  <c:v>4.6510192406473019</c:v>
                </c:pt>
                <c:pt idx="4">
                  <c:v>6.0846677762653014</c:v>
                </c:pt>
                <c:pt idx="5">
                  <c:v>7.9619609229961332</c:v>
                </c:pt>
                <c:pt idx="6">
                  <c:v>10.420687505232264</c:v>
                </c:pt>
                <c:pt idx="7">
                  <c:v>13.641576533971696</c:v>
                </c:pt>
                <c:pt idx="8">
                  <c:v>17.861720807718925</c:v>
                </c:pt>
                <c:pt idx="9">
                  <c:v>23.392208891031569</c:v>
                </c:pt>
                <c:pt idx="10">
                  <c:v>30.641288256631608</c:v>
                </c:pt>
                <c:pt idx="11">
                  <c:v>40.14479913782214</c:v>
                </c:pt>
                <c:pt idx="12">
                  <c:v>52.606166983560222</c:v>
                </c:pt>
                <c:pt idx="13">
                  <c:v>68.948962963662908</c:v>
                </c:pt>
                <c:pt idx="14">
                  <c:v>90.385991550742531</c:v>
                </c:pt>
                <c:pt idx="15">
                  <c:v>118.51011399861339</c:v>
                </c:pt>
                <c:pt idx="16">
                  <c:v>142.60057180953225</c:v>
                </c:pt>
                <c:pt idx="17">
                  <c:v>166.59329576570184</c:v>
                </c:pt>
                <c:pt idx="18">
                  <c:v>190.50436948239522</c:v>
                </c:pt>
                <c:pt idx="19">
                  <c:v>214.34549219371638</c:v>
                </c:pt>
                <c:pt idx="20">
                  <c:v>238.12554101232834</c:v>
                </c:pt>
                <c:pt idx="21">
                  <c:v>263.94253392620141</c:v>
                </c:pt>
                <c:pt idx="22">
                  <c:v>289.70256416160663</c:v>
                </c:pt>
                <c:pt idx="23">
                  <c:v>315.41140617079787</c:v>
                </c:pt>
                <c:pt idx="24">
                  <c:v>341.07381596633996</c:v>
                </c:pt>
                <c:pt idx="25">
                  <c:v>366.6937754952408</c:v>
                </c:pt>
                <c:pt idx="26">
                  <c:v>391.23832354179848</c:v>
                </c:pt>
                <c:pt idx="27">
                  <c:v>415.74947956836496</c:v>
                </c:pt>
                <c:pt idx="28">
                  <c:v>440.22948726728617</c:v>
                </c:pt>
                <c:pt idx="29">
                  <c:v>464.68032061955711</c:v>
                </c:pt>
                <c:pt idx="30">
                  <c:v>489.10372909031236</c:v>
                </c:pt>
                <c:pt idx="31">
                  <c:v>511.44047396193395</c:v>
                </c:pt>
                <c:pt idx="32">
                  <c:v>533.7566220890468</c:v>
                </c:pt>
                <c:pt idx="33">
                  <c:v>556.05315494371928</c:v>
                </c:pt>
                <c:pt idx="34">
                  <c:v>578.33096894357811</c:v>
                </c:pt>
                <c:pt idx="35">
                  <c:v>600.59088588094335</c:v>
                </c:pt>
                <c:pt idx="36">
                  <c:v>620.096990255121</c:v>
                </c:pt>
                <c:pt idx="37">
                  <c:v>639.59038670342352</c:v>
                </c:pt>
                <c:pt idx="38">
                  <c:v>659.0715167056527</c:v>
                </c:pt>
                <c:pt idx="39">
                  <c:v>678.54079353970053</c:v>
                </c:pt>
                <c:pt idx="40">
                  <c:v>697.99860485695478</c:v>
                </c:pt>
                <c:pt idx="41">
                  <c:v>714.71660878869477</c:v>
                </c:pt>
                <c:pt idx="42">
                  <c:v>731.42662805036991</c:v>
                </c:pt>
                <c:pt idx="43">
                  <c:v>748.12887059106822</c:v>
                </c:pt>
                <c:pt idx="44">
                  <c:v>764.82353432630725</c:v>
                </c:pt>
                <c:pt idx="45">
                  <c:v>781.51080783506688</c:v>
                </c:pt>
                <c:pt idx="46">
                  <c:v>795.80843968442844</c:v>
                </c:pt>
                <c:pt idx="47">
                  <c:v>810.10088276853241</c:v>
                </c:pt>
                <c:pt idx="48">
                  <c:v>824.38824145250101</c:v>
                </c:pt>
                <c:pt idx="49">
                  <c:v>838.67061619222716</c:v>
                </c:pt>
                <c:pt idx="50">
                  <c:v>852.94810374625047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7" zoomScale="80" zoomScaleNormal="80" workbookViewId="0">
      <selection activeCell="D96" sqref="D9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22</v>
      </c>
      <c r="C9" s="32">
        <v>0.38</v>
      </c>
      <c r="D9" s="33">
        <f t="shared" ref="D9:D18" si="0">C9*$C$5</f>
        <v>0.57000000000000006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50</v>
      </c>
      <c r="C10" s="32">
        <v>0.38</v>
      </c>
      <c r="D10" s="33">
        <f t="shared" si="0"/>
        <v>0.57000000000000006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30</v>
      </c>
      <c r="C11" s="32">
        <v>0.24</v>
      </c>
      <c r="D11" s="33">
        <f t="shared" si="0"/>
        <v>0.36</v>
      </c>
      <c r="E11" s="34">
        <v>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Erable plane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f>33+D36</f>
        <v>65</v>
      </c>
      <c r="C36" s="60">
        <v>1</v>
      </c>
      <c r="D36" s="60">
        <v>32</v>
      </c>
      <c r="E36" s="51"/>
      <c r="F36" s="51"/>
      <c r="G36" s="51"/>
      <c r="H36" s="51">
        <v>1</v>
      </c>
      <c r="I36" s="49">
        <f>IFERROR(B36/A36,"")</f>
        <v>4.333333333333333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67+D37</f>
        <v>102</v>
      </c>
      <c r="C37" s="60">
        <v>2</v>
      </c>
      <c r="D37" s="60">
        <v>35</v>
      </c>
      <c r="E37" s="51"/>
      <c r="F37" s="51"/>
      <c r="G37" s="51"/>
      <c r="H37" s="51">
        <v>1</v>
      </c>
      <c r="I37" s="53">
        <f t="shared" ref="I37:I55" si="1">IF(A37&lt;&gt;0,(B37-(B36-D36))/(A37-A36),"")</f>
        <v>13.8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f>106+D38</f>
        <v>141</v>
      </c>
      <c r="C38" s="60">
        <v>3</v>
      </c>
      <c r="D38" s="60">
        <v>35</v>
      </c>
      <c r="E38" s="51">
        <v>0.2</v>
      </c>
      <c r="F38" s="51">
        <v>0.18</v>
      </c>
      <c r="G38" s="51">
        <v>0.22</v>
      </c>
      <c r="H38" s="51">
        <v>0.4</v>
      </c>
      <c r="I38" s="53">
        <f t="shared" si="1"/>
        <v>14.8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142+D39</f>
        <v>177</v>
      </c>
      <c r="C39" s="60">
        <v>4</v>
      </c>
      <c r="D39" s="60">
        <v>35</v>
      </c>
      <c r="E39" s="51">
        <v>0.3</v>
      </c>
      <c r="F39" s="51">
        <v>0.16</v>
      </c>
      <c r="G39" s="51">
        <v>0.14000000000000001</v>
      </c>
      <c r="H39" s="51">
        <v>0.4</v>
      </c>
      <c r="I39" s="49">
        <f t="shared" si="1"/>
        <v>14.2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f>171+D40</f>
        <v>206</v>
      </c>
      <c r="C40" s="60">
        <v>5</v>
      </c>
      <c r="D40" s="60">
        <v>35</v>
      </c>
      <c r="E40" s="51">
        <v>0.4</v>
      </c>
      <c r="F40" s="51">
        <v>0.08</v>
      </c>
      <c r="G40" s="51">
        <v>0.12</v>
      </c>
      <c r="H40" s="51">
        <v>0.4</v>
      </c>
      <c r="I40" s="49">
        <f t="shared" si="1"/>
        <v>12.8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193+D41</f>
        <v>228</v>
      </c>
      <c r="C41" s="60">
        <v>6</v>
      </c>
      <c r="D41" s="60">
        <v>35</v>
      </c>
      <c r="E41" s="51">
        <v>0.4</v>
      </c>
      <c r="F41" s="51">
        <v>0.08</v>
      </c>
      <c r="G41" s="51">
        <v>0.12</v>
      </c>
      <c r="H41" s="51">
        <v>0.4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f>218+D42</f>
        <v>242</v>
      </c>
      <c r="C42" s="60">
        <v>7</v>
      </c>
      <c r="D42" s="60">
        <v>24</v>
      </c>
      <c r="E42" s="87">
        <v>0.6</v>
      </c>
      <c r="F42" s="87">
        <v>0.04</v>
      </c>
      <c r="G42" s="87">
        <v>0.06</v>
      </c>
      <c r="H42" s="87">
        <v>0.3</v>
      </c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f>242+D43</f>
        <v>261</v>
      </c>
      <c r="C43" s="60">
        <v>8</v>
      </c>
      <c r="D43" s="60">
        <v>19</v>
      </c>
      <c r="E43" s="87">
        <v>0.6</v>
      </c>
      <c r="F43" s="87">
        <v>0.04</v>
      </c>
      <c r="G43" s="87">
        <v>0.06</v>
      </c>
      <c r="H43" s="87">
        <v>0.3</v>
      </c>
      <c r="I43" s="49">
        <f t="shared" si="1"/>
        <v>8.6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f>263+D44</f>
        <v>279</v>
      </c>
      <c r="C44" s="60">
        <v>9</v>
      </c>
      <c r="D44" s="60">
        <v>16</v>
      </c>
      <c r="E44" s="87">
        <v>0.8</v>
      </c>
      <c r="F44" s="87">
        <v>0.04</v>
      </c>
      <c r="G44" s="87">
        <v>0.06</v>
      </c>
      <c r="H44" s="87">
        <v>0.1</v>
      </c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f>280+D45</f>
        <v>294</v>
      </c>
      <c r="C45" s="60">
        <v>10</v>
      </c>
      <c r="D45" s="60">
        <v>14</v>
      </c>
      <c r="E45" s="87">
        <v>0.8</v>
      </c>
      <c r="F45" s="87">
        <v>0.04</v>
      </c>
      <c r="G45" s="87">
        <v>0.06</v>
      </c>
      <c r="H45" s="87">
        <v>0.1</v>
      </c>
      <c r="I45" s="49">
        <f t="shared" si="1"/>
        <v>6.2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65</v>
      </c>
      <c r="B46" s="60">
        <f>293+D46</f>
        <v>306</v>
      </c>
      <c r="C46" s="60">
        <v>11</v>
      </c>
      <c r="D46" s="60">
        <v>13</v>
      </c>
      <c r="E46" s="87">
        <v>0.8</v>
      </c>
      <c r="F46" s="87">
        <v>0.04</v>
      </c>
      <c r="G46" s="87">
        <v>0.06</v>
      </c>
      <c r="H46" s="87">
        <v>0.1</v>
      </c>
      <c r="I46" s="49">
        <f t="shared" si="1"/>
        <v>5.2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70</v>
      </c>
      <c r="B47" s="60">
        <f>303+D47</f>
        <v>316</v>
      </c>
      <c r="C47" s="60">
        <v>12</v>
      </c>
      <c r="D47" s="60">
        <v>13</v>
      </c>
      <c r="E47" s="87">
        <v>0.8</v>
      </c>
      <c r="F47" s="87">
        <v>0.04</v>
      </c>
      <c r="G47" s="87">
        <v>0.06</v>
      </c>
      <c r="H47" s="87">
        <v>0.1</v>
      </c>
      <c r="I47" s="49">
        <f t="shared" si="1"/>
        <v>4.5999999999999996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75</v>
      </c>
      <c r="B48" s="60">
        <f>312+D48</f>
        <v>324</v>
      </c>
      <c r="C48" s="60">
        <v>13</v>
      </c>
      <c r="D48" s="60">
        <v>12</v>
      </c>
      <c r="E48" s="65">
        <v>0.8</v>
      </c>
      <c r="F48" s="65">
        <v>0.04</v>
      </c>
      <c r="G48" s="65">
        <v>0.06</v>
      </c>
      <c r="H48" s="65">
        <v>0.1</v>
      </c>
      <c r="I48" s="49">
        <f t="shared" si="1"/>
        <v>4.2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80</v>
      </c>
      <c r="B49" s="60">
        <f>319+D49</f>
        <v>330</v>
      </c>
      <c r="C49" s="60">
        <v>14</v>
      </c>
      <c r="D49" s="60">
        <v>11</v>
      </c>
      <c r="E49" s="65">
        <v>0.8</v>
      </c>
      <c r="F49" s="65">
        <v>0.04</v>
      </c>
      <c r="G49" s="65">
        <v>0.06</v>
      </c>
      <c r="H49" s="65">
        <v>0.1</v>
      </c>
      <c r="I49" s="49">
        <f t="shared" si="1"/>
        <v>3.6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Tilleul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f>51/1.56</f>
        <v>32.692307692307693</v>
      </c>
      <c r="C62" s="60">
        <v>1</v>
      </c>
      <c r="D62" s="60">
        <v>12</v>
      </c>
      <c r="E62" s="51"/>
      <c r="F62" s="51"/>
      <c r="G62" s="51"/>
      <c r="H62" s="51">
        <v>1</v>
      </c>
      <c r="I62" s="53">
        <f>IFERROR(B62/A62,"")</f>
        <v>3.2692307692307692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f>110/1.56</f>
        <v>70.512820512820511</v>
      </c>
      <c r="C63" s="60">
        <v>2</v>
      </c>
      <c r="D63" s="60">
        <v>22</v>
      </c>
      <c r="E63" s="51"/>
      <c r="F63" s="51"/>
      <c r="G63" s="51"/>
      <c r="H63" s="51">
        <v>1</v>
      </c>
      <c r="I63" s="49">
        <f>IF(A63&lt;&gt;0,(B63-(B62-D62))/(A63-A62),"")</f>
        <v>9.9641025641025642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166/1.56</f>
        <v>106.41025641025641</v>
      </c>
      <c r="C64" s="60">
        <v>3</v>
      </c>
      <c r="D64" s="60">
        <v>27</v>
      </c>
      <c r="E64" s="51">
        <v>0.2</v>
      </c>
      <c r="F64" s="51">
        <v>0.18</v>
      </c>
      <c r="G64" s="51">
        <v>0.22</v>
      </c>
      <c r="H64" s="51">
        <v>0.4</v>
      </c>
      <c r="I64" s="49">
        <f>IF(A64&lt;&gt;0,(B64-(B63-D63))/(A64-A63),"")</f>
        <v>11.579487179487179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f>215/1.56</f>
        <v>137.82051282051282</v>
      </c>
      <c r="C65" s="60">
        <v>4</v>
      </c>
      <c r="D65" s="60">
        <v>30</v>
      </c>
      <c r="E65" s="51">
        <v>0.3</v>
      </c>
      <c r="F65" s="51">
        <v>0.16</v>
      </c>
      <c r="G65" s="51">
        <v>0.14000000000000001</v>
      </c>
      <c r="H65" s="51">
        <v>0.4</v>
      </c>
      <c r="I65" s="49">
        <f>IF(A65&lt;&gt;0,(B65-(B64-D64))/(A65-A64),"")</f>
        <v>11.682051282051281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f>257/1.56</f>
        <v>164.74358974358975</v>
      </c>
      <c r="C66" s="60">
        <v>5</v>
      </c>
      <c r="D66" s="60">
        <v>31</v>
      </c>
      <c r="E66" s="51">
        <v>0.4</v>
      </c>
      <c r="F66" s="51">
        <v>0.08</v>
      </c>
      <c r="G66" s="51">
        <v>0.12</v>
      </c>
      <c r="H66" s="51">
        <v>0.4</v>
      </c>
      <c r="I66" s="49">
        <f t="shared" ref="I66:I81" si="2">IF(A66&lt;&gt;0,(B66-(B65-D65))/(A66-A65),"")</f>
        <v>11.384615384615387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f>294/1.56</f>
        <v>188.46153846153845</v>
      </c>
      <c r="C67" s="60">
        <v>6</v>
      </c>
      <c r="D67" s="60">
        <v>31</v>
      </c>
      <c r="E67" s="51">
        <v>0.4</v>
      </c>
      <c r="F67" s="51">
        <v>0.08</v>
      </c>
      <c r="G67" s="51">
        <v>0.12</v>
      </c>
      <c r="H67" s="51">
        <v>0.4</v>
      </c>
      <c r="I67" s="49">
        <f t="shared" si="2"/>
        <v>10.94358974358974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f>325/1.56</f>
        <v>208.33333333333331</v>
      </c>
      <c r="C68" s="60">
        <v>7</v>
      </c>
      <c r="D68" s="60">
        <v>31</v>
      </c>
      <c r="E68" s="51">
        <v>0.6</v>
      </c>
      <c r="F68" s="51">
        <v>0.04</v>
      </c>
      <c r="G68" s="51">
        <v>0.06</v>
      </c>
      <c r="H68" s="51">
        <v>0.3</v>
      </c>
      <c r="I68" s="49">
        <f t="shared" si="2"/>
        <v>10.174358974358972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f>353/1.56</f>
        <v>226.28205128205127</v>
      </c>
      <c r="C69" s="50">
        <v>8</v>
      </c>
      <c r="D69" s="50">
        <v>30</v>
      </c>
      <c r="E69" s="51">
        <v>0.6</v>
      </c>
      <c r="F69" s="51">
        <v>0.04</v>
      </c>
      <c r="G69" s="51">
        <v>0.06</v>
      </c>
      <c r="H69" s="51">
        <v>0.3</v>
      </c>
      <c r="I69" s="49">
        <f t="shared" si="2"/>
        <v>9.7897435897435905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f>378/1.56</f>
        <v>242.30769230769229</v>
      </c>
      <c r="C70" s="50">
        <v>9</v>
      </c>
      <c r="D70" s="50">
        <v>27</v>
      </c>
      <c r="E70" s="51">
        <v>0.8</v>
      </c>
      <c r="F70" s="51">
        <v>0.04</v>
      </c>
      <c r="G70" s="51">
        <v>0.06</v>
      </c>
      <c r="H70" s="51">
        <v>0.1</v>
      </c>
      <c r="I70" s="49">
        <f t="shared" si="2"/>
        <v>9.2051282051282044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f>403/1.56</f>
        <v>258.33333333333331</v>
      </c>
      <c r="C71" s="50">
        <v>10</v>
      </c>
      <c r="D71" s="50">
        <v>28</v>
      </c>
      <c r="E71" s="51">
        <v>0.8</v>
      </c>
      <c r="F71" s="51">
        <v>0.04</v>
      </c>
      <c r="G71" s="51">
        <v>0.06</v>
      </c>
      <c r="H71" s="51">
        <v>0.1</v>
      </c>
      <c r="I71" s="49">
        <f t="shared" si="2"/>
        <v>8.6051282051282048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f>423/1.56</f>
        <v>271.15384615384613</v>
      </c>
      <c r="C72" s="50">
        <v>11</v>
      </c>
      <c r="D72" s="50">
        <v>27</v>
      </c>
      <c r="E72" s="51">
        <v>0.8</v>
      </c>
      <c r="F72" s="51">
        <v>0.04</v>
      </c>
      <c r="G72" s="51">
        <v>0.06</v>
      </c>
      <c r="H72" s="51">
        <v>0.1</v>
      </c>
      <c r="I72" s="49">
        <f t="shared" si="2"/>
        <v>8.1641025641025635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f>441/1.56</f>
        <v>282.69230769230768</v>
      </c>
      <c r="C73" s="50">
        <v>12</v>
      </c>
      <c r="D73" s="50">
        <v>25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7.7076923076923096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f>457/1.56</f>
        <v>292.94871794871796</v>
      </c>
      <c r="C74" s="50">
        <v>13</v>
      </c>
      <c r="D74" s="50">
        <v>24</v>
      </c>
      <c r="E74" s="51">
        <v>0.8</v>
      </c>
      <c r="F74" s="51">
        <v>0.04</v>
      </c>
      <c r="G74" s="51">
        <v>0.06</v>
      </c>
      <c r="H74" s="51">
        <v>0.1</v>
      </c>
      <c r="I74" s="49">
        <f t="shared" si="2"/>
        <v>7.0512820512820555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f>473/1.56</f>
        <v>303.20512820512818</v>
      </c>
      <c r="C75" s="50">
        <v>14</v>
      </c>
      <c r="D75" s="50">
        <v>23</v>
      </c>
      <c r="E75" s="51">
        <v>0.8</v>
      </c>
      <c r="F75" s="51">
        <v>0.04</v>
      </c>
      <c r="G75" s="51">
        <v>0.06</v>
      </c>
      <c r="H75" s="51">
        <v>0.1</v>
      </c>
      <c r="I75" s="49">
        <f t="shared" si="2"/>
        <v>6.8512820512820438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f>487/1.56</f>
        <v>312.17948717948718</v>
      </c>
      <c r="C76" s="50">
        <v>15</v>
      </c>
      <c r="D76" s="50">
        <v>22</v>
      </c>
      <c r="E76" s="51">
        <v>0.8</v>
      </c>
      <c r="F76" s="51">
        <v>0.04</v>
      </c>
      <c r="G76" s="51">
        <v>0.06</v>
      </c>
      <c r="H76" s="51">
        <v>0.1</v>
      </c>
      <c r="I76" s="49">
        <f t="shared" si="2"/>
        <v>6.3948717948718015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Noyer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65</v>
      </c>
      <c r="C88" s="60"/>
      <c r="D88" s="60"/>
      <c r="E88" s="51"/>
      <c r="F88" s="51"/>
      <c r="G88" s="51"/>
      <c r="H88" s="87"/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133</v>
      </c>
      <c r="C89" s="60"/>
      <c r="D89" s="60"/>
      <c r="E89" s="51"/>
      <c r="F89" s="51"/>
      <c r="G89" s="51"/>
      <c r="H89" s="87"/>
      <c r="I89" s="53">
        <f t="shared" ref="I89:I107" si="3">IF(A89&lt;&gt;0,(B89-(B88-D88))/(A89-A88),"")</f>
        <v>13.6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207</v>
      </c>
      <c r="C90" s="60"/>
      <c r="D90" s="60"/>
      <c r="E90" s="87"/>
      <c r="F90" s="87"/>
      <c r="G90" s="87"/>
      <c r="H90" s="87"/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278</v>
      </c>
      <c r="C91" s="60"/>
      <c r="D91" s="60"/>
      <c r="E91" s="87"/>
      <c r="F91" s="87"/>
      <c r="G91" s="87"/>
      <c r="H91" s="87"/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343</v>
      </c>
      <c r="C92" s="60"/>
      <c r="D92" s="60"/>
      <c r="E92" s="87"/>
      <c r="F92" s="87"/>
      <c r="G92" s="87"/>
      <c r="H92" s="87"/>
      <c r="I92" s="53">
        <f t="shared" si="3"/>
        <v>13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400</v>
      </c>
      <c r="C93" s="60"/>
      <c r="D93" s="60"/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449</v>
      </c>
      <c r="C94" s="60"/>
      <c r="D94" s="60"/>
      <c r="E94" s="87"/>
      <c r="F94" s="87"/>
      <c r="G94" s="87"/>
      <c r="H94" s="87"/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491</v>
      </c>
      <c r="C95" s="60">
        <v>1</v>
      </c>
      <c r="D95" s="60">
        <v>491</v>
      </c>
      <c r="E95" s="87">
        <v>0.6</v>
      </c>
      <c r="F95" s="87">
        <v>0.04</v>
      </c>
      <c r="G95" s="87">
        <v>0.06</v>
      </c>
      <c r="H95" s="87">
        <v>0.3</v>
      </c>
      <c r="I95" s="53">
        <f t="shared" si="3"/>
        <v>8.4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26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Erable plane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Tilleul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Noyer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244.71206779102869</v>
      </c>
      <c r="T3" s="59">
        <f>IF('Données projet'!E9&gt;30,$R$33-$H$33,LOOKUP('Données projet'!$E$9,$A$3:$A$203,R3:R203)-LOOKUP('Données projet'!$E$9,$A$3:$A$203,$H$3:$H$203))</f>
        <v>248.77995374147798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177.71717275462748</v>
      </c>
      <c r="AO3" s="59">
        <f>IF('Données projet'!E10&gt;30,$AM$33-$H$33,LOOKUP('Données projet'!$E$10,$A$3:$A$203,AM3:AM203)-LOOKUP('Données projet'!$E$10,$A$3:$A$203,$H$3:$H$203))</f>
        <v>183.73714278300957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325.66150195494157</v>
      </c>
      <c r="BJ3" s="59">
        <f>IF('Données projet'!E11&gt;30,$BH$33-$H$33,LOOKUP('Données projet'!$E$11,$A$3:$A$203,BH3:BH203)-LOOKUP('Données projet'!$E$11,$A$3:$A$203,$H$3:$H$203))</f>
        <v>429.07526815514467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7">
        <f t="shared" ref="H4:H67" si="1">(B4+E4+F4)*44/12+(C4+D4)*0.475*44/12</f>
        <v>295.56715004710333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4.333333333333333</v>
      </c>
      <c r="N4" s="13">
        <f>IF('Données projet'!$A$36&gt;35,N3+M4-V3,IF(A4&lt;'Données projet'!$A$36,$K$205^A4,IF(A4='Données projet'!$A$36,'Données projet'!$B$36,N3+M4-V3)))</f>
        <v>1.3208724756526424</v>
      </c>
      <c r="O4" s="13">
        <f>N4*VLOOKUP('Données projet'!$B$9,Paramètres!$A$1:$I$89,3,0)*VLOOKUP('Données projet'!$B$9,Paramètres!$A$1:$I$89,5,0)</f>
        <v>1.0508861416292423</v>
      </c>
      <c r="P4" s="13">
        <f>EXP(-1.0587+0.8836*LN(O4)+0.284)</f>
        <v>0.48150261531866312</v>
      </c>
      <c r="Q4" s="20">
        <f t="shared" ref="Q4:Q34" si="2">(O4+P4)*0.475*44/12</f>
        <v>2.6689104183509347</v>
      </c>
      <c r="R4" s="59">
        <f t="shared" si="0"/>
        <v>296.00224375168426</v>
      </c>
      <c r="S4" s="59">
        <f ca="1">AVERAGE(OFFSET($R$3,0,0,'Données projet'!$E$9+1,1))-AVERAGE(OFFSET($H$3,0,0,'Données projet'!$E$9+1,1))</f>
        <v>244.71206779102869</v>
      </c>
      <c r="T4" s="59">
        <f>$T$3</f>
        <v>248.77995374147798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3.2692307692307692</v>
      </c>
      <c r="AI4" s="13">
        <f>IF('Données projet'!$A$62&gt;35,AI3+AH4-AQ3,IF(A4&lt;'Données projet'!$A$62,$AF$205^A4,IF(A4='Données projet'!$A$62,'Données projet'!$B$62,AI3+AH4-AQ3)))</f>
        <v>1.4172437739267318</v>
      </c>
      <c r="AJ4" s="13">
        <f>AI4*VLOOKUP('Données projet'!$B$10,Paramètres!$A$1:$I$89,3,0)*VLOOKUP('Données projet'!$B$10,Paramètres!$A$1:$I$89,5,0)</f>
        <v>0.95068712355005169</v>
      </c>
      <c r="AK4" s="13">
        <f>EXP(-1.0587+0.8836*LN(AJ4)+0.284)</f>
        <v>0.44070309303270105</v>
      </c>
      <c r="AL4" s="20">
        <f t="shared" ref="AL4:AL67" si="4">(AJ4+AK4)*0.475*44/12</f>
        <v>2.4233379605482943</v>
      </c>
      <c r="AM4" s="59">
        <f t="shared" ref="AM4:AM67" si="5">AL4+(AD4+AE4)*44/12</f>
        <v>295.7566712938816</v>
      </c>
      <c r="AN4" s="59">
        <f ca="1">AVERAGE(OFFSET($AM$3,0,0,'Données projet'!$E$10+1,1))-AVERAGE(OFFSET($H$3,0,0,'Données projet'!$E$10+1,1))</f>
        <v>177.71717275462748</v>
      </c>
      <c r="AO4" s="59">
        <f>$AO$3</f>
        <v>183.73714278300957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1.0714917522494236</v>
      </c>
      <c r="BF4" s="13">
        <f>EXP(-1.0587+0.8836*LN(BE4)+0.284)</f>
        <v>0.48983543291176185</v>
      </c>
      <c r="BG4" s="20">
        <f t="shared" ref="BG4:BG67" si="7">(BE4+BF4)*0.475*44/12</f>
        <v>2.7193115141557311</v>
      </c>
      <c r="BH4" s="59">
        <f t="shared" ref="BH4:BH67" si="8">BG4+(AY4+AZ4)*44/12</f>
        <v>296.05264484748903</v>
      </c>
      <c r="BI4" s="59">
        <f ca="1">AVERAGE(OFFSET($BH$3,0,0,'Données projet'!$E$11+1,1))-AVERAGE(OFFSET($H$3,0,0,'Données projet'!$E$11+1,1))</f>
        <v>325.66150195494157</v>
      </c>
      <c r="BJ4" s="59">
        <f>$BJ$3</f>
        <v>429.07526815514467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7">
        <f t="shared" si="1"/>
        <v>297.69054180829414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4.333333333333333</v>
      </c>
      <c r="N5" s="13">
        <f>IF('Données projet'!$A$36&gt;35,N4+M5-V4,IF(A5&lt;'Données projet'!$A$36,$K$205^A5,IF(A5='Données projet'!$A$36,'Données projet'!$B$36,N4+M5-V4)))</f>
        <v>1.7447040969367404</v>
      </c>
      <c r="O5" s="13">
        <f>N5*VLOOKUP('Données projet'!$B$9,Paramètres!$A$1:$I$89,3,0)*VLOOKUP('Données projet'!$B$9,Paramètres!$A$1:$I$89,5,0)</f>
        <v>1.3880865795228707</v>
      </c>
      <c r="P5" s="13">
        <f t="shared" ref="P5:P68" si="33">EXP(-1.0587+0.8836*LN(O5)+0.284)</f>
        <v>0.61573144482258502</v>
      </c>
      <c r="Q5" s="20">
        <f t="shared" si="2"/>
        <v>3.4899830590683352</v>
      </c>
      <c r="R5" s="59">
        <f t="shared" si="0"/>
        <v>296.82331639240164</v>
      </c>
      <c r="S5" s="59">
        <f ca="1">AVERAGE(OFFSET($R$3,0,0,'Données projet'!$E$9+1,1))-AVERAGE(OFFSET($H$3,0,0,'Données projet'!$E$9+1,1))</f>
        <v>244.71206779102869</v>
      </c>
      <c r="T5" s="59">
        <f t="shared" ref="T5:T68" si="34">$T$3</f>
        <v>248.77995374147798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3.2692307692307692</v>
      </c>
      <c r="AI5" s="13">
        <f>IF('Données projet'!$A$62&gt;35,AI4+AH5-AQ4,IF(A5&lt;'Données projet'!$A$62,$AF$205^A5,IF(A5='Données projet'!$A$62,'Données projet'!$B$62,AI4+AH5-AQ4)))</f>
        <v>2.0085799147340855</v>
      </c>
      <c r="AJ5" s="13">
        <f>AI5*VLOOKUP('Données projet'!$B$10,Paramètres!$A$1:$I$89,3,0)*VLOOKUP('Données projet'!$B$10,Paramètres!$A$1:$I$89,5,0)</f>
        <v>1.3473554068036244</v>
      </c>
      <c r="AK5" s="13">
        <f t="shared" ref="AK5:AK68" si="35">EXP(-1.0587+0.8836*LN(AJ5)+0.284)</f>
        <v>0.5997393019338928</v>
      </c>
      <c r="AL5" s="20">
        <f t="shared" si="4"/>
        <v>3.3911899510511758</v>
      </c>
      <c r="AM5" s="59">
        <f t="shared" si="5"/>
        <v>296.72452328438447</v>
      </c>
      <c r="AN5" s="59">
        <f ca="1">AVERAGE(OFFSET($AM$3,0,0,'Données projet'!$E$10+1,1))-AVERAGE(OFFSET($H$3,0,0,'Données projet'!$E$10+1,1))</f>
        <v>177.71717275462748</v>
      </c>
      <c r="AO5" s="59">
        <f t="shared" ref="AO5:AO68" si="36">$AO$3</f>
        <v>183.73714278300957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1.4153039634350839</v>
      </c>
      <c r="BF5" s="13">
        <f t="shared" ref="BF5:BF68" si="37">EXP(-1.0587+0.8836*LN(BE5)+0.284)</f>
        <v>0.62638720795410219</v>
      </c>
      <c r="BG5" s="20">
        <f t="shared" si="7"/>
        <v>3.5559454568361653</v>
      </c>
      <c r="BH5" s="59">
        <f t="shared" si="8"/>
        <v>296.8892787901695</v>
      </c>
      <c r="BI5" s="59">
        <f ca="1">AVERAGE(OFFSET($BH$3,0,0,'Données projet'!$E$11+1,1))-AVERAGE(OFFSET($H$3,0,0,'Données projet'!$E$11+1,1))</f>
        <v>325.66150195494157</v>
      </c>
      <c r="BJ5" s="59">
        <f t="shared" ref="BJ5:BJ68" si="38">$BJ$3</f>
        <v>429.07526815514467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7">
        <f t="shared" si="1"/>
        <v>299.77827185278778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4.333333333333333</v>
      </c>
      <c r="N6" s="13">
        <f>IF('Données projet'!$A$36&gt;35,N5+M6-V5,IF(A6&lt;'Données projet'!$A$36,$K$205^A6,IF(A6='Données projet'!$A$36,'Données projet'!$B$36,N5+M6-V5)))</f>
        <v>2.3045316198021402</v>
      </c>
      <c r="O6" s="13">
        <f>N6*VLOOKUP('Données projet'!$B$9,Paramètres!$A$1:$I$89,3,0)*VLOOKUP('Données projet'!$B$9,Paramètres!$A$1:$I$89,5,0)</f>
        <v>1.833485356714583</v>
      </c>
      <c r="P6" s="13">
        <f t="shared" si="33"/>
        <v>0.78737934142351296</v>
      </c>
      <c r="Q6" s="20">
        <f t="shared" si="2"/>
        <v>4.5646726825905164</v>
      </c>
      <c r="R6" s="59">
        <f t="shared" si="0"/>
        <v>297.89800601592384</v>
      </c>
      <c r="S6" s="59">
        <f ca="1">AVERAGE(OFFSET($R$3,0,0,'Données projet'!$E$9+1,1))-AVERAGE(OFFSET($H$3,0,0,'Données projet'!$E$9+1,1))</f>
        <v>244.71206779102869</v>
      </c>
      <c r="T6" s="59">
        <f t="shared" si="34"/>
        <v>248.77995374147798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3.2692307692307692</v>
      </c>
      <c r="AI6" s="13">
        <f>IF('Données projet'!$A$62&gt;35,AI5+AH6-AQ5,IF(A6&lt;'Données projet'!$A$62,$AF$205^A6,IF(A6='Données projet'!$A$62,'Données projet'!$B$62,AI5+AH6-AQ5)))</f>
        <v>2.8466473785911686</v>
      </c>
      <c r="AJ6" s="13">
        <f>AI6*VLOOKUP('Données projet'!$B$10,Paramètres!$A$1:$I$89,3,0)*VLOOKUP('Données projet'!$B$10,Paramètres!$A$1:$I$89,5,0)</f>
        <v>1.909531061558956</v>
      </c>
      <c r="AK6" s="13">
        <f t="shared" si="35"/>
        <v>0.81616679340497278</v>
      </c>
      <c r="AL6" s="20">
        <f t="shared" si="4"/>
        <v>4.7472570973955088</v>
      </c>
      <c r="AM6" s="59">
        <f t="shared" si="5"/>
        <v>298.08059043072882</v>
      </c>
      <c r="AN6" s="59">
        <f ca="1">AVERAGE(OFFSET($AM$3,0,0,'Données projet'!$E$10+1,1))-AVERAGE(OFFSET($H$3,0,0,'Données projet'!$E$10+1,1))</f>
        <v>177.71717275462748</v>
      </c>
      <c r="AO6" s="59">
        <f t="shared" si="36"/>
        <v>183.73714278300957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1.8694360499834961</v>
      </c>
      <c r="BF6" s="13">
        <f t="shared" si="37"/>
        <v>0.8010056192876821</v>
      </c>
      <c r="BG6" s="20">
        <f t="shared" si="7"/>
        <v>4.6510192406473019</v>
      </c>
      <c r="BH6" s="59">
        <f t="shared" si="8"/>
        <v>297.98435257398063</v>
      </c>
      <c r="BI6" s="59">
        <f ca="1">AVERAGE(OFFSET($BH$3,0,0,'Données projet'!$E$11+1,1))-AVERAGE(OFFSET($H$3,0,0,'Données projet'!$E$11+1,1))</f>
        <v>325.66150195494157</v>
      </c>
      <c r="BJ6" s="59">
        <f t="shared" si="38"/>
        <v>429.07526815514467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7">
        <f t="shared" si="1"/>
        <v>301.84401918535269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4.333333333333333</v>
      </c>
      <c r="N7" s="13">
        <f>IF('Données projet'!$A$36&gt;35,N6+M7-V6,IF(A7&lt;'Données projet'!$A$36,$K$205^A7,IF(A7='Données projet'!$A$36,'Données projet'!$B$36,N6+M7-V6)))</f>
        <v>3.0439923858678468</v>
      </c>
      <c r="O7" s="13">
        <f>N7*VLOOKUP('Données projet'!$B$9,Paramètres!$A$1:$I$89,3,0)*VLOOKUP('Données projet'!$B$9,Paramètres!$A$1:$I$89,5,0)</f>
        <v>2.4218003421964593</v>
      </c>
      <c r="P7" s="13">
        <f t="shared" si="33"/>
        <v>1.0068776453006392</v>
      </c>
      <c r="Q7" s="20">
        <f t="shared" si="2"/>
        <v>5.9716141615574472</v>
      </c>
      <c r="R7" s="59">
        <f t="shared" si="0"/>
        <v>299.30494749489077</v>
      </c>
      <c r="S7" s="59">
        <f ca="1">AVERAGE(OFFSET($R$3,0,0,'Données projet'!$E$9+1,1))-AVERAGE(OFFSET($H$3,0,0,'Données projet'!$E$9+1,1))</f>
        <v>244.71206779102869</v>
      </c>
      <c r="T7" s="59">
        <f t="shared" si="34"/>
        <v>248.77995374147798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3.2692307692307692</v>
      </c>
      <c r="AI7" s="13">
        <f>IF('Données projet'!$A$62&gt;35,AI6+AH7-AQ6,IF(A7&lt;'Données projet'!$A$62,$AF$205^A7,IF(A7='Données projet'!$A$62,'Données projet'!$B$62,AI6+AH7-AQ6)))</f>
        <v>4.034393273873186</v>
      </c>
      <c r="AJ7" s="13">
        <f>AI7*VLOOKUP('Données projet'!$B$10,Paramètres!$A$1:$I$89,3,0)*VLOOKUP('Données projet'!$B$10,Paramètres!$A$1:$I$89,5,0)</f>
        <v>2.7062710081141335</v>
      </c>
      <c r="AK7" s="13">
        <f t="shared" si="35"/>
        <v>1.1106963183986573</v>
      </c>
      <c r="AL7" s="20">
        <f t="shared" si="4"/>
        <v>6.6478847603431106</v>
      </c>
      <c r="AM7" s="59">
        <f t="shared" si="5"/>
        <v>299.98121809367643</v>
      </c>
      <c r="AN7" s="59">
        <f ca="1">AVERAGE(OFFSET($AM$3,0,0,'Données projet'!$E$10+1,1))-AVERAGE(OFFSET($H$3,0,0,'Données projet'!$E$10+1,1))</f>
        <v>177.71717275462748</v>
      </c>
      <c r="AO7" s="59">
        <f t="shared" si="36"/>
        <v>183.73714278300957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2.4692866234159974</v>
      </c>
      <c r="BF7" s="13">
        <f t="shared" si="37"/>
        <v>1.0243025304205389</v>
      </c>
      <c r="BG7" s="20">
        <f t="shared" si="7"/>
        <v>6.0846677762653014</v>
      </c>
      <c r="BH7" s="59">
        <f t="shared" si="8"/>
        <v>299.41800110959861</v>
      </c>
      <c r="BI7" s="59">
        <f ca="1">AVERAGE(OFFSET($BH$3,0,0,'Données projet'!$E$11+1,1))-AVERAGE(OFFSET($H$3,0,0,'Données projet'!$E$11+1,1))</f>
        <v>325.66150195494157</v>
      </c>
      <c r="BJ7" s="59">
        <f t="shared" si="38"/>
        <v>429.07526815514467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7">
        <f t="shared" si="1"/>
        <v>303.89398357937728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4.333333333333333</v>
      </c>
      <c r="N8" s="13">
        <f>IF('Données projet'!$A$36&gt;35,N7+M8-V7,IF(A8&lt;'Données projet'!$A$36,$K$205^A8,IF(A8='Données projet'!$A$36,'Données projet'!$B$36,N7+M8-V7)))</f>
        <v>4.0207257585890561</v>
      </c>
      <c r="O8" s="13">
        <f>N8*VLOOKUP('Données projet'!$B$9,Paramètres!$A$1:$I$89,3,0)*VLOOKUP('Données projet'!$B$9,Paramètres!$A$1:$I$89,5,0)</f>
        <v>3.1988894135334531</v>
      </c>
      <c r="P8" s="13">
        <f t="shared" si="33"/>
        <v>1.2875656488183871</v>
      </c>
      <c r="Q8" s="20">
        <f t="shared" si="2"/>
        <v>7.8139092335961218</v>
      </c>
      <c r="R8" s="59">
        <f t="shared" si="0"/>
        <v>301.14724256692944</v>
      </c>
      <c r="S8" s="59">
        <f ca="1">AVERAGE(OFFSET($R$3,0,0,'Données projet'!$E$9+1,1))-AVERAGE(OFFSET($H$3,0,0,'Données projet'!$E$9+1,1))</f>
        <v>244.71206779102869</v>
      </c>
      <c r="T8" s="59">
        <f t="shared" si="34"/>
        <v>248.77995374147798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3.2692307692307692</v>
      </c>
      <c r="AI8" s="13">
        <f>IF('Données projet'!$A$62&gt;35,AI7+AH8-AQ7,IF(A8&lt;'Données projet'!$A$62,$AF$205^A8,IF(A8='Données projet'!$A$62,'Données projet'!$B$62,AI7+AH8-AQ7)))</f>
        <v>5.7177187489686574</v>
      </c>
      <c r="AJ8" s="13">
        <f>AI8*VLOOKUP('Données projet'!$B$10,Paramètres!$A$1:$I$89,3,0)*VLOOKUP('Données projet'!$B$10,Paramètres!$A$1:$I$89,5,0)</f>
        <v>3.8354457368081754</v>
      </c>
      <c r="AK8" s="13">
        <f t="shared" si="35"/>
        <v>1.5115125017003845</v>
      </c>
      <c r="AL8" s="20">
        <f t="shared" si="4"/>
        <v>9.3126189320690731</v>
      </c>
      <c r="AM8" s="59">
        <f t="shared" si="5"/>
        <v>302.6459522654024</v>
      </c>
      <c r="AN8" s="59">
        <f ca="1">AVERAGE(OFFSET($AM$3,0,0,'Données projet'!$E$10+1,1))-AVERAGE(OFFSET($H$3,0,0,'Données projet'!$E$10+1,1))</f>
        <v>177.71717275462748</v>
      </c>
      <c r="AO8" s="59">
        <f t="shared" si="36"/>
        <v>183.73714278300957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3.2616127353674425</v>
      </c>
      <c r="BF8" s="13">
        <f t="shared" si="37"/>
        <v>1.3098480816638303</v>
      </c>
      <c r="BG8" s="20">
        <f t="shared" si="7"/>
        <v>7.9619609229961332</v>
      </c>
      <c r="BH8" s="59">
        <f t="shared" si="8"/>
        <v>301.29529425632944</v>
      </c>
      <c r="BI8" s="59">
        <f ca="1">AVERAGE(OFFSET($BH$3,0,0,'Données projet'!$E$11+1,1))-AVERAGE(OFFSET($H$3,0,0,'Données projet'!$E$11+1,1))</f>
        <v>325.66150195494157</v>
      </c>
      <c r="BJ8" s="59">
        <f t="shared" si="38"/>
        <v>429.07526815514467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7">
        <f t="shared" si="1"/>
        <v>305.93170164445013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4.333333333333333</v>
      </c>
      <c r="N9" s="13">
        <f>IF('Données projet'!$A$36&gt;35,N8+M9-V8,IF(A9&lt;'Données projet'!$A$36,$K$205^A9,IF(A9='Données projet'!$A$36,'Données projet'!$B$36,N8+M9-V8)))</f>
        <v>5.310865986667876</v>
      </c>
      <c r="O9" s="13">
        <f>N9*VLOOKUP('Données projet'!$B$9,Paramètres!$A$1:$I$89,3,0)*VLOOKUP('Données projet'!$B$9,Paramètres!$A$1:$I$89,5,0)</f>
        <v>4.2253249789929628</v>
      </c>
      <c r="P9" s="13">
        <f t="shared" si="33"/>
        <v>1.6465012484432624</v>
      </c>
      <c r="Q9" s="20">
        <f t="shared" si="2"/>
        <v>10.226764012784757</v>
      </c>
      <c r="R9" s="59">
        <f t="shared" si="0"/>
        <v>303.56009734611808</v>
      </c>
      <c r="S9" s="59">
        <f ca="1">AVERAGE(OFFSET($R$3,0,0,'Données projet'!$E$9+1,1))-AVERAGE(OFFSET($H$3,0,0,'Données projet'!$E$9+1,1))</f>
        <v>244.71206779102869</v>
      </c>
      <c r="T9" s="59">
        <f t="shared" si="34"/>
        <v>248.77995374147798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3.2692307692307692</v>
      </c>
      <c r="AI9" s="13">
        <f>IF('Données projet'!$A$62&gt;35,AI8+AH9-AQ8,IF(A9&lt;'Données projet'!$A$62,$AF$205^A9,IF(A9='Données projet'!$A$62,'Données projet'!$B$62,AI8+AH9-AQ8)))</f>
        <v>8.1034012980399712</v>
      </c>
      <c r="AJ9" s="13">
        <f>AI9*VLOOKUP('Données projet'!$B$10,Paramètres!$A$1:$I$89,3,0)*VLOOKUP('Données projet'!$B$10,Paramètres!$A$1:$I$89,5,0)</f>
        <v>5.435761590725213</v>
      </c>
      <c r="AK9" s="13">
        <f t="shared" si="35"/>
        <v>2.0569709334145188</v>
      </c>
      <c r="AL9" s="20">
        <f t="shared" si="4"/>
        <v>13.049842479543365</v>
      </c>
      <c r="AM9" s="59">
        <f t="shared" si="5"/>
        <v>306.38317581287669</v>
      </c>
      <c r="AN9" s="59">
        <f ca="1">AVERAGE(OFFSET($AM$3,0,0,'Données projet'!$E$10+1,1))-AVERAGE(OFFSET($H$3,0,0,'Données projet'!$E$10+1,1))</f>
        <v>177.71717275462748</v>
      </c>
      <c r="AO9" s="59">
        <f t="shared" si="36"/>
        <v>183.73714278300957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4.3081744883849815</v>
      </c>
      <c r="BF9" s="13">
        <f t="shared" si="37"/>
        <v>1.6749953710785195</v>
      </c>
      <c r="BG9" s="20">
        <f t="shared" si="7"/>
        <v>10.420687505232264</v>
      </c>
      <c r="BH9" s="59">
        <f t="shared" si="8"/>
        <v>303.75402083856557</v>
      </c>
      <c r="BI9" s="59">
        <f ca="1">AVERAGE(OFFSET($BH$3,0,0,'Données projet'!$E$11+1,1))-AVERAGE(OFFSET($H$3,0,0,'Données projet'!$E$11+1,1))</f>
        <v>325.66150195494157</v>
      </c>
      <c r="BJ9" s="59">
        <f t="shared" si="38"/>
        <v>429.07526815514467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7">
        <f t="shared" si="1"/>
        <v>307.95945329602796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4.333333333333333</v>
      </c>
      <c r="N10" s="13">
        <f>IF('Données projet'!$A$36&gt;35,N9+M10-V9,IF(A10&lt;'Données projet'!$A$36,$K$205^A10,IF(A10='Données projet'!$A$36,'Données projet'!$B$36,N9+M10-V9)))</f>
        <v>7.0149767036694106</v>
      </c>
      <c r="O10" s="13">
        <f>N10*VLOOKUP('Données projet'!$B$9,Paramètres!$A$1:$I$89,3,0)*VLOOKUP('Données projet'!$B$9,Paramètres!$A$1:$I$89,5,0)</f>
        <v>5.5811154654393826</v>
      </c>
      <c r="P10" s="13">
        <f t="shared" si="33"/>
        <v>2.1054975826771263</v>
      </c>
      <c r="Q10" s="20">
        <f t="shared" si="2"/>
        <v>13.387517725469587</v>
      </c>
      <c r="R10" s="59">
        <f t="shared" si="0"/>
        <v>306.72085105880291</v>
      </c>
      <c r="S10" s="59">
        <f ca="1">AVERAGE(OFFSET($R$3,0,0,'Données projet'!$E$9+1,1))-AVERAGE(OFFSET($H$3,0,0,'Données projet'!$E$9+1,1))</f>
        <v>244.71206779102869</v>
      </c>
      <c r="T10" s="59">
        <f t="shared" si="34"/>
        <v>248.77995374147798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3.2692307692307692</v>
      </c>
      <c r="AI10" s="13">
        <f>IF('Données projet'!$A$62&gt;35,AI9+AH10-AQ9,IF(A10&lt;'Données projet'!$A$62,$AF$205^A10,IF(A10='Données projet'!$A$62,'Données projet'!$B$62,AI9+AH10-AQ9)))</f>
        <v>11.484495037276947</v>
      </c>
      <c r="AJ10" s="13">
        <f>AI10*VLOOKUP('Données projet'!$B$10,Paramètres!$A$1:$I$89,3,0)*VLOOKUP('Données projet'!$B$10,Paramètres!$A$1:$I$89,5,0)</f>
        <v>7.7037992710053755</v>
      </c>
      <c r="AK10" s="13">
        <f t="shared" si="35"/>
        <v>2.7992685579195422</v>
      </c>
      <c r="AL10" s="20">
        <f t="shared" si="4"/>
        <v>18.292843135377566</v>
      </c>
      <c r="AM10" s="59">
        <f t="shared" si="5"/>
        <v>311.62617646871087</v>
      </c>
      <c r="AN10" s="59">
        <f ca="1">AVERAGE(OFFSET($AM$3,0,0,'Données projet'!$E$10+1,1))-AVERAGE(OFFSET($H$3,0,0,'Données projet'!$E$10+1,1))</f>
        <v>177.71717275462748</v>
      </c>
      <c r="AO10" s="59">
        <f t="shared" si="36"/>
        <v>183.73714278300957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5.6905491020166261</v>
      </c>
      <c r="BF10" s="13">
        <f t="shared" si="37"/>
        <v>2.1419350323211908</v>
      </c>
      <c r="BG10" s="20">
        <f t="shared" si="7"/>
        <v>13.641576533971696</v>
      </c>
      <c r="BH10" s="59">
        <f t="shared" si="8"/>
        <v>306.97490986730503</v>
      </c>
      <c r="BI10" s="59">
        <f ca="1">AVERAGE(OFFSET($BH$3,0,0,'Données projet'!$E$11+1,1))-AVERAGE(OFFSET($H$3,0,0,'Données projet'!$E$11+1,1))</f>
        <v>325.66150195494157</v>
      </c>
      <c r="BJ10" s="59">
        <f t="shared" si="38"/>
        <v>429.07526815514467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7">
        <f t="shared" si="1"/>
        <v>309.97882658523747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4.333333333333333</v>
      </c>
      <c r="N11" s="13">
        <f>IF('Données projet'!$A$36&gt;35,N10+M11-V10,IF(A11&lt;'Données projet'!$A$36,$K$205^A11,IF(A11='Données projet'!$A$36,'Données projet'!$B$36,N10+M11-V10)))</f>
        <v>9.2658896452214261</v>
      </c>
      <c r="O11" s="13">
        <f>N11*VLOOKUP('Données projet'!$B$9,Paramètres!$A$1:$I$89,3,0)*VLOOKUP('Données projet'!$B$9,Paramètres!$A$1:$I$89,5,0)</f>
        <v>7.3719418017381662</v>
      </c>
      <c r="P11" s="13">
        <f t="shared" si="33"/>
        <v>2.6924486542908248</v>
      </c>
      <c r="Q11" s="20">
        <f t="shared" si="2"/>
        <v>17.528813377583827</v>
      </c>
      <c r="R11" s="59">
        <f t="shared" si="0"/>
        <v>310.86214671091716</v>
      </c>
      <c r="S11" s="59">
        <f ca="1">AVERAGE(OFFSET($R$3,0,0,'Données projet'!$E$9+1,1))-AVERAGE(OFFSET($H$3,0,0,'Données projet'!$E$9+1,1))</f>
        <v>244.71206779102869</v>
      </c>
      <c r="T11" s="59">
        <f t="shared" si="34"/>
        <v>248.77995374147798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3.2692307692307692</v>
      </c>
      <c r="AI11" s="13">
        <f>IF('Données projet'!$A$62&gt;35,AI10+AH11-AQ10,IF(A11&lt;'Données projet'!$A$62,$AF$205^A11,IF(A11='Données projet'!$A$62,'Données projet'!$B$62,AI10+AH11-AQ10)))</f>
        <v>16.276329088273204</v>
      </c>
      <c r="AJ11" s="13">
        <f>AI11*VLOOKUP('Données projet'!$B$10,Paramètres!$A$1:$I$89,3,0)*VLOOKUP('Données projet'!$B$10,Paramètres!$A$1:$I$89,5,0)</f>
        <v>10.918161552413665</v>
      </c>
      <c r="AK11" s="13">
        <f t="shared" si="35"/>
        <v>3.8094385934513699</v>
      </c>
      <c r="AL11" s="20">
        <f t="shared" si="4"/>
        <v>25.650570254048265</v>
      </c>
      <c r="AM11" s="59">
        <f t="shared" si="5"/>
        <v>318.98390358738158</v>
      </c>
      <c r="AN11" s="59">
        <f ca="1">AVERAGE(OFFSET($AM$3,0,0,'Données projet'!$E$10+1,1))-AVERAGE(OFFSET($H$3,0,0,'Données projet'!$E$10+1,1))</f>
        <v>177.71717275462748</v>
      </c>
      <c r="AO11" s="59">
        <f t="shared" si="36"/>
        <v>183.73714278300957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7.5164896802036214</v>
      </c>
      <c r="BF11" s="13">
        <f t="shared" si="37"/>
        <v>2.7390437979125086</v>
      </c>
      <c r="BG11" s="20">
        <f t="shared" si="7"/>
        <v>17.861720807718925</v>
      </c>
      <c r="BH11" s="59">
        <f t="shared" si="8"/>
        <v>311.19505414105225</v>
      </c>
      <c r="BI11" s="59">
        <f ca="1">AVERAGE(OFFSET($BH$3,0,0,'Données projet'!$E$11+1,1))-AVERAGE(OFFSET($H$3,0,0,'Données projet'!$E$11+1,1))</f>
        <v>325.66150195494157</v>
      </c>
      <c r="BJ11" s="59">
        <f t="shared" si="38"/>
        <v>429.07526815514467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7">
        <f t="shared" si="1"/>
        <v>311.99098874985827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4.333333333333333</v>
      </c>
      <c r="N12" s="13">
        <f>IF('Données projet'!$A$36&gt;35,N11+M12-V11,IF(A12&lt;'Données projet'!$A$36,$K$205^A12,IF(A12='Données projet'!$A$36,'Données projet'!$B$36,N11+M12-V11)))</f>
        <v>12.23905859480781</v>
      </c>
      <c r="O12" s="13">
        <f>N12*VLOOKUP('Données projet'!$B$9,Paramètres!$A$1:$I$89,3,0)*VLOOKUP('Données projet'!$B$9,Paramètres!$A$1:$I$89,5,0)</f>
        <v>9.737395018029094</v>
      </c>
      <c r="P12" s="13">
        <f t="shared" si="33"/>
        <v>3.4430244972188757</v>
      </c>
      <c r="Q12" s="20">
        <f t="shared" si="2"/>
        <v>22.955897322390214</v>
      </c>
      <c r="R12" s="59">
        <f t="shared" si="0"/>
        <v>316.28923065572354</v>
      </c>
      <c r="S12" s="59">
        <f ca="1">AVERAGE(OFFSET($R$3,0,0,'Données projet'!$E$9+1,1))-AVERAGE(OFFSET($H$3,0,0,'Données projet'!$E$9+1,1))</f>
        <v>244.71206779102869</v>
      </c>
      <c r="T12" s="59">
        <f t="shared" si="34"/>
        <v>248.77995374147798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3.2692307692307692</v>
      </c>
      <c r="AI12" s="13">
        <f>IF('Données projet'!$A$62&gt;35,AI11+AH12-AQ11,IF(A12&lt;'Données projet'!$A$62,$AF$205^A12,IF(A12='Données projet'!$A$62,'Données projet'!$B$62,AI11+AH12-AQ11)))</f>
        <v>23.067526062737759</v>
      </c>
      <c r="AJ12" s="13">
        <f>AI12*VLOOKUP('Données projet'!$B$10,Paramètres!$A$1:$I$89,3,0)*VLOOKUP('Données projet'!$B$10,Paramètres!$A$1:$I$89,5,0)</f>
        <v>15.473696482884488</v>
      </c>
      <c r="AK12" s="13">
        <f t="shared" si="35"/>
        <v>5.1841479647319577</v>
      </c>
      <c r="AL12" s="20">
        <f t="shared" si="4"/>
        <v>35.979079079598641</v>
      </c>
      <c r="AM12" s="59">
        <f t="shared" si="5"/>
        <v>329.31241241293196</v>
      </c>
      <c r="AN12" s="59">
        <f ca="1">AVERAGE(OFFSET($AM$3,0,0,'Données projet'!$E$10+1,1))-AVERAGE(OFFSET($H$3,0,0,'Données projet'!$E$10+1,1))</f>
        <v>177.71717275462748</v>
      </c>
      <c r="AO12" s="59">
        <f t="shared" si="36"/>
        <v>183.73714278300957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9.9283243321080956</v>
      </c>
      <c r="BF12" s="13">
        <f t="shared" si="37"/>
        <v>3.5026090024554843</v>
      </c>
      <c r="BG12" s="20">
        <f t="shared" si="7"/>
        <v>23.392208891031569</v>
      </c>
      <c r="BH12" s="59">
        <f t="shared" si="8"/>
        <v>316.72554222436486</v>
      </c>
      <c r="BI12" s="59">
        <f ca="1">AVERAGE(OFFSET($BH$3,0,0,'Données projet'!$E$11+1,1))-AVERAGE(OFFSET($H$3,0,0,'Données projet'!$E$11+1,1))</f>
        <v>325.66150195494157</v>
      </c>
      <c r="BJ12" s="59">
        <f t="shared" si="38"/>
        <v>429.07526815514467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7">
        <f t="shared" si="1"/>
        <v>313.99683242457326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4.333333333333333</v>
      </c>
      <c r="N13" s="13">
        <f>IF('Données projet'!$A$36&gt;35,N12+M13-V12,IF(A13&lt;'Données projet'!$A$36,$K$205^A13,IF(A13='Données projet'!$A$36,'Données projet'!$B$36,N12+M13-V12)))</f>
        <v>16.166235625781542</v>
      </c>
      <c r="O13" s="13">
        <f>N13*VLOOKUP('Données projet'!$B$9,Paramètres!$A$1:$I$89,3,0)*VLOOKUP('Données projet'!$B$9,Paramètres!$A$1:$I$89,5,0)</f>
        <v>12.861857063871796</v>
      </c>
      <c r="P13" s="13">
        <f t="shared" si="33"/>
        <v>4.4028389063455258</v>
      </c>
      <c r="Q13" s="20">
        <f t="shared" si="2"/>
        <v>30.069345481461834</v>
      </c>
      <c r="R13" s="59">
        <f t="shared" si="0"/>
        <v>323.40267881479514</v>
      </c>
      <c r="S13" s="59">
        <f ca="1">AVERAGE(OFFSET($R$3,0,0,'Données projet'!$E$9+1,1))-AVERAGE(OFFSET($H$3,0,0,'Données projet'!$E$9+1,1))</f>
        <v>244.71206779102869</v>
      </c>
      <c r="T13" s="59">
        <f t="shared" si="34"/>
        <v>248.77995374147798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32.692307692307693</v>
      </c>
      <c r="AG13" s="12">
        <f>VLOOKUP(A13,'Données projet'!$A$61:$I$81,9,0)</f>
        <v>3.2692307692307692</v>
      </c>
      <c r="AH13" s="12">
        <f t="array" ref="AH13">INDEX(AG:AG,MIN(IF(ISNUMBER(AG13:AG209),ROW(AG13:AG209),"")))</f>
        <v>3.2692307692307692</v>
      </c>
      <c r="AI13" s="13">
        <f>IF('Données projet'!$A$62&gt;35,AI12+AH13-AQ12,IF(A13&lt;'Données projet'!$A$62,$AF$205^A13,IF(A13='Données projet'!$A$62,'Données projet'!$B$62,AI12+AH13-AQ12)))</f>
        <v>32.692307692307693</v>
      </c>
      <c r="AJ13" s="13">
        <f>AI13*VLOOKUP('Données projet'!$B$10,Paramètres!$A$1:$I$89,3,0)*VLOOKUP('Données projet'!$B$10,Paramètres!$A$1:$I$89,5,0)</f>
        <v>21.930000000000003</v>
      </c>
      <c r="AK13" s="13">
        <f t="shared" si="35"/>
        <v>7.0549477202322466</v>
      </c>
      <c r="AL13" s="20">
        <f t="shared" si="4"/>
        <v>50.482117279404498</v>
      </c>
      <c r="AM13" s="59">
        <f t="shared" si="5"/>
        <v>343.81545061273783</v>
      </c>
      <c r="AN13" s="59">
        <f ca="1">AVERAGE(OFFSET($AM$3,0,0,'Données projet'!$E$10+1,1))-AVERAGE(OFFSET($H$3,0,0,'Données projet'!$E$10+1,1))</f>
        <v>177.71717275462748</v>
      </c>
      <c r="AO13" s="59">
        <f t="shared" si="36"/>
        <v>183.73714278300957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12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13.114050339633989</v>
      </c>
      <c r="BF13" s="13">
        <f t="shared" si="37"/>
        <v>4.479033826853061</v>
      </c>
      <c r="BG13" s="20">
        <f t="shared" si="7"/>
        <v>30.641288256631608</v>
      </c>
      <c r="BH13" s="59">
        <f t="shared" si="8"/>
        <v>323.9746215899649</v>
      </c>
      <c r="BI13" s="59">
        <f ca="1">AVERAGE(OFFSET($BH$3,0,0,'Données projet'!$E$11+1,1))-AVERAGE(OFFSET($H$3,0,0,'Données projet'!$E$11+1,1))</f>
        <v>325.66150195494157</v>
      </c>
      <c r="BJ13" s="59">
        <f t="shared" si="38"/>
        <v>429.07526815514467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7">
        <f t="shared" si="1"/>
        <v>315.99706138625186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4.333333333333333</v>
      </c>
      <c r="N14" s="13">
        <f>IF('Données projet'!$A$36&gt;35,N13+M14-V13,IF(A14&lt;'Données projet'!$A$36,$K$205^A14,IF(A14='Données projet'!$A$36,'Données projet'!$B$36,N13+M14-V13)))</f>
        <v>21.353535673010011</v>
      </c>
      <c r="O14" s="13">
        <f>N14*VLOOKUP('Données projet'!$B$9,Paramètres!$A$1:$I$89,3,0)*VLOOKUP('Données projet'!$B$9,Paramètres!$A$1:$I$89,5,0)</f>
        <v>16.988872981446764</v>
      </c>
      <c r="P14" s="13">
        <f t="shared" si="33"/>
        <v>5.6302214668783828</v>
      </c>
      <c r="Q14" s="20">
        <f t="shared" si="2"/>
        <v>39.394922830832961</v>
      </c>
      <c r="R14" s="59">
        <f t="shared" si="0"/>
        <v>332.72825616416628</v>
      </c>
      <c r="S14" s="59">
        <f ca="1">AVERAGE(OFFSET($R$3,0,0,'Données projet'!$E$9+1,1))-AVERAGE(OFFSET($H$3,0,0,'Données projet'!$E$9+1,1))</f>
        <v>244.71206779102869</v>
      </c>
      <c r="T14" s="59">
        <f t="shared" si="34"/>
        <v>248.77995374147798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9.9641025641025642</v>
      </c>
      <c r="AI14" s="13">
        <f>IF('Données projet'!$A$62&gt;35,AI13+AH14-AQ13,IF(A14&lt;'Données projet'!$A$62,$AF$205^A14,IF(A14='Données projet'!$A$62,'Données projet'!$B$62,AI13+AH14-AQ13)))</f>
        <v>30.656410256410254</v>
      </c>
      <c r="AJ14" s="13">
        <f>AI14*VLOOKUP('Données projet'!$B$10,Paramètres!$A$1:$I$89,3,0)*VLOOKUP('Données projet'!$B$10,Paramètres!$A$1:$I$89,5,0)</f>
        <v>20.564319999999999</v>
      </c>
      <c r="AK14" s="13">
        <f t="shared" si="35"/>
        <v>6.6653031611778246</v>
      </c>
      <c r="AL14" s="20">
        <f t="shared" si="4"/>
        <v>47.42492700571804</v>
      </c>
      <c r="AM14" s="59">
        <f t="shared" si="5"/>
        <v>340.75826033905133</v>
      </c>
      <c r="AN14" s="59">
        <f ca="1">AVERAGE(OFFSET($AM$3,0,0,'Données projet'!$E$10+1,1))-AVERAGE(OFFSET($H$3,0,0,'Données projet'!$E$10+1,1))</f>
        <v>177.71717275462748</v>
      </c>
      <c r="AO14" s="59">
        <f t="shared" si="36"/>
        <v>183.73714278300957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17.32198813794572</v>
      </c>
      <c r="BF14" s="13">
        <f t="shared" si="37"/>
        <v>5.7276573000382847</v>
      </c>
      <c r="BG14" s="20">
        <f t="shared" si="7"/>
        <v>40.14479913782214</v>
      </c>
      <c r="BH14" s="59">
        <f t="shared" si="8"/>
        <v>333.47813247115545</v>
      </c>
      <c r="BI14" s="59">
        <f ca="1">AVERAGE(OFFSET($BH$3,0,0,'Données projet'!$E$11+1,1))-AVERAGE(OFFSET($H$3,0,0,'Données projet'!$E$11+1,1))</f>
        <v>325.66150195494157</v>
      </c>
      <c r="BJ14" s="59">
        <f t="shared" si="38"/>
        <v>429.07526815514467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7">
        <f t="shared" si="1"/>
        <v>317.99224411300077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4.333333333333333</v>
      </c>
      <c r="N15" s="13">
        <f>IF('Données projet'!$A$36&gt;35,N14+M15-V14,IF(A15&lt;'Données projet'!$A$36,$K$205^A15,IF(A15='Données projet'!$A$36,'Données projet'!$B$36,N14+M15-V14)))</f>
        <v>28.205297528345746</v>
      </c>
      <c r="O15" s="13">
        <f>N15*VLOOKUP('Données projet'!$B$9,Paramètres!$A$1:$I$89,3,0)*VLOOKUP('Données projet'!$B$9,Paramètres!$A$1:$I$89,5,0)</f>
        <v>22.440134713551878</v>
      </c>
      <c r="P15" s="13">
        <f t="shared" si="33"/>
        <v>7.1997623443392129</v>
      </c>
      <c r="Q15" s="20">
        <f t="shared" si="2"/>
        <v>51.622820709160315</v>
      </c>
      <c r="R15" s="59">
        <f t="shared" si="0"/>
        <v>344.95615404249361</v>
      </c>
      <c r="S15" s="59">
        <f ca="1">AVERAGE(OFFSET($R$3,0,0,'Données projet'!$E$9+1,1))-AVERAGE(OFFSET($H$3,0,0,'Données projet'!$E$9+1,1))</f>
        <v>244.71206779102869</v>
      </c>
      <c r="T15" s="59">
        <f t="shared" si="34"/>
        <v>248.77995374147798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9.9641025641025642</v>
      </c>
      <c r="AI15" s="13">
        <f>IF('Données projet'!$A$62&gt;35,AI14+AH15-AQ14,IF(A15&lt;'Données projet'!$A$62,$AF$205^A15,IF(A15='Données projet'!$A$62,'Données projet'!$B$62,AI14+AH15-AQ14)))</f>
        <v>40.620512820512815</v>
      </c>
      <c r="AJ15" s="13">
        <f>AI15*VLOOKUP('Données projet'!$B$10,Paramètres!$A$1:$I$89,3,0)*VLOOKUP('Données projet'!$B$10,Paramètres!$A$1:$I$89,5,0)</f>
        <v>27.248239999999999</v>
      </c>
      <c r="AK15" s="13">
        <f t="shared" si="35"/>
        <v>8.5470673165584401</v>
      </c>
      <c r="AL15" s="20">
        <f t="shared" si="4"/>
        <v>62.343493576339263</v>
      </c>
      <c r="AM15" s="59">
        <f t="shared" si="5"/>
        <v>355.67682690967257</v>
      </c>
      <c r="AN15" s="59">
        <f ca="1">AVERAGE(OFFSET($AM$3,0,0,'Données projet'!$E$10+1,1))-AVERAGE(OFFSET($H$3,0,0,'Données projet'!$E$10+1,1))</f>
        <v>177.71717275462748</v>
      </c>
      <c r="AO15" s="59">
        <f t="shared" si="36"/>
        <v>183.73714278300957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22.880137354994069</v>
      </c>
      <c r="BF15" s="13">
        <f t="shared" si="37"/>
        <v>7.3243604346098863</v>
      </c>
      <c r="BG15" s="20">
        <f t="shared" si="7"/>
        <v>52.606166983560222</v>
      </c>
      <c r="BH15" s="59">
        <f t="shared" si="8"/>
        <v>345.93950031689354</v>
      </c>
      <c r="BI15" s="59">
        <f ca="1">AVERAGE(OFFSET($BH$3,0,0,'Données projet'!$E$11+1,1))-AVERAGE(OFFSET($H$3,0,0,'Données projet'!$E$11+1,1))</f>
        <v>325.66150195494157</v>
      </c>
      <c r="BJ15" s="59">
        <f t="shared" si="38"/>
        <v>429.07526815514467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7">
        <f t="shared" si="1"/>
        <v>319.98284893373898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4.333333333333333</v>
      </c>
      <c r="N16" s="13">
        <f>IF('Données projet'!$A$36&gt;35,N15+M16-V15,IF(A16&lt;'Données projet'!$A$36,$K$205^A16,IF(A16='Données projet'!$A$36,'Données projet'!$B$36,N15+M16-V15)))</f>
        <v>37.255601172785397</v>
      </c>
      <c r="O16" s="13">
        <f>N16*VLOOKUP('Données projet'!$B$9,Paramètres!$A$1:$I$89,3,0)*VLOOKUP('Données projet'!$B$9,Paramètres!$A$1:$I$89,5,0)</f>
        <v>29.640556293068066</v>
      </c>
      <c r="P16" s="13">
        <f t="shared" si="33"/>
        <v>9.2068452582035114</v>
      </c>
      <c r="Q16" s="20">
        <f t="shared" si="2"/>
        <v>67.659224368464649</v>
      </c>
      <c r="R16" s="59">
        <f t="shared" si="0"/>
        <v>360.99255770179798</v>
      </c>
      <c r="S16" s="59">
        <f ca="1">AVERAGE(OFFSET($R$3,0,0,'Données projet'!$E$9+1,1))-AVERAGE(OFFSET($H$3,0,0,'Données projet'!$E$9+1,1))</f>
        <v>244.71206779102869</v>
      </c>
      <c r="T16" s="59">
        <f t="shared" si="34"/>
        <v>248.77995374147798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9.9641025641025642</v>
      </c>
      <c r="AI16" s="13">
        <f>IF('Données projet'!$A$62&gt;35,AI15+AH16-AQ15,IF(A16&lt;'Données projet'!$A$62,$AF$205^A16,IF(A16='Données projet'!$A$62,'Données projet'!$B$62,AI15+AH16-AQ15)))</f>
        <v>50.584615384615375</v>
      </c>
      <c r="AJ16" s="13">
        <f>AI16*VLOOKUP('Données projet'!$B$10,Paramètres!$A$1:$I$89,3,0)*VLOOKUP('Données projet'!$B$10,Paramètres!$A$1:$I$89,5,0)</f>
        <v>33.932159999999996</v>
      </c>
      <c r="AK16" s="13">
        <f t="shared" si="35"/>
        <v>10.375293516169901</v>
      </c>
      <c r="AL16" s="20">
        <f t="shared" si="4"/>
        <v>77.168814873995913</v>
      </c>
      <c r="AM16" s="59">
        <f t="shared" si="5"/>
        <v>370.50214820732924</v>
      </c>
      <c r="AN16" s="59">
        <f ca="1">AVERAGE(OFFSET($AM$3,0,0,'Données projet'!$E$10+1,1))-AVERAGE(OFFSET($H$3,0,0,'Données projet'!$E$10+1,1))</f>
        <v>177.71717275462748</v>
      </c>
      <c r="AO16" s="59">
        <f t="shared" si="36"/>
        <v>183.73714278300957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30.221743671363516</v>
      </c>
      <c r="BF16" s="13">
        <f t="shared" si="37"/>
        <v>9.3661776474860101</v>
      </c>
      <c r="BG16" s="20">
        <f t="shared" si="7"/>
        <v>68.948962963662908</v>
      </c>
      <c r="BH16" s="59">
        <f t="shared" si="8"/>
        <v>362.28229629699621</v>
      </c>
      <c r="BI16" s="59">
        <f ca="1">AVERAGE(OFFSET($BH$3,0,0,'Données projet'!$E$11+1,1))-AVERAGE(OFFSET($H$3,0,0,'Données projet'!$E$11+1,1))</f>
        <v>325.66150195494157</v>
      </c>
      <c r="BJ16" s="59">
        <f t="shared" si="38"/>
        <v>429.07526815514467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7">
        <f t="shared" si="1"/>
        <v>321.96926803384446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4.333333333333333</v>
      </c>
      <c r="N17" s="13">
        <f>IF('Données projet'!$A$36&gt;35,N16+M17-V16,IF(A17&lt;'Données projet'!$A$36,$K$205^A17,IF(A17='Données projet'!$A$36,'Données projet'!$B$36,N16+M17-V16)))</f>
        <v>49.209898153024547</v>
      </c>
      <c r="O17" s="13">
        <f>N17*VLOOKUP('Données projet'!$B$9,Paramètres!$A$1:$I$89,3,0)*VLOOKUP('Données projet'!$B$9,Paramètres!$A$1:$I$89,5,0)</f>
        <v>39.151394970546335</v>
      </c>
      <c r="P17" s="13">
        <f t="shared" si="33"/>
        <v>11.773444115853561</v>
      </c>
      <c r="Q17" s="20">
        <f t="shared" si="2"/>
        <v>88.69409474214649</v>
      </c>
      <c r="R17" s="59">
        <f t="shared" si="0"/>
        <v>382.0274280754798</v>
      </c>
      <c r="S17" s="59">
        <f ca="1">AVERAGE(OFFSET($R$3,0,0,'Données projet'!$E$9+1,1))-AVERAGE(OFFSET($H$3,0,0,'Données projet'!$E$9+1,1))</f>
        <v>244.71206779102869</v>
      </c>
      <c r="T17" s="59">
        <f t="shared" si="34"/>
        <v>248.77995374147798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9.9641025641025642</v>
      </c>
      <c r="AI17" s="13">
        <f>IF('Données projet'!$A$62&gt;35,AI16+AH17-AQ16,IF(A17&lt;'Données projet'!$A$62,$AF$205^A17,IF(A17='Données projet'!$A$62,'Données projet'!$B$62,AI16+AH17-AQ16)))</f>
        <v>60.548717948717936</v>
      </c>
      <c r="AJ17" s="13">
        <f>AI17*VLOOKUP('Données projet'!$B$10,Paramètres!$A$1:$I$89,3,0)*VLOOKUP('Données projet'!$B$10,Paramètres!$A$1:$I$89,5,0)</f>
        <v>40.616079999999997</v>
      </c>
      <c r="AK17" s="13">
        <f t="shared" si="35"/>
        <v>12.161793436331418</v>
      </c>
      <c r="AL17" s="20">
        <f t="shared" si="4"/>
        <v>91.921462901610539</v>
      </c>
      <c r="AM17" s="59">
        <f t="shared" si="5"/>
        <v>385.25479623494385</v>
      </c>
      <c r="AN17" s="59">
        <f ca="1">AVERAGE(OFFSET($AM$3,0,0,'Données projet'!$E$10+1,1))-AVERAGE(OFFSET($H$3,0,0,'Données projet'!$E$10+1,1))</f>
        <v>177.71717275462748</v>
      </c>
      <c r="AO17" s="59">
        <f t="shared" si="36"/>
        <v>183.73714278300957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39.919069381733514</v>
      </c>
      <c r="BF17" s="13">
        <f t="shared" si="37"/>
        <v>11.977193709601915</v>
      </c>
      <c r="BG17" s="20">
        <f t="shared" si="7"/>
        <v>90.385991550742531</v>
      </c>
      <c r="BH17" s="59">
        <f t="shared" si="8"/>
        <v>383.71932488407583</v>
      </c>
      <c r="BI17" s="59">
        <f ca="1">AVERAGE(OFFSET($BH$3,0,0,'Données projet'!$E$11+1,1))-AVERAGE(OFFSET($H$3,0,0,'Données projet'!$E$11+1,1))</f>
        <v>325.66150195494157</v>
      </c>
      <c r="BJ17" s="59">
        <f t="shared" si="38"/>
        <v>429.07526815514467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7">
        <f t="shared" si="1"/>
        <v>323.95183439748814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65</v>
      </c>
      <c r="L18" s="12">
        <f>VLOOKUP(A18,'Données projet'!$A$35:$I$55,9,0)</f>
        <v>4.333333333333333</v>
      </c>
      <c r="M18" s="12">
        <f t="array" ref="M18">INDEX(L:L,MIN(IF(ISNUMBER(L18:L214),ROW(L18:L214),"")))</f>
        <v>4.333333333333333</v>
      </c>
      <c r="N18" s="13">
        <f>IF('Données projet'!$A$36&gt;35,N17+M18-V17,IF(A18&lt;'Données projet'!$A$36,$K$205^A18,IF(A18='Données projet'!$A$36,'Données projet'!$B$36,N17+M18-V17)))</f>
        <v>65</v>
      </c>
      <c r="O18" s="13">
        <f>N18*VLOOKUP('Données projet'!$B$9,Paramètres!$A$1:$I$89,3,0)*VLOOKUP('Données projet'!$B$9,Paramètres!$A$1:$I$89,5,0)</f>
        <v>51.713999999999999</v>
      </c>
      <c r="P18" s="13">
        <f t="shared" si="33"/>
        <v>15.055535578337075</v>
      </c>
      <c r="Q18" s="20">
        <f t="shared" si="2"/>
        <v>116.29027446560372</v>
      </c>
      <c r="R18" s="59">
        <f t="shared" si="0"/>
        <v>409.62360779893703</v>
      </c>
      <c r="S18" s="59">
        <f ca="1">AVERAGE(OFFSET($R$3,0,0,'Données projet'!$E$9+1,1))-AVERAGE(OFFSET($H$3,0,0,'Données projet'!$E$9+1,1))</f>
        <v>244.71206779102869</v>
      </c>
      <c r="T18" s="59">
        <f t="shared" si="34"/>
        <v>248.77995374147798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70.512820512820511</v>
      </c>
      <c r="AG18" s="12">
        <f>VLOOKUP(A18,'Données projet'!$A$61:$I$81,9,0)</f>
        <v>9.9641025641025642</v>
      </c>
      <c r="AH18" s="12">
        <f t="array" ref="AH18">INDEX(AG:AG,MIN(IF(ISNUMBER(AG18:AG214),ROW(AG18:AG214),"")))</f>
        <v>9.9641025641025642</v>
      </c>
      <c r="AI18" s="13">
        <f>IF('Données projet'!$A$62&gt;35,AI17+AH18-AQ17,IF(A18&lt;'Données projet'!$A$62,$AF$205^A18,IF(A18='Données projet'!$A$62,'Données projet'!$B$62,AI17+AH18-AQ17)))</f>
        <v>70.512820512820497</v>
      </c>
      <c r="AJ18" s="13">
        <f>AI18*VLOOKUP('Données projet'!$B$10,Paramètres!$A$1:$I$89,3,0)*VLOOKUP('Données projet'!$B$10,Paramètres!$A$1:$I$89,5,0)</f>
        <v>47.29999999999999</v>
      </c>
      <c r="AK18" s="13">
        <f t="shared" si="35"/>
        <v>13.914236117024528</v>
      </c>
      <c r="AL18" s="20">
        <f t="shared" si="4"/>
        <v>106.61479457048438</v>
      </c>
      <c r="AM18" s="59">
        <f t="shared" si="5"/>
        <v>399.94812790381769</v>
      </c>
      <c r="AN18" s="59">
        <f ca="1">AVERAGE(OFFSET($AM$3,0,0,'Données projet'!$E$10+1,1))-AVERAGE(OFFSET($H$3,0,0,'Données projet'!$E$10+1,1))</f>
        <v>177.71717275462748</v>
      </c>
      <c r="AO18" s="59">
        <f t="shared" si="36"/>
        <v>183.73714278300957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22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52.728000000000009</v>
      </c>
      <c r="BF18" s="13">
        <f t="shared" si="37"/>
        <v>15.316084592505286</v>
      </c>
      <c r="BG18" s="20">
        <f t="shared" si="7"/>
        <v>118.51011399861339</v>
      </c>
      <c r="BH18" s="59">
        <f t="shared" si="8"/>
        <v>411.84344733194672</v>
      </c>
      <c r="BI18" s="59">
        <f ca="1">AVERAGE(OFFSET($BH$3,0,0,'Données projet'!$E$11+1,1))-AVERAGE(OFFSET($H$3,0,0,'Données projet'!$E$11+1,1))</f>
        <v>325.66150195494157</v>
      </c>
      <c r="BJ18" s="59">
        <f t="shared" si="38"/>
        <v>429.07526815514467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7">
        <f t="shared" si="1"/>
        <v>325.93083409915766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13.8</v>
      </c>
      <c r="N19" s="13">
        <f>IF('Données projet'!$A$36&gt;35,N18+M19-V18,IF(A19&lt;'Données projet'!$A$36,$K$205^A19,IF(A19='Données projet'!$A$36,'Données projet'!$B$36,N18+M19-V18)))</f>
        <v>46.8</v>
      </c>
      <c r="O19" s="13">
        <f>N19*VLOOKUP('Données projet'!$B$9,Paramètres!$A$1:$I$89,3,0)*VLOOKUP('Données projet'!$B$9,Paramètres!$A$1:$I$89,5,0)</f>
        <v>37.234079999999999</v>
      </c>
      <c r="P19" s="13">
        <f t="shared" si="33"/>
        <v>11.262510356679771</v>
      </c>
      <c r="Q19" s="20">
        <f t="shared" si="2"/>
        <v>84.464894871217254</v>
      </c>
      <c r="R19" s="59">
        <f t="shared" si="0"/>
        <v>377.79822820455058</v>
      </c>
      <c r="S19" s="59">
        <f ca="1">AVERAGE(OFFSET($R$3,0,0,'Données projet'!$E$9+1,1))-AVERAGE(OFFSET($H$3,0,0,'Données projet'!$E$9+1,1))</f>
        <v>244.71206779102869</v>
      </c>
      <c r="T19" s="59">
        <f t="shared" si="34"/>
        <v>248.77995374147798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11.579487179487179</v>
      </c>
      <c r="AI19" s="13">
        <f>IF('Données projet'!$A$62&gt;35,AI18+AH19-AQ18,IF(A19&lt;'Données projet'!$A$62,$AF$205^A19,IF(A19='Données projet'!$A$62,'Données projet'!$B$62,AI18+AH19-AQ18)))</f>
        <v>60.092307692307671</v>
      </c>
      <c r="AJ19" s="13">
        <f>AI19*VLOOKUP('Données projet'!$B$10,Paramètres!$A$1:$I$89,3,0)*VLOOKUP('Données projet'!$B$10,Paramètres!$A$1:$I$89,5,0)</f>
        <v>40.309919999999991</v>
      </c>
      <c r="AK19" s="13">
        <f t="shared" si="35"/>
        <v>12.080754301567579</v>
      </c>
      <c r="AL19" s="20">
        <f t="shared" si="4"/>
        <v>91.247091075230173</v>
      </c>
      <c r="AM19" s="59">
        <f t="shared" si="5"/>
        <v>384.58042440856349</v>
      </c>
      <c r="AN19" s="59">
        <f ca="1">AVERAGE(OFFSET($AM$3,0,0,'Données projet'!$E$10+1,1))-AVERAGE(OFFSET($H$3,0,0,'Données projet'!$E$10+1,1))</f>
        <v>177.71717275462748</v>
      </c>
      <c r="AO19" s="59">
        <f t="shared" si="36"/>
        <v>183.73714278300957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13.6</v>
      </c>
      <c r="BD19" s="12">
        <f>IF('Données projet'!$A$88&gt;35,BD18+BC19-BL18,IF(A19&lt;'Données projet'!$A$88,$BA$205^A19,IF(A19='Données projet'!$A$88,'Données projet'!$B$88,BD18+BC19-BL18)))</f>
        <v>78.599999999999994</v>
      </c>
      <c r="BE19" s="13">
        <f>BD19*VLOOKUP('Données projet'!$B$11,Paramètres!$A$1:$I$89,3,0)*VLOOKUP('Données projet'!$B$11,Paramètres!$A$1:$I$89,5,0)</f>
        <v>63.76032</v>
      </c>
      <c r="BF19" s="13">
        <f t="shared" si="37"/>
        <v>18.115606397817565</v>
      </c>
      <c r="BG19" s="20">
        <f t="shared" si="7"/>
        <v>142.60057180953225</v>
      </c>
      <c r="BH19" s="59">
        <f t="shared" si="8"/>
        <v>435.93390514286557</v>
      </c>
      <c r="BI19" s="59">
        <f ca="1">AVERAGE(OFFSET($BH$3,0,0,'Données projet'!$E$11+1,1))-AVERAGE(OFFSET($H$3,0,0,'Données projet'!$E$11+1,1))</f>
        <v>325.66150195494157</v>
      </c>
      <c r="BJ19" s="59">
        <f t="shared" si="38"/>
        <v>429.07526815514467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7">
        <f t="shared" si="1"/>
        <v>327.90651543290716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13.8</v>
      </c>
      <c r="N20" s="13">
        <f>IF('Données projet'!$A$36&gt;35,N19+M20-V19,IF(A20&lt;'Données projet'!$A$36,$K$205^A20,IF(A20='Données projet'!$A$36,'Données projet'!$B$36,N19+M20-V19)))</f>
        <v>60.599999999999994</v>
      </c>
      <c r="O20" s="13">
        <f>N20*VLOOKUP('Données projet'!$B$9,Paramètres!$A$1:$I$89,3,0)*VLOOKUP('Données projet'!$B$9,Paramètres!$A$1:$I$89,5,0)</f>
        <v>48.213360000000002</v>
      </c>
      <c r="P20" s="13">
        <f t="shared" si="33"/>
        <v>14.151379520104694</v>
      </c>
      <c r="Q20" s="20">
        <f t="shared" si="2"/>
        <v>108.61858799751566</v>
      </c>
      <c r="R20" s="59">
        <f t="shared" si="0"/>
        <v>401.95192133084896</v>
      </c>
      <c r="S20" s="59">
        <f ca="1">AVERAGE(OFFSET($R$3,0,0,'Données projet'!$E$9+1,1))-AVERAGE(OFFSET($H$3,0,0,'Données projet'!$E$9+1,1))</f>
        <v>244.71206779102869</v>
      </c>
      <c r="T20" s="59">
        <f t="shared" si="34"/>
        <v>248.77995374147798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11.579487179487179</v>
      </c>
      <c r="AI20" s="13">
        <f>IF('Données projet'!$A$62&gt;35,AI19+AH20-AQ19,IF(A20&lt;'Données projet'!$A$62,$AF$205^A20,IF(A20='Données projet'!$A$62,'Données projet'!$B$62,AI19+AH20-AQ19)))</f>
        <v>71.671794871794845</v>
      </c>
      <c r="AJ20" s="13">
        <f>AI20*VLOOKUP('Données projet'!$B$10,Paramètres!$A$1:$I$89,3,0)*VLOOKUP('Données projet'!$B$10,Paramètres!$A$1:$I$89,5,0)</f>
        <v>48.077439999999982</v>
      </c>
      <c r="AK20" s="13">
        <f t="shared" si="35"/>
        <v>14.116122810541272</v>
      </c>
      <c r="AL20" s="20">
        <f t="shared" si="4"/>
        <v>108.32045522835934</v>
      </c>
      <c r="AM20" s="59">
        <f t="shared" si="5"/>
        <v>401.65378856169264</v>
      </c>
      <c r="AN20" s="59">
        <f ca="1">AVERAGE(OFFSET($AM$3,0,0,'Données projet'!$E$10+1,1))-AVERAGE(OFFSET($H$3,0,0,'Données projet'!$E$10+1,1))</f>
        <v>177.71717275462748</v>
      </c>
      <c r="AO20" s="59">
        <f t="shared" si="36"/>
        <v>183.73714278300957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13.6</v>
      </c>
      <c r="BD20" s="12">
        <f>IF('Données projet'!$A$88&gt;35,BD19+BC20-BL19,IF(A20&lt;'Données projet'!$A$88,$BA$205^A20,IF(A20='Données projet'!$A$88,'Données projet'!$B$88,BD19+BC20-BL19)))</f>
        <v>92.199999999999989</v>
      </c>
      <c r="BE20" s="13">
        <f>BD20*VLOOKUP('Données projet'!$B$11,Paramètres!$A$1:$I$89,3,0)*VLOOKUP('Données projet'!$B$11,Paramètres!$A$1:$I$89,5,0)</f>
        <v>74.792639999999992</v>
      </c>
      <c r="BF20" s="13">
        <f t="shared" si="37"/>
        <v>20.859013071216385</v>
      </c>
      <c r="BG20" s="20">
        <f t="shared" si="7"/>
        <v>166.59329576570184</v>
      </c>
      <c r="BH20" s="59">
        <f t="shared" si="8"/>
        <v>459.92662909903515</v>
      </c>
      <c r="BI20" s="59">
        <f ca="1">AVERAGE(OFFSET($BH$3,0,0,'Données projet'!$E$11+1,1))-AVERAGE(OFFSET($H$3,0,0,'Données projet'!$E$11+1,1))</f>
        <v>325.66150195494157</v>
      </c>
      <c r="BJ20" s="59">
        <f t="shared" si="38"/>
        <v>429.07526815514467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7">
        <f t="shared" si="1"/>
        <v>329.87909583157108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13.8</v>
      </c>
      <c r="N21" s="13">
        <f>IF('Données projet'!$A$36&gt;35,N20+M21-V20,IF(A21&lt;'Données projet'!$A$36,$K$205^A21,IF(A21='Données projet'!$A$36,'Données projet'!$B$36,N20+M21-V20)))</f>
        <v>74.399999999999991</v>
      </c>
      <c r="O21" s="13">
        <f>N21*VLOOKUP('Données projet'!$B$9,Paramètres!$A$1:$I$89,3,0)*VLOOKUP('Données projet'!$B$9,Paramètres!$A$1:$I$89,5,0)</f>
        <v>59.192639999999997</v>
      </c>
      <c r="P21" s="13">
        <f t="shared" si="33"/>
        <v>16.963982408330725</v>
      </c>
      <c r="Q21" s="20">
        <f t="shared" si="2"/>
        <v>132.63945069450935</v>
      </c>
      <c r="R21" s="59">
        <f t="shared" si="0"/>
        <v>425.97278402784264</v>
      </c>
      <c r="S21" s="59">
        <f ca="1">AVERAGE(OFFSET($R$3,0,0,'Données projet'!$E$9+1,1))-AVERAGE(OFFSET($H$3,0,0,'Données projet'!$E$9+1,1))</f>
        <v>244.71206779102869</v>
      </c>
      <c r="T21" s="59">
        <f t="shared" si="34"/>
        <v>248.77995374147798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11.579487179487179</v>
      </c>
      <c r="AI21" s="13">
        <f>IF('Données projet'!$A$62&gt;35,AI20+AH21-AQ20,IF(A21&lt;'Données projet'!$A$62,$AF$205^A21,IF(A21='Données projet'!$A$62,'Données projet'!$B$62,AI20+AH21-AQ20)))</f>
        <v>83.251282051282018</v>
      </c>
      <c r="AJ21" s="13">
        <f>AI21*VLOOKUP('Données projet'!$B$10,Paramètres!$A$1:$I$89,3,0)*VLOOKUP('Données projet'!$B$10,Paramètres!$A$1:$I$89,5,0)</f>
        <v>55.844959999999979</v>
      </c>
      <c r="AK21" s="13">
        <f t="shared" si="35"/>
        <v>16.113397222136292</v>
      </c>
      <c r="AL21" s="20">
        <f t="shared" si="4"/>
        <v>125.32747216188733</v>
      </c>
      <c r="AM21" s="59">
        <f t="shared" si="5"/>
        <v>418.66080549522064</v>
      </c>
      <c r="AN21" s="59">
        <f ca="1">AVERAGE(OFFSET($AM$3,0,0,'Données projet'!$E$10+1,1))-AVERAGE(OFFSET($H$3,0,0,'Données projet'!$E$10+1,1))</f>
        <v>177.71717275462748</v>
      </c>
      <c r="AO21" s="59">
        <f t="shared" si="36"/>
        <v>183.73714278300957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13.6</v>
      </c>
      <c r="BD21" s="12">
        <f>IF('Données projet'!$A$88&gt;35,BD20+BC21-BL20,IF(A21&lt;'Données projet'!$A$88,$BA$205^A21,IF(A21='Données projet'!$A$88,'Données projet'!$B$88,BD20+BC21-BL20)))</f>
        <v>105.79999999999998</v>
      </c>
      <c r="BE21" s="13">
        <f>BD21*VLOOKUP('Données projet'!$B$11,Paramètres!$A$1:$I$89,3,0)*VLOOKUP('Données projet'!$B$11,Paramètres!$A$1:$I$89,5,0)</f>
        <v>85.82495999999999</v>
      </c>
      <c r="BF21" s="13">
        <f t="shared" si="37"/>
        <v>23.555539224341771</v>
      </c>
      <c r="BG21" s="20">
        <f t="shared" si="7"/>
        <v>190.50436948239522</v>
      </c>
      <c r="BH21" s="59">
        <f t="shared" si="8"/>
        <v>483.83770281572856</v>
      </c>
      <c r="BI21" s="59">
        <f ca="1">AVERAGE(OFFSET($BH$3,0,0,'Données projet'!$E$11+1,1))-AVERAGE(OFFSET($H$3,0,0,'Données projet'!$E$11+1,1))</f>
        <v>325.66150195494157</v>
      </c>
      <c r="BJ21" s="59">
        <f t="shared" si="38"/>
        <v>429.07526815514467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7">
        <f t="shared" si="1"/>
        <v>331.84876720429367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13.8</v>
      </c>
      <c r="N22" s="13">
        <f>IF('Données projet'!$A$36&gt;35,N21+M22-V21,IF(A22&lt;'Données projet'!$A$36,$K$205^A22,IF(A22='Données projet'!$A$36,'Données projet'!$B$36,N21+M22-V21)))</f>
        <v>88.199999999999989</v>
      </c>
      <c r="O22" s="13">
        <f>N22*VLOOKUP('Données projet'!$B$9,Paramètres!$A$1:$I$89,3,0)*VLOOKUP('Données projet'!$B$9,Paramètres!$A$1:$I$89,5,0)</f>
        <v>70.171919999999986</v>
      </c>
      <c r="P22" s="13">
        <f t="shared" si="33"/>
        <v>19.716145269554726</v>
      </c>
      <c r="Q22" s="20">
        <f t="shared" si="2"/>
        <v>156.55504701114111</v>
      </c>
      <c r="R22" s="59">
        <f t="shared" si="0"/>
        <v>449.8883803444744</v>
      </c>
      <c r="S22" s="59">
        <f ca="1">AVERAGE(OFFSET($R$3,0,0,'Données projet'!$E$9+1,1))-AVERAGE(OFFSET($H$3,0,0,'Données projet'!$E$9+1,1))</f>
        <v>244.71206779102869</v>
      </c>
      <c r="T22" s="59">
        <f t="shared" si="34"/>
        <v>248.77995374147798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11.579487179487179</v>
      </c>
      <c r="AI22" s="13">
        <f>IF('Données projet'!$A$62&gt;35,AI21+AH22-AQ21,IF(A22&lt;'Données projet'!$A$62,$AF$205^A22,IF(A22='Données projet'!$A$62,'Données projet'!$B$62,AI21+AH22-AQ21)))</f>
        <v>94.830769230769192</v>
      </c>
      <c r="AJ22" s="13">
        <f>AI22*VLOOKUP('Données projet'!$B$10,Paramètres!$A$1:$I$89,3,0)*VLOOKUP('Données projet'!$B$10,Paramètres!$A$1:$I$89,5,0)</f>
        <v>63.612479999999977</v>
      </c>
      <c r="AK22" s="13">
        <f t="shared" si="35"/>
        <v>18.078486334981609</v>
      </c>
      <c r="AL22" s="20">
        <f t="shared" si="4"/>
        <v>142.27843303342624</v>
      </c>
      <c r="AM22" s="59">
        <f t="shared" si="5"/>
        <v>435.61176636675953</v>
      </c>
      <c r="AN22" s="59">
        <f ca="1">AVERAGE(OFFSET($AM$3,0,0,'Données projet'!$E$10+1,1))-AVERAGE(OFFSET($H$3,0,0,'Données projet'!$E$10+1,1))</f>
        <v>177.71717275462748</v>
      </c>
      <c r="AO22" s="59">
        <f t="shared" si="36"/>
        <v>183.73714278300957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13.6</v>
      </c>
      <c r="BD22" s="12">
        <f>IF('Données projet'!$A$88&gt;35,BD21+BC22-BL21,IF(A22&lt;'Données projet'!$A$88,$BA$205^A22,IF(A22='Données projet'!$A$88,'Données projet'!$B$88,BD21+BC22-BL21)))</f>
        <v>119.39999999999998</v>
      </c>
      <c r="BE22" s="13">
        <f>BD22*VLOOKUP('Données projet'!$B$11,Paramètres!$A$1:$I$89,3,0)*VLOOKUP('Données projet'!$B$11,Paramètres!$A$1:$I$89,5,0)</f>
        <v>96.857279999999989</v>
      </c>
      <c r="BF22" s="13">
        <f t="shared" si="37"/>
        <v>26.211902120794111</v>
      </c>
      <c r="BG22" s="20">
        <f t="shared" si="7"/>
        <v>214.34549219371638</v>
      </c>
      <c r="BH22" s="59">
        <f t="shared" si="8"/>
        <v>507.6788255270497</v>
      </c>
      <c r="BI22" s="59">
        <f ca="1">AVERAGE(OFFSET($BH$3,0,0,'Données projet'!$E$11+1,1))-AVERAGE(OFFSET($H$3,0,0,'Données projet'!$E$11+1,1))</f>
        <v>325.66150195494157</v>
      </c>
      <c r="BJ22" s="59">
        <f t="shared" si="38"/>
        <v>429.07526815514467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7">
        <f t="shared" si="1"/>
        <v>333.81570011831167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102</v>
      </c>
      <c r="L23" s="12">
        <f>VLOOKUP(A23,'Données projet'!$A$35:$I$55,9,0)</f>
        <v>13.8</v>
      </c>
      <c r="M23" s="12">
        <f t="array" ref="M23">INDEX(L:L,MIN(IF(ISNUMBER(L23:L219),ROW(L23:L219),"")))</f>
        <v>13.8</v>
      </c>
      <c r="N23" s="13">
        <f>IF('Données projet'!$A$36&gt;35,N22+M23-V22,IF(A23&lt;'Données projet'!$A$36,$K$205^A23,IF(A23='Données projet'!$A$36,'Données projet'!$B$36,N22+M23-V22)))</f>
        <v>101.99999999999999</v>
      </c>
      <c r="O23" s="13">
        <f>N23*VLOOKUP('Données projet'!$B$9,Paramètres!$A$1:$I$89,3,0)*VLOOKUP('Données projet'!$B$9,Paramètres!$A$1:$I$89,5,0)</f>
        <v>81.151200000000003</v>
      </c>
      <c r="P23" s="13">
        <f t="shared" si="33"/>
        <v>22.418424032002342</v>
      </c>
      <c r="Q23" s="20">
        <f t="shared" si="2"/>
        <v>180.38376185573739</v>
      </c>
      <c r="R23" s="59">
        <f t="shared" si="0"/>
        <v>473.71709518907073</v>
      </c>
      <c r="S23" s="59">
        <f ca="1">AVERAGE(OFFSET($R$3,0,0,'Données projet'!$E$9+1,1))-AVERAGE(OFFSET($H$3,0,0,'Données projet'!$E$9+1,1))</f>
        <v>244.71206779102869</v>
      </c>
      <c r="T23" s="59">
        <f t="shared" si="34"/>
        <v>248.77995374147798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106.41025641025641</v>
      </c>
      <c r="AG23" s="12">
        <f>VLOOKUP(A23,'Données projet'!$A$61:$I$81,9,0)</f>
        <v>11.579487179487179</v>
      </c>
      <c r="AH23" s="12">
        <f t="array" ref="AH23">INDEX(AG:AG,MIN(IF(ISNUMBER(AG23:AG219),ROW(AG23:AG219),"")))</f>
        <v>11.579487179487179</v>
      </c>
      <c r="AI23" s="13">
        <f>IF('Données projet'!$A$62&gt;35,AI22+AH23-AQ22,IF(A23&lt;'Données projet'!$A$62,$AF$205^A23,IF(A23='Données projet'!$A$62,'Données projet'!$B$62,AI22+AH23-AQ22)))</f>
        <v>106.41025641025637</v>
      </c>
      <c r="AJ23" s="13">
        <f>AI23*VLOOKUP('Données projet'!$B$10,Paramètres!$A$1:$I$89,3,0)*VLOOKUP('Données projet'!$B$10,Paramètres!$A$1:$I$89,5,0)</f>
        <v>71.379999999999967</v>
      </c>
      <c r="AK23" s="13">
        <f t="shared" si="35"/>
        <v>20.015769856455183</v>
      </c>
      <c r="AL23" s="20">
        <f t="shared" si="4"/>
        <v>159.18096583332604</v>
      </c>
      <c r="AM23" s="59">
        <f t="shared" si="5"/>
        <v>452.51429916665938</v>
      </c>
      <c r="AN23" s="59">
        <f ca="1">AVERAGE(OFFSET($AM$3,0,0,'Données projet'!$E$10+1,1))-AVERAGE(OFFSET($H$3,0,0,'Données projet'!$E$10+1,1))</f>
        <v>177.71717275462748</v>
      </c>
      <c r="AO23" s="59">
        <f t="shared" si="36"/>
        <v>183.73714278300957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27</v>
      </c>
      <c r="AR23" s="16">
        <f>IF(ISNA(VLOOKUP(A23,'Données projet'!$A$61:$I$81,5,0)),0%,VLOOKUP(A23,'Données projet'!$A$61:$I$81,5,0)*VLOOKUP('Données projet'!$B$10,Paramètres!$A$1:$I$89,7,0))</f>
        <v>0.10600000000000001</v>
      </c>
      <c r="AS23" s="16">
        <f>IF(ISNA(VLOOKUP(A23,'Données projet'!$A$61:$I$81,6,0)),0%,VLOOKUP(A23,'Données projet'!$A$61:$I$81,6,0)*VLOOKUP('Données projet'!$B$10,Paramètres!$A$1:$I$89,7,0))</f>
        <v>9.5399999999999999E-2</v>
      </c>
      <c r="AT23" s="16">
        <f>IF(ISNA(VLOOKUP(A23,'Données projet'!$A$61:$I$81,7,0)),0%,VLOOKUP(A23,'Données projet'!$A$61:$I$81,7,0))</f>
        <v>0.22</v>
      </c>
      <c r="AU23" s="21">
        <f>EXP(-LN(2)/35)*AU22+(1-EXP(-LN(2)/35))/(LN(2)/35)*AQ23*AR23*VLOOKUP('Données projet'!$B$10,Paramètres!$A$1:$I$89,3,0)*0.475*44/12</f>
        <v>2.1223147565505918</v>
      </c>
      <c r="AV23" s="21">
        <f>EXP(-LN(2)/25)*AV22+(1-EXP(-LN(2)/25))/(LN(2)/25)*Calculateur!AQ23*Calculateur!AS23*VLOOKUP('Données projet'!$B$10,Paramètres!$A$1:$I$89,3,0)*0.475*44/12</f>
        <v>1.9025625552198584</v>
      </c>
      <c r="AW23" s="21">
        <f>EXP(-LN(2)/2)*AW22+(1-EXP(-LN(2)/2))/(LN(2)/2)*AQ23*AT23*VLOOKUP('Données projet'!$B$10,Paramètres!$A$1:$I$89,3,0)*0.475*44/12</f>
        <v>3.7595320546447284</v>
      </c>
      <c r="AX23" s="21">
        <f t="shared" si="6"/>
        <v>7.7844093664151792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133</v>
      </c>
      <c r="BB23" s="12">
        <f>VLOOKUP(A23,'Données projet'!$A$87:$I$107,9,0)</f>
        <v>13.6</v>
      </c>
      <c r="BC23" s="12">
        <f t="array" ref="BC23">INDEX(BB:BB,MIN(IF(ISNUMBER(BB23:BB219),ROW(BB23:BB219),"")))</f>
        <v>13.6</v>
      </c>
      <c r="BD23" s="12">
        <f>IF('Données projet'!$A$88&gt;35,BD22+BC23-BL22,IF(A23&lt;'Données projet'!$A$88,$BA$205^A23,IF(A23='Données projet'!$A$88,'Données projet'!$B$88,BD22+BC23-BL22)))</f>
        <v>132.99999999999997</v>
      </c>
      <c r="BE23" s="13">
        <f>BD23*VLOOKUP('Données projet'!$B$11,Paramètres!$A$1:$I$89,3,0)*VLOOKUP('Données projet'!$B$11,Paramètres!$A$1:$I$89,5,0)</f>
        <v>107.88959999999997</v>
      </c>
      <c r="BF23" s="13">
        <f t="shared" si="37"/>
        <v>28.833198667365593</v>
      </c>
      <c r="BG23" s="20">
        <f t="shared" si="7"/>
        <v>238.12554101232834</v>
      </c>
      <c r="BH23" s="59">
        <f t="shared" si="8"/>
        <v>531.45887434566168</v>
      </c>
      <c r="BI23" s="59">
        <f ca="1">AVERAGE(OFFSET($BH$3,0,0,'Données projet'!$E$11+1,1))-AVERAGE(OFFSET($H$3,0,0,'Données projet'!$E$11+1,1))</f>
        <v>325.66150195494157</v>
      </c>
      <c r="BJ23" s="59">
        <f t="shared" si="38"/>
        <v>429.07526815514467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7">
        <f t="shared" si="1"/>
        <v>335.78004712061238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</v>
      </c>
      <c r="N24" s="13">
        <f>IF('Données projet'!$A$36&gt;35,N23+M24-V23,IF(A24&lt;'Données projet'!$A$36,$K$205^A24,IF(A24='Données projet'!$A$36,'Données projet'!$B$36,N23+M24-V23)))</f>
        <v>81.799999999999983</v>
      </c>
      <c r="O24" s="13">
        <f>N24*VLOOKUP('Données projet'!$B$9,Paramètres!$A$1:$I$89,3,0)*VLOOKUP('Données projet'!$B$9,Paramètres!$A$1:$I$89,5,0)</f>
        <v>65.080079999999981</v>
      </c>
      <c r="P24" s="13">
        <f t="shared" si="33"/>
        <v>18.44653442602603</v>
      </c>
      <c r="Q24" s="20">
        <f t="shared" si="2"/>
        <v>145.47552012532864</v>
      </c>
      <c r="R24" s="59">
        <f t="shared" si="0"/>
        <v>438.80885345866193</v>
      </c>
      <c r="S24" s="59">
        <f ca="1">AVERAGE(OFFSET($R$3,0,0,'Données projet'!$E$9+1,1))-AVERAGE(OFFSET($H$3,0,0,'Données projet'!$E$9+1,1))</f>
        <v>244.71206779102869</v>
      </c>
      <c r="T24" s="59">
        <f t="shared" si="34"/>
        <v>248.77995374147798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11.682051282051281</v>
      </c>
      <c r="AI24" s="13">
        <f>IF('Données projet'!$A$62&gt;35,AI23+AH24-AQ23,IF(A24&lt;'Données projet'!$A$62,$AF$205^A24,IF(A24='Données projet'!$A$62,'Données projet'!$B$62,AI23+AH24-AQ23)))</f>
        <v>91.092307692307642</v>
      </c>
      <c r="AJ24" s="13">
        <f>AI24*VLOOKUP('Données projet'!$B$10,Paramètres!$A$1:$I$89,3,0)*VLOOKUP('Données projet'!$B$10,Paramètres!$A$1:$I$89,5,0)</f>
        <v>61.104719999999972</v>
      </c>
      <c r="AK24" s="13">
        <f t="shared" si="35"/>
        <v>17.447279619759712</v>
      </c>
      <c r="AL24" s="20">
        <f t="shared" si="4"/>
        <v>136.8113993377481</v>
      </c>
      <c r="AM24" s="59">
        <f t="shared" si="5"/>
        <v>430.14473267108144</v>
      </c>
      <c r="AN24" s="59">
        <f ca="1">AVERAGE(OFFSET($AM$3,0,0,'Données projet'!$E$10+1,1))-AVERAGE(OFFSET($H$3,0,0,'Données projet'!$E$10+1,1))</f>
        <v>177.71717275462748</v>
      </c>
      <c r="AO24" s="59">
        <f t="shared" si="36"/>
        <v>183.73714278300957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2.0806974586588165</v>
      </c>
      <c r="AV24" s="21">
        <f>EXP(-LN(2)/25)*AV23+(1-EXP(-LN(2)/25))/(LN(2)/25)*Calculateur!AQ24*Calculateur!AS24*VLOOKUP('Données projet'!$B$10,Paramètres!$A$1:$I$89,3,0)*0.475*44/12</f>
        <v>1.8505368820959549</v>
      </c>
      <c r="AW24" s="21">
        <f>EXP(-LN(2)/2)*AW23+(1-EXP(-LN(2)/2))/(LN(2)/2)*AQ24*AT24*VLOOKUP('Données projet'!$B$10,Paramètres!$A$1:$I$89,3,0)*0.475*44/12</f>
        <v>2.6583906099274817</v>
      </c>
      <c r="AX24" s="21">
        <f t="shared" si="6"/>
        <v>6.5896249506822535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147.79999999999998</v>
      </c>
      <c r="BE24" s="13">
        <f>BD24*VLOOKUP('Données projet'!$B$11,Paramètres!$A$1:$I$89,3,0)*VLOOKUP('Données projet'!$B$11,Paramètres!$A$1:$I$89,5,0)</f>
        <v>119.89536</v>
      </c>
      <c r="BF24" s="13">
        <f t="shared" si="37"/>
        <v>31.650592493512807</v>
      </c>
      <c r="BG24" s="20">
        <f t="shared" si="7"/>
        <v>263.94253392620141</v>
      </c>
      <c r="BH24" s="59">
        <f t="shared" si="8"/>
        <v>557.27586725953472</v>
      </c>
      <c r="BI24" s="59">
        <f ca="1">AVERAGE(OFFSET($BH$3,0,0,'Données projet'!$E$11+1,1))-AVERAGE(OFFSET($H$3,0,0,'Données projet'!$E$11+1,1))</f>
        <v>325.66150195494157</v>
      </c>
      <c r="BJ24" s="59">
        <f t="shared" si="38"/>
        <v>429.07526815514467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7">
        <f t="shared" si="1"/>
        <v>337.74194540896866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</v>
      </c>
      <c r="N25" s="13">
        <f>IF('Données projet'!$A$36&gt;35,N24+M25-V24,IF(A25&lt;'Données projet'!$A$36,$K$205^A25,IF(A25='Données projet'!$A$36,'Données projet'!$B$36,N24+M25-V24)))</f>
        <v>96.59999999999998</v>
      </c>
      <c r="O25" s="13">
        <f>N25*VLOOKUP('Données projet'!$B$9,Paramètres!$A$1:$I$89,3,0)*VLOOKUP('Données projet'!$B$9,Paramètres!$A$1:$I$89,5,0)</f>
        <v>76.854959999999991</v>
      </c>
      <c r="P25" s="13">
        <f t="shared" si="33"/>
        <v>21.366419773799993</v>
      </c>
      <c r="Q25" s="20">
        <f t="shared" si="2"/>
        <v>171.06890310603498</v>
      </c>
      <c r="R25" s="59">
        <f t="shared" si="0"/>
        <v>464.40223643936827</v>
      </c>
      <c r="S25" s="59">
        <f ca="1">AVERAGE(OFFSET($R$3,0,0,'Données projet'!$E$9+1,1))-AVERAGE(OFFSET($H$3,0,0,'Données projet'!$E$9+1,1))</f>
        <v>244.71206779102869</v>
      </c>
      <c r="T25" s="59">
        <f t="shared" si="34"/>
        <v>248.77995374147798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11.682051282051281</v>
      </c>
      <c r="AI25" s="13">
        <f>IF('Données projet'!$A$62&gt;35,AI24+AH25-AQ24,IF(A25&lt;'Données projet'!$A$62,$AF$205^A25,IF(A25='Données projet'!$A$62,'Données projet'!$B$62,AI24+AH25-AQ24)))</f>
        <v>102.77435897435892</v>
      </c>
      <c r="AJ25" s="13">
        <f>AI25*VLOOKUP('Données projet'!$B$10,Paramètres!$A$1:$I$89,3,0)*VLOOKUP('Données projet'!$B$10,Paramètres!$A$1:$I$89,5,0)</f>
        <v>68.941039999999958</v>
      </c>
      <c r="AK25" s="13">
        <f t="shared" si="35"/>
        <v>19.410247628856677</v>
      </c>
      <c r="AL25" s="20">
        <f t="shared" si="4"/>
        <v>153.87849262025864</v>
      </c>
      <c r="AM25" s="59">
        <f t="shared" si="5"/>
        <v>447.21182595359198</v>
      </c>
      <c r="AN25" s="59">
        <f ca="1">AVERAGE(OFFSET($AM$3,0,0,'Données projet'!$E$10+1,1))-AVERAGE(OFFSET($H$3,0,0,'Données projet'!$E$10+1,1))</f>
        <v>177.71717275462748</v>
      </c>
      <c r="AO25" s="59">
        <f t="shared" si="36"/>
        <v>183.73714278300957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2.0398962505946536</v>
      </c>
      <c r="AV25" s="21">
        <f>EXP(-LN(2)/25)*AV24+(1-EXP(-LN(2)/25))/(LN(2)/25)*Calculateur!AQ25*Calculateur!AS25*VLOOKUP('Données projet'!$B$10,Paramètres!$A$1:$I$89,3,0)*0.475*44/12</f>
        <v>1.7999338537395357</v>
      </c>
      <c r="AW25" s="21">
        <f>EXP(-LN(2)/2)*AW24+(1-EXP(-LN(2)/2))/(LN(2)/2)*AQ25*AT25*VLOOKUP('Données projet'!$B$10,Paramètres!$A$1:$I$89,3,0)*0.475*44/12</f>
        <v>1.8797660273223644</v>
      </c>
      <c r="AX25" s="21">
        <f t="shared" si="6"/>
        <v>5.7195961316565533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162.6</v>
      </c>
      <c r="BE25" s="13">
        <f>BD25*VLOOKUP('Données projet'!$B$11,Paramètres!$A$1:$I$89,3,0)*VLOOKUP('Données projet'!$B$11,Paramètres!$A$1:$I$89,5,0)</f>
        <v>131.90112000000002</v>
      </c>
      <c r="BF25" s="13">
        <f t="shared" si="37"/>
        <v>34.435280475563573</v>
      </c>
      <c r="BG25" s="20">
        <f t="shared" si="7"/>
        <v>289.70256416160663</v>
      </c>
      <c r="BH25" s="59">
        <f t="shared" si="8"/>
        <v>583.03589749493995</v>
      </c>
      <c r="BI25" s="59">
        <f ca="1">AVERAGE(OFFSET($BH$3,0,0,'Données projet'!$E$11+1,1))-AVERAGE(OFFSET($H$3,0,0,'Données projet'!$E$11+1,1))</f>
        <v>325.66150195494157</v>
      </c>
      <c r="BJ25" s="59">
        <f t="shared" si="38"/>
        <v>429.07526815514467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7">
        <f t="shared" si="1"/>
        <v>339.70151900360332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</v>
      </c>
      <c r="N26" s="13">
        <f>IF('Données projet'!$A$36&gt;35,N25+M26-V25,IF(A26&lt;'Données projet'!$A$36,$K$205^A26,IF(A26='Données projet'!$A$36,'Données projet'!$B$36,N25+M26-V25)))</f>
        <v>111.39999999999998</v>
      </c>
      <c r="O26" s="13">
        <f>N26*VLOOKUP('Données projet'!$B$9,Paramètres!$A$1:$I$89,3,0)*VLOOKUP('Données projet'!$B$9,Paramètres!$A$1:$I$89,5,0)</f>
        <v>88.629839999999987</v>
      </c>
      <c r="P26" s="13">
        <f t="shared" si="33"/>
        <v>24.23448093253452</v>
      </c>
      <c r="Q26" s="20">
        <f t="shared" si="2"/>
        <v>196.57202562416424</v>
      </c>
      <c r="R26" s="59">
        <f t="shared" si="0"/>
        <v>489.90535895749758</v>
      </c>
      <c r="S26" s="59">
        <f ca="1">AVERAGE(OFFSET($R$3,0,0,'Données projet'!$E$9+1,1))-AVERAGE(OFFSET($H$3,0,0,'Données projet'!$E$9+1,1))</f>
        <v>244.71206779102869</v>
      </c>
      <c r="T26" s="59">
        <f t="shared" si="34"/>
        <v>248.77995374147798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11.682051282051281</v>
      </c>
      <c r="AI26" s="13">
        <f>IF('Données projet'!$A$62&gt;35,AI25+AH26-AQ25,IF(A26&lt;'Données projet'!$A$62,$AF$205^A26,IF(A26='Données projet'!$A$62,'Données projet'!$B$62,AI25+AH26-AQ25)))</f>
        <v>114.45641025641019</v>
      </c>
      <c r="AJ26" s="13">
        <f>AI26*VLOOKUP('Données projet'!$B$10,Paramètres!$A$1:$I$89,3,0)*VLOOKUP('Données projet'!$B$10,Paramètres!$A$1:$I$89,5,0)</f>
        <v>76.777359999999959</v>
      </c>
      <c r="AK26" s="13">
        <f t="shared" si="35"/>
        <v>21.34735626611295</v>
      </c>
      <c r="AL26" s="20">
        <f t="shared" si="4"/>
        <v>170.90054749681329</v>
      </c>
      <c r="AM26" s="59">
        <f t="shared" si="5"/>
        <v>464.23388083014663</v>
      </c>
      <c r="AN26" s="59">
        <f ca="1">AVERAGE(OFFSET($AM$3,0,0,'Données projet'!$E$10+1,1))-AVERAGE(OFFSET($H$3,0,0,'Données projet'!$E$10+1,1))</f>
        <v>177.71717275462748</v>
      </c>
      <c r="AO26" s="59">
        <f t="shared" si="36"/>
        <v>183.73714278300957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1.9998951293343494</v>
      </c>
      <c r="AV26" s="21">
        <f>EXP(-LN(2)/25)*AV25+(1-EXP(-LN(2)/25))/(LN(2)/25)*Calculateur!AQ26*Calculateur!AS26*VLOOKUP('Données projet'!$B$10,Paramètres!$A$1:$I$89,3,0)*0.475*44/12</f>
        <v>1.7507145678546205</v>
      </c>
      <c r="AW26" s="21">
        <f>EXP(-LN(2)/2)*AW25+(1-EXP(-LN(2)/2))/(LN(2)/2)*AQ26*AT26*VLOOKUP('Données projet'!$B$10,Paramètres!$A$1:$I$89,3,0)*0.475*44/12</f>
        <v>1.3291953049637411</v>
      </c>
      <c r="AX26" s="21">
        <f t="shared" si="6"/>
        <v>5.0798050021527112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177.4</v>
      </c>
      <c r="BE26" s="13">
        <f>BD26*VLOOKUP('Données projet'!$B$11,Paramètres!$A$1:$I$89,3,0)*VLOOKUP('Données projet'!$B$11,Paramètres!$A$1:$I$89,5,0)</f>
        <v>143.90688</v>
      </c>
      <c r="BF26" s="13">
        <f t="shared" si="37"/>
        <v>37.19057808849638</v>
      </c>
      <c r="BG26" s="20">
        <f t="shared" si="7"/>
        <v>315.41140617079787</v>
      </c>
      <c r="BH26" s="59">
        <f t="shared" si="8"/>
        <v>608.74473950413119</v>
      </c>
      <c r="BI26" s="59">
        <f ca="1">AVERAGE(OFFSET($BH$3,0,0,'Données projet'!$E$11+1,1))-AVERAGE(OFFSET($H$3,0,0,'Données projet'!$E$11+1,1))</f>
        <v>325.66150195494157</v>
      </c>
      <c r="BJ26" s="59">
        <f t="shared" si="38"/>
        <v>429.07526815514467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7">
        <f t="shared" si="1"/>
        <v>341.65888053051549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</v>
      </c>
      <c r="N27" s="13">
        <f>IF('Données projet'!$A$36&gt;35,N26+M27-V26,IF(A27&lt;'Données projet'!$A$36,$K$205^A27,IF(A27='Données projet'!$A$36,'Données projet'!$B$36,N26+M27-V26)))</f>
        <v>126.19999999999997</v>
      </c>
      <c r="O27" s="13">
        <f>N27*VLOOKUP('Données projet'!$B$9,Paramètres!$A$1:$I$89,3,0)*VLOOKUP('Données projet'!$B$9,Paramètres!$A$1:$I$89,5,0)</f>
        <v>100.40472</v>
      </c>
      <c r="P27" s="13">
        <f t="shared" si="33"/>
        <v>27.058393830330502</v>
      </c>
      <c r="Q27" s="20">
        <f t="shared" si="2"/>
        <v>221.99825658782561</v>
      </c>
      <c r="R27" s="59">
        <f t="shared" si="0"/>
        <v>515.33158992115887</v>
      </c>
      <c r="S27" s="59">
        <f ca="1">AVERAGE(OFFSET($R$3,0,0,'Données projet'!$E$9+1,1))-AVERAGE(OFFSET($H$3,0,0,'Données projet'!$E$9+1,1))</f>
        <v>244.71206779102869</v>
      </c>
      <c r="T27" s="59">
        <f t="shared" si="34"/>
        <v>248.77995374147798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11.682051282051281</v>
      </c>
      <c r="AI27" s="13">
        <f>IF('Données projet'!$A$62&gt;35,AI26+AH27-AQ26,IF(A27&lt;'Données projet'!$A$62,$AF$205^A27,IF(A27='Données projet'!$A$62,'Données projet'!$B$62,AI26+AH27-AQ26)))</f>
        <v>126.13846153846147</v>
      </c>
      <c r="AJ27" s="13">
        <f>AI27*VLOOKUP('Données projet'!$B$10,Paramètres!$A$1:$I$89,3,0)*VLOOKUP('Données projet'!$B$10,Paramètres!$A$1:$I$89,5,0)</f>
        <v>84.61367999999996</v>
      </c>
      <c r="AK27" s="13">
        <f t="shared" si="35"/>
        <v>23.261545430322471</v>
      </c>
      <c r="AL27" s="20">
        <f t="shared" si="4"/>
        <v>187.8826842911449</v>
      </c>
      <c r="AM27" s="59">
        <f t="shared" si="5"/>
        <v>481.21601762447824</v>
      </c>
      <c r="AN27" s="59">
        <f ca="1">AVERAGE(OFFSET($AM$3,0,0,'Données projet'!$E$10+1,1))-AVERAGE(OFFSET($H$3,0,0,'Données projet'!$E$10+1,1))</f>
        <v>177.71717275462748</v>
      </c>
      <c r="AO27" s="59">
        <f t="shared" si="36"/>
        <v>183.73714278300957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1.960678405663685</v>
      </c>
      <c r="AV27" s="21">
        <f>EXP(-LN(2)/25)*AV26+(1-EXP(-LN(2)/25))/(LN(2)/25)*Calculateur!AQ27*Calculateur!AS27*VLOOKUP('Données projet'!$B$10,Paramètres!$A$1:$I$89,3,0)*0.475*44/12</f>
        <v>1.7028411859305581</v>
      </c>
      <c r="AW27" s="21">
        <f>EXP(-LN(2)/2)*AW26+(1-EXP(-LN(2)/2))/(LN(2)/2)*AQ27*AT27*VLOOKUP('Données projet'!$B$10,Paramètres!$A$1:$I$89,3,0)*0.475*44/12</f>
        <v>0.93988301366118243</v>
      </c>
      <c r="AX27" s="21">
        <f t="shared" si="6"/>
        <v>4.6034026052554253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192.20000000000002</v>
      </c>
      <c r="BE27" s="13">
        <f>BD27*VLOOKUP('Données projet'!$B$11,Paramètres!$A$1:$I$89,3,0)*VLOOKUP('Données projet'!$B$11,Paramètres!$A$1:$I$89,5,0)</f>
        <v>155.91264000000004</v>
      </c>
      <c r="BF27" s="13">
        <f t="shared" si="37"/>
        <v>39.919216057228688</v>
      </c>
      <c r="BG27" s="20">
        <f t="shared" si="7"/>
        <v>341.07381596633996</v>
      </c>
      <c r="BH27" s="59">
        <f t="shared" si="8"/>
        <v>634.40714929967328</v>
      </c>
      <c r="BI27" s="59">
        <f ca="1">AVERAGE(OFFSET($BH$3,0,0,'Données projet'!$E$11+1,1))-AVERAGE(OFFSET($H$3,0,0,'Données projet'!$E$11+1,1))</f>
        <v>325.66150195494157</v>
      </c>
      <c r="BJ27" s="59">
        <f t="shared" si="38"/>
        <v>429.07526815514467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7">
        <f t="shared" si="1"/>
        <v>343.61413269921098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141</v>
      </c>
      <c r="L28" s="12">
        <f>VLOOKUP(A28,'Données projet'!$A$35:$I$55,9,0)</f>
        <v>14.8</v>
      </c>
      <c r="M28" s="12">
        <f t="array" ref="M28">INDEX(L:L,MIN(IF(ISNUMBER(L28:L224),ROW(L28:L224),"")))</f>
        <v>14.8</v>
      </c>
      <c r="N28" s="13">
        <f>IF('Données projet'!$A$36&gt;35,N27+M28-V27,IF(A28&lt;'Données projet'!$A$36,$K$205^A28,IF(A28='Données projet'!$A$36,'Données projet'!$B$36,N27+M28-V27)))</f>
        <v>140.99999999999997</v>
      </c>
      <c r="O28" s="13">
        <f>N28*VLOOKUP('Données projet'!$B$9,Paramètres!$A$1:$I$89,3,0)*VLOOKUP('Données projet'!$B$9,Paramètres!$A$1:$I$89,5,0)</f>
        <v>112.17959999999998</v>
      </c>
      <c r="P28" s="13">
        <f t="shared" si="33"/>
        <v>29.8439274472838</v>
      </c>
      <c r="Q28" s="20">
        <f t="shared" si="2"/>
        <v>247.35764363735257</v>
      </c>
      <c r="R28" s="59">
        <f t="shared" si="0"/>
        <v>540.69097697068582</v>
      </c>
      <c r="S28" s="59">
        <f ca="1">AVERAGE(OFFSET($R$3,0,0,'Données projet'!$E$9+1,1))-AVERAGE(OFFSET($H$3,0,0,'Données projet'!$E$9+1,1))</f>
        <v>244.71206779102869</v>
      </c>
      <c r="T28" s="59">
        <f t="shared" si="34"/>
        <v>248.77995374147798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35</v>
      </c>
      <c r="W28" s="16">
        <f>IF(ISNA(VLOOKUP(A28,'Données projet'!$A$35:$I$55,5,0)),0%,VLOOKUP(A28,'Données projet'!$A$35:$I$55,5,0)*VLOOKUP('Données projet'!$B$9,Paramètres!$A$1:$I$89,7,0))</f>
        <v>0.10600000000000001</v>
      </c>
      <c r="X28" s="16">
        <f>IF(ISNA(VLOOKUP(A28,'Données projet'!$A$35:$I$55,6,0)),0%,VLOOKUP(A28,'Données projet'!$A$35:$I$55,6,0)*VLOOKUP('Données projet'!$B$9,Paramètres!$A$1:$I$89,7,0))</f>
        <v>9.5399999999999999E-2</v>
      </c>
      <c r="Y28" s="16">
        <f>IF(ISNA(VLOOKUP(A28,'Données projet'!$A$35:$I$55,7,0)),0%,VLOOKUP(A28,'Données projet'!$A$35:$I$55,7,0))</f>
        <v>0.22</v>
      </c>
      <c r="Z28" s="21">
        <f>EXP(-LN(2)/35)*Z27+(1-EXP(-LN(2)/35))/(LN(2)/35)*V28*W28*VLOOKUP('Données projet'!$B$9,Paramètres!$A$1:$I$89,3,0)*0.475*44/12</f>
        <v>3.2629903879783009</v>
      </c>
      <c r="AA28" s="21">
        <f>EXP(-LN(2)/25)*AA27+(1-EXP(-LN(2)/25))/(LN(2)/25)*Calculateur!V28*Calculateur!X28*VLOOKUP('Données projet'!$B$9,Paramètres!$A$1:$I$89,3,0)*0.475*44/12</f>
        <v>2.9251284763716168</v>
      </c>
      <c r="AB28" s="21">
        <f>EXP(-LN(2)/2)*AB27+(1-EXP(-LN(2)/2))/(LN(2)/2)*V28*Y28*VLOOKUP('Données projet'!$B$9,Paramètres!$A$1:$I$89,3,0)*0.475*44/12</f>
        <v>5.7801591021023606</v>
      </c>
      <c r="AC28" s="22">
        <f t="shared" si="3"/>
        <v>11.968277966452277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137.82051282051282</v>
      </c>
      <c r="AG28" s="12">
        <f>VLOOKUP(A28,'Données projet'!$A$61:$I$81,9,0)</f>
        <v>11.682051282051281</v>
      </c>
      <c r="AH28" s="12">
        <f t="array" ref="AH28">INDEX(AG:AG,MIN(IF(ISNUMBER(AG28:AG224),ROW(AG28:AG224),"")))</f>
        <v>11.682051282051281</v>
      </c>
      <c r="AI28" s="13">
        <f>IF('Données projet'!$A$62&gt;35,AI27+AH28-AQ27,IF(A28&lt;'Données projet'!$A$62,$AF$205^A28,IF(A28='Données projet'!$A$62,'Données projet'!$B$62,AI27+AH28-AQ27)))</f>
        <v>137.82051282051276</v>
      </c>
      <c r="AJ28" s="13">
        <f>AI28*VLOOKUP('Données projet'!$B$10,Paramètres!$A$1:$I$89,3,0)*VLOOKUP('Données projet'!$B$10,Paramètres!$A$1:$I$89,5,0)</f>
        <v>92.44999999999996</v>
      </c>
      <c r="AK28" s="13">
        <f t="shared" si="35"/>
        <v>25.155179194747834</v>
      </c>
      <c r="AL28" s="20">
        <f t="shared" si="4"/>
        <v>204.82902043085241</v>
      </c>
      <c r="AM28" s="59">
        <f t="shared" si="5"/>
        <v>498.1623537641857</v>
      </c>
      <c r="AN28" s="59">
        <f ca="1">AVERAGE(OFFSET($AM$3,0,0,'Données projet'!$E$10+1,1))-AVERAGE(OFFSET($H$3,0,0,'Données projet'!$E$10+1,1))</f>
        <v>177.71717275462748</v>
      </c>
      <c r="AO28" s="59">
        <f t="shared" si="36"/>
        <v>183.73714278300957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30</v>
      </c>
      <c r="AR28" s="16">
        <f>IF(ISNA(VLOOKUP(A28,'Données projet'!$A$61:$I$81,5,0)),0%,VLOOKUP(A28,'Données projet'!$A$61:$I$81,5,0)*VLOOKUP('Données projet'!$B$10,Paramètres!$A$1:$I$89,7,0))</f>
        <v>0.159</v>
      </c>
      <c r="AS28" s="16">
        <f>IF(ISNA(VLOOKUP(A28,'Données projet'!$A$61:$I$81,6,0)),0%,VLOOKUP(A28,'Données projet'!$A$61:$I$81,6,0)*VLOOKUP('Données projet'!$B$10,Paramètres!$A$1:$I$89,7,0))</f>
        <v>8.48E-2</v>
      </c>
      <c r="AT28" s="16">
        <f>IF(ISNA(VLOOKUP(A28,'Données projet'!$A$61:$I$81,7,0)),0%,VLOOKUP(A28,'Données projet'!$A$61:$I$81,7,0))</f>
        <v>0.14000000000000001</v>
      </c>
      <c r="AU28" s="21">
        <f>EXP(-LN(2)/35)*AU27+(1-EXP(-LN(2)/35))/(LN(2)/35)*AQ28*AR28*VLOOKUP('Données projet'!$B$10,Paramètres!$A$1:$I$89,3,0)*0.475*44/12</f>
        <v>5.4594219589420163</v>
      </c>
      <c r="AV28" s="21">
        <f>EXP(-LN(2)/25)*AV27+(1-EXP(-LN(2)/25))/(LN(2)/25)*Calculateur!AQ28*Calculateur!AS28*VLOOKUP('Données projet'!$B$10,Paramètres!$A$1:$I$89,3,0)*0.475*44/12</f>
        <v>3.5353510327649667</v>
      </c>
      <c r="AW28" s="21">
        <f>EXP(-LN(2)/2)*AW27+(1-EXP(-LN(2)/2))/(LN(2)/2)*AQ28*AT28*VLOOKUP('Données projet'!$B$10,Paramètres!$A$1:$I$89,3,0)*0.475*44/12</f>
        <v>3.3228526406145074</v>
      </c>
      <c r="AX28" s="21">
        <f t="shared" si="6"/>
        <v>12.317625632321491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207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207.00000000000003</v>
      </c>
      <c r="BE28" s="13">
        <f>BD28*VLOOKUP('Données projet'!$B$11,Paramètres!$A$1:$I$89,3,0)*VLOOKUP('Données projet'!$B$11,Paramètres!$A$1:$I$89,5,0)</f>
        <v>167.91840000000002</v>
      </c>
      <c r="BF28" s="13">
        <f t="shared" si="37"/>
        <v>42.623480667123907</v>
      </c>
      <c r="BG28" s="20">
        <f t="shared" si="7"/>
        <v>366.6937754952408</v>
      </c>
      <c r="BH28" s="59">
        <f t="shared" si="8"/>
        <v>660.02710882857411</v>
      </c>
      <c r="BI28" s="59">
        <f ca="1">AVERAGE(OFFSET($BH$3,0,0,'Données projet'!$E$11+1,1))-AVERAGE(OFFSET($H$3,0,0,'Données projet'!$E$11+1,1))</f>
        <v>325.66150195494157</v>
      </c>
      <c r="BJ28" s="59">
        <f t="shared" si="38"/>
        <v>429.07526815514467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7">
        <f t="shared" si="1"/>
        <v>345.5673695373402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14.2</v>
      </c>
      <c r="N29" s="13">
        <f>IF('Données projet'!$A$36&gt;35,N28+M29-V28,IF(A29&lt;'Données projet'!$A$36,$K$205^A29,IF(A29='Données projet'!$A$36,'Données projet'!$B$36,N28+M29-V28)))</f>
        <v>120.19999999999996</v>
      </c>
      <c r="O29" s="13">
        <f>N29*VLOOKUP('Données projet'!$B$9,Paramètres!$A$1:$I$89,3,0)*VLOOKUP('Données projet'!$B$9,Paramètres!$A$1:$I$89,5,0)</f>
        <v>95.631119999999967</v>
      </c>
      <c r="P29" s="13">
        <f t="shared" si="33"/>
        <v>25.918481589892234</v>
      </c>
      <c r="Q29" s="20">
        <f t="shared" si="2"/>
        <v>211.69888943572892</v>
      </c>
      <c r="R29" s="59">
        <f t="shared" si="0"/>
        <v>505.03222276906223</v>
      </c>
      <c r="S29" s="59">
        <f ca="1">AVERAGE(OFFSET($R$3,0,0,'Données projet'!$E$9+1,1))-AVERAGE(OFFSET($H$3,0,0,'Données projet'!$E$9+1,1))</f>
        <v>244.71206779102869</v>
      </c>
      <c r="T29" s="59">
        <f t="shared" si="34"/>
        <v>248.77995374147798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3.1990051366976644</v>
      </c>
      <c r="AA29" s="21">
        <f>EXP(-LN(2)/25)*AA28+(1-EXP(-LN(2)/25))/(LN(2)/25)*Calculateur!V29*Calculateur!X29*VLOOKUP('Données projet'!$B$9,Paramètres!$A$1:$I$89,3,0)*0.475*44/12</f>
        <v>2.8451406843594138</v>
      </c>
      <c r="AB29" s="21">
        <f>EXP(-LN(2)/2)*AB28+(1-EXP(-LN(2)/2))/(LN(2)/2)*V29*Y29*VLOOKUP('Données projet'!$B$9,Paramètres!$A$1:$I$89,3,0)*0.475*44/12</f>
        <v>4.0871896974337254</v>
      </c>
      <c r="AC29" s="22">
        <f t="shared" si="3"/>
        <v>10.131335518490804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11.384615384615387</v>
      </c>
      <c r="AI29" s="13">
        <f>IF('Données projet'!$A$62&gt;35,AI28+AH29-AQ28,IF(A29&lt;'Données projet'!$A$62,$AF$205^A29,IF(A29='Données projet'!$A$62,'Données projet'!$B$62,AI28+AH29-AQ28)))</f>
        <v>119.20512820512815</v>
      </c>
      <c r="AJ29" s="13">
        <f>AI29*VLOOKUP('Données projet'!$B$10,Paramètres!$A$1:$I$89,3,0)*VLOOKUP('Données projet'!$B$10,Paramètres!$A$1:$I$89,5,0)</f>
        <v>79.962799999999973</v>
      </c>
      <c r="AK29" s="13">
        <f t="shared" si="35"/>
        <v>22.128088289073009</v>
      </c>
      <c r="AL29" s="20">
        <f t="shared" si="4"/>
        <v>177.80829710346873</v>
      </c>
      <c r="AM29" s="59">
        <f t="shared" si="5"/>
        <v>471.14163043680207</v>
      </c>
      <c r="AN29" s="59">
        <f ca="1">AVERAGE(OFFSET($AM$3,0,0,'Données projet'!$E$10+1,1))-AVERAGE(OFFSET($H$3,0,0,'Données projet'!$E$10+1,1))</f>
        <v>177.71717275462748</v>
      </c>
      <c r="AO29" s="59">
        <f t="shared" si="36"/>
        <v>183.73714278300957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5.3523660242457565</v>
      </c>
      <c r="AV29" s="21">
        <f>EXP(-LN(2)/25)*AV28+(1-EXP(-LN(2)/25))/(LN(2)/25)*Calculateur!AQ29*Calculateur!AS29*VLOOKUP('Données projet'!$B$10,Paramètres!$A$1:$I$89,3,0)*0.475*44/12</f>
        <v>3.4386766728579778</v>
      </c>
      <c r="AW29" s="21">
        <f>EXP(-LN(2)/2)*AW28+(1-EXP(-LN(2)/2))/(LN(2)/2)*AQ29*AT29*VLOOKUP('Données projet'!$B$10,Paramètres!$A$1:$I$89,3,0)*0.475*44/12</f>
        <v>2.3496116350621441</v>
      </c>
      <c r="AX29" s="21">
        <f t="shared" si="6"/>
        <v>11.140654332165878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221.20000000000002</v>
      </c>
      <c r="BE29" s="13">
        <f>BD29*VLOOKUP('Données projet'!$B$11,Paramètres!$A$1:$I$89,3,0)*VLOOKUP('Données projet'!$B$11,Paramètres!$A$1:$I$89,5,0)</f>
        <v>179.43744000000004</v>
      </c>
      <c r="BF29" s="13">
        <f t="shared" si="37"/>
        <v>45.197004138831623</v>
      </c>
      <c r="BG29" s="20">
        <f t="shared" si="7"/>
        <v>391.23832354179848</v>
      </c>
      <c r="BH29" s="59">
        <f t="shared" si="8"/>
        <v>684.57165687513179</v>
      </c>
      <c r="BI29" s="59">
        <f ca="1">AVERAGE(OFFSET($BH$3,0,0,'Données projet'!$E$11+1,1))-AVERAGE(OFFSET($H$3,0,0,'Données projet'!$E$11+1,1))</f>
        <v>325.66150195494157</v>
      </c>
      <c r="BJ29" s="59">
        <f t="shared" si="38"/>
        <v>429.07526815514467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7">
        <f t="shared" si="1"/>
        <v>347.51867743004942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14.2</v>
      </c>
      <c r="N30" s="13">
        <f>IF('Données projet'!$A$36&gt;35,N29+M30-V29,IF(A30&lt;'Données projet'!$A$36,$K$205^A30,IF(A30='Données projet'!$A$36,'Données projet'!$B$36,N29+M30-V29)))</f>
        <v>134.39999999999995</v>
      </c>
      <c r="O30" s="13">
        <f>N30*VLOOKUP('Données projet'!$B$9,Paramètres!$A$1:$I$89,3,0)*VLOOKUP('Données projet'!$B$9,Paramètres!$A$1:$I$89,5,0)</f>
        <v>106.92863999999996</v>
      </c>
      <c r="P30" s="13">
        <f t="shared" si="33"/>
        <v>28.606159868782917</v>
      </c>
      <c r="Q30" s="20">
        <f t="shared" si="2"/>
        <v>236.05644310479681</v>
      </c>
      <c r="R30" s="59">
        <f t="shared" si="0"/>
        <v>529.38977643813018</v>
      </c>
      <c r="S30" s="59">
        <f ca="1">AVERAGE(OFFSET($R$3,0,0,'Données projet'!$E$9+1,1))-AVERAGE(OFFSET($H$3,0,0,'Données projet'!$E$9+1,1))</f>
        <v>244.71206779102869</v>
      </c>
      <c r="T30" s="59">
        <f t="shared" si="34"/>
        <v>248.77995374147798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3.1362745971674917</v>
      </c>
      <c r="AA30" s="21">
        <f>EXP(-LN(2)/25)*AA29+(1-EXP(-LN(2)/25))/(LN(2)/25)*Calculateur!V30*Calculateur!X30*VLOOKUP('Données projet'!$B$9,Paramètres!$A$1:$I$89,3,0)*0.475*44/12</f>
        <v>2.7673401627261596</v>
      </c>
      <c r="AB30" s="21">
        <f>EXP(-LN(2)/2)*AB29+(1-EXP(-LN(2)/2))/(LN(2)/2)*V30*Y30*VLOOKUP('Données projet'!$B$9,Paramètres!$A$1:$I$89,3,0)*0.475*44/12</f>
        <v>2.8900795510511808</v>
      </c>
      <c r="AC30" s="22">
        <f t="shared" si="3"/>
        <v>8.7936943109448329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11.384615384615387</v>
      </c>
      <c r="AI30" s="13">
        <f>IF('Données projet'!$A$62&gt;35,AI29+AH30-AQ29,IF(A30&lt;'Données projet'!$A$62,$AF$205^A30,IF(A30='Données projet'!$A$62,'Données projet'!$B$62,AI29+AH30-AQ29)))</f>
        <v>130.58974358974353</v>
      </c>
      <c r="AJ30" s="13">
        <f>AI30*VLOOKUP('Données projet'!$B$10,Paramètres!$A$1:$I$89,3,0)*VLOOKUP('Données projet'!$B$10,Paramètres!$A$1:$I$89,5,0)</f>
        <v>87.599599999999967</v>
      </c>
      <c r="AK30" s="13">
        <f t="shared" si="35"/>
        <v>23.985398636781071</v>
      </c>
      <c r="AL30" s="20">
        <f t="shared" si="4"/>
        <v>194.34387262572696</v>
      </c>
      <c r="AM30" s="59">
        <f t="shared" si="5"/>
        <v>487.6772059590603</v>
      </c>
      <c r="AN30" s="59">
        <f ca="1">AVERAGE(OFFSET($AM$3,0,0,'Données projet'!$E$10+1,1))-AVERAGE(OFFSET($H$3,0,0,'Données projet'!$E$10+1,1))</f>
        <v>177.71717275462748</v>
      </c>
      <c r="AO30" s="59">
        <f t="shared" si="36"/>
        <v>183.73714278300957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5.2474093911312174</v>
      </c>
      <c r="AV30" s="21">
        <f>EXP(-LN(2)/25)*AV29+(1-EXP(-LN(2)/25))/(LN(2)/25)*Calculateur!AQ30*Calculateur!AS30*VLOOKUP('Données projet'!$B$10,Paramètres!$A$1:$I$89,3,0)*0.475*44/12</f>
        <v>3.3446458784065296</v>
      </c>
      <c r="AW30" s="21">
        <f>EXP(-LN(2)/2)*AW29+(1-EXP(-LN(2)/2))/(LN(2)/2)*AQ30*AT30*VLOOKUP('Données projet'!$B$10,Paramètres!$A$1:$I$89,3,0)*0.475*44/12</f>
        <v>1.6614263203072539</v>
      </c>
      <c r="AX30" s="21">
        <f t="shared" si="6"/>
        <v>10.253481589845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235.4</v>
      </c>
      <c r="BE30" s="13">
        <f>BD30*VLOOKUP('Données projet'!$B$11,Paramètres!$A$1:$I$89,3,0)*VLOOKUP('Données projet'!$B$11,Paramètres!$A$1:$I$89,5,0)</f>
        <v>190.95648</v>
      </c>
      <c r="BF30" s="13">
        <f t="shared" si="37"/>
        <v>47.751355158869849</v>
      </c>
      <c r="BG30" s="20">
        <f t="shared" si="7"/>
        <v>415.74947956836496</v>
      </c>
      <c r="BH30" s="59">
        <f t="shared" si="8"/>
        <v>709.08281290169828</v>
      </c>
      <c r="BI30" s="59">
        <f ca="1">AVERAGE(OFFSET($BH$3,0,0,'Données projet'!$E$11+1,1))-AVERAGE(OFFSET($H$3,0,0,'Données projet'!$E$11+1,1))</f>
        <v>325.66150195494157</v>
      </c>
      <c r="BJ30" s="59">
        <f t="shared" si="38"/>
        <v>429.07526815514467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7">
        <f t="shared" si="1"/>
        <v>349.46813600102513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14.2</v>
      </c>
      <c r="N31" s="13">
        <f>IF('Données projet'!$A$36&gt;35,N30+M31-V30,IF(A31&lt;'Données projet'!$A$36,$K$205^A31,IF(A31='Données projet'!$A$36,'Données projet'!$B$36,N30+M31-V30)))</f>
        <v>148.59999999999994</v>
      </c>
      <c r="O31" s="13">
        <f>N31*VLOOKUP('Données projet'!$B$9,Paramètres!$A$1:$I$89,3,0)*VLOOKUP('Données projet'!$B$9,Paramètres!$A$1:$I$89,5,0)</f>
        <v>118.22615999999996</v>
      </c>
      <c r="P31" s="13">
        <f t="shared" si="33"/>
        <v>31.260922342884676</v>
      </c>
      <c r="Q31" s="20">
        <f t="shared" si="2"/>
        <v>260.35666841385739</v>
      </c>
      <c r="R31" s="59">
        <f t="shared" si="0"/>
        <v>553.69000174719076</v>
      </c>
      <c r="S31" s="59">
        <f ca="1">AVERAGE(OFFSET($R$3,0,0,'Données projet'!$E$9+1,1))-AVERAGE(OFFSET($H$3,0,0,'Données projet'!$E$9+1,1))</f>
        <v>244.71206779102869</v>
      </c>
      <c r="T31" s="59">
        <f t="shared" si="34"/>
        <v>248.77995374147798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3.0747741652556546</v>
      </c>
      <c r="AA31" s="21">
        <f>EXP(-LN(2)/25)*AA30+(1-EXP(-LN(2)/25))/(LN(2)/25)*Calculateur!V31*Calculateur!X31*VLOOKUP('Données projet'!$B$9,Paramètres!$A$1:$I$89,3,0)*0.475*44/12</f>
        <v>2.6916671004483184</v>
      </c>
      <c r="AB31" s="21">
        <f>EXP(-LN(2)/2)*AB30+(1-EXP(-LN(2)/2))/(LN(2)/2)*V31*Y31*VLOOKUP('Données projet'!$B$9,Paramètres!$A$1:$I$89,3,0)*0.475*44/12</f>
        <v>2.0435948487168627</v>
      </c>
      <c r="AC31" s="22">
        <f t="shared" si="3"/>
        <v>7.8100361144208357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11.384615384615387</v>
      </c>
      <c r="AI31" s="13">
        <f>IF('Données projet'!$A$62&gt;35,AI30+AH31-AQ30,IF(A31&lt;'Données projet'!$A$62,$AF$205^A31,IF(A31='Données projet'!$A$62,'Données projet'!$B$62,AI30+AH31-AQ30)))</f>
        <v>141.97435897435892</v>
      </c>
      <c r="AJ31" s="13">
        <f>AI31*VLOOKUP('Données projet'!$B$10,Paramètres!$A$1:$I$89,3,0)*VLOOKUP('Données projet'!$B$10,Paramètres!$A$1:$I$89,5,0)</f>
        <v>95.236399999999961</v>
      </c>
      <c r="AK31" s="13">
        <f t="shared" si="35"/>
        <v>25.823932004760156</v>
      </c>
      <c r="AL31" s="20">
        <f t="shared" si="4"/>
        <v>210.8467449082905</v>
      </c>
      <c r="AM31" s="59">
        <f t="shared" si="5"/>
        <v>504.18007824162385</v>
      </c>
      <c r="AN31" s="59">
        <f ca="1">AVERAGE(OFFSET($AM$3,0,0,'Données projet'!$E$10+1,1))-AVERAGE(OFFSET($H$3,0,0,'Données projet'!$E$10+1,1))</f>
        <v>177.71717275462748</v>
      </c>
      <c r="AO31" s="59">
        <f t="shared" si="36"/>
        <v>183.73714278300957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5.1445108935748296</v>
      </c>
      <c r="AV31" s="21">
        <f>EXP(-LN(2)/25)*AV30+(1-EXP(-LN(2)/25))/(LN(2)/25)*Calculateur!AQ31*Calculateur!AS31*VLOOKUP('Données projet'!$B$10,Paramètres!$A$1:$I$89,3,0)*0.475*44/12</f>
        <v>3.2531863609742206</v>
      </c>
      <c r="AW31" s="21">
        <f>EXP(-LN(2)/2)*AW30+(1-EXP(-LN(2)/2))/(LN(2)/2)*AQ31*AT31*VLOOKUP('Données projet'!$B$10,Paramètres!$A$1:$I$89,3,0)*0.475*44/12</f>
        <v>1.1748058175310723</v>
      </c>
      <c r="AX31" s="21">
        <f t="shared" si="6"/>
        <v>9.5725030720801243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249.6</v>
      </c>
      <c r="BE31" s="13">
        <f>BD31*VLOOKUP('Données projet'!$B$11,Paramètres!$A$1:$I$89,3,0)*VLOOKUP('Données projet'!$B$11,Paramètres!$A$1:$I$89,5,0)</f>
        <v>202.47552000000002</v>
      </c>
      <c r="BF31" s="13">
        <f t="shared" si="37"/>
        <v>50.287821971647539</v>
      </c>
      <c r="BG31" s="20">
        <f t="shared" si="7"/>
        <v>440.22948726728617</v>
      </c>
      <c r="BH31" s="59">
        <f t="shared" si="8"/>
        <v>733.56282060061949</v>
      </c>
      <c r="BI31" s="59">
        <f ca="1">AVERAGE(OFFSET($BH$3,0,0,'Données projet'!$E$11+1,1))-AVERAGE(OFFSET($H$3,0,0,'Données projet'!$E$11+1,1))</f>
        <v>325.66150195494157</v>
      </c>
      <c r="BJ31" s="59">
        <f t="shared" si="38"/>
        <v>429.07526815514467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7">
        <f t="shared" si="1"/>
        <v>351.41581886413837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14.2</v>
      </c>
      <c r="N32" s="13">
        <f>IF('Données projet'!$A$36&gt;35,N31+M32-V31,IF(A32&lt;'Données projet'!$A$36,$K$205^A32,IF(A32='Données projet'!$A$36,'Données projet'!$B$36,N31+M32-V31)))</f>
        <v>162.79999999999993</v>
      </c>
      <c r="O32" s="13">
        <f>N32*VLOOKUP('Données projet'!$B$9,Paramètres!$A$1:$I$89,3,0)*VLOOKUP('Données projet'!$B$9,Paramètres!$A$1:$I$89,5,0)</f>
        <v>129.52367999999996</v>
      </c>
      <c r="P32" s="13">
        <f t="shared" si="33"/>
        <v>33.886272262901727</v>
      </c>
      <c r="Q32" s="20">
        <f t="shared" si="2"/>
        <v>284.60566685788712</v>
      </c>
      <c r="R32" s="59">
        <f t="shared" si="0"/>
        <v>577.93900019122043</v>
      </c>
      <c r="S32" s="59">
        <f ca="1">AVERAGE(OFFSET($R$3,0,0,'Données projet'!$E$9+1,1))-AVERAGE(OFFSET($H$3,0,0,'Données projet'!$E$9+1,1))</f>
        <v>244.71206779102869</v>
      </c>
      <c r="T32" s="59">
        <f t="shared" si="34"/>
        <v>248.77995374147798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3.0144797193020492</v>
      </c>
      <c r="AA32" s="21">
        <f>EXP(-LN(2)/25)*AA31+(1-EXP(-LN(2)/25))/(LN(2)/25)*Calculateur!V32*Calculateur!X32*VLOOKUP('Données projet'!$B$9,Paramètres!$A$1:$I$89,3,0)*0.475*44/12</f>
        <v>2.6180633220379383</v>
      </c>
      <c r="AB32" s="21">
        <f>EXP(-LN(2)/2)*AB31+(1-EXP(-LN(2)/2))/(LN(2)/2)*V32*Y32*VLOOKUP('Données projet'!$B$9,Paramètres!$A$1:$I$89,3,0)*0.475*44/12</f>
        <v>1.4450397755255904</v>
      </c>
      <c r="AC32" s="22">
        <f t="shared" si="3"/>
        <v>7.0775828168655774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11.384615384615387</v>
      </c>
      <c r="AI32" s="13">
        <f>IF('Données projet'!$A$62&gt;35,AI31+AH32-AQ31,IF(A32&lt;'Données projet'!$A$62,$AF$205^A32,IF(A32='Données projet'!$A$62,'Données projet'!$B$62,AI31+AH32-AQ31)))</f>
        <v>153.35897435897431</v>
      </c>
      <c r="AJ32" s="13">
        <f>AI32*VLOOKUP('Données projet'!$B$10,Paramètres!$A$1:$I$89,3,0)*VLOOKUP('Données projet'!$B$10,Paramètres!$A$1:$I$89,5,0)</f>
        <v>102.87319999999997</v>
      </c>
      <c r="AK32" s="13">
        <f t="shared" si="35"/>
        <v>27.645365260562457</v>
      </c>
      <c r="AL32" s="20">
        <f t="shared" si="4"/>
        <v>227.31983449547954</v>
      </c>
      <c r="AM32" s="59">
        <f t="shared" si="5"/>
        <v>520.65316782881291</v>
      </c>
      <c r="AN32" s="59">
        <f ca="1">AVERAGE(OFFSET($AM$3,0,0,'Données projet'!$E$10+1,1))-AVERAGE(OFFSET($H$3,0,0,'Données projet'!$E$10+1,1))</f>
        <v>177.71717275462748</v>
      </c>
      <c r="AO32" s="59">
        <f t="shared" si="36"/>
        <v>183.73714278300957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5.0436301727936366</v>
      </c>
      <c r="AV32" s="21">
        <f>EXP(-LN(2)/25)*AV31+(1-EXP(-LN(2)/25))/(LN(2)/25)*Calculateur!AQ32*Calculateur!AS32*VLOOKUP('Données projet'!$B$10,Paramètres!$A$1:$I$89,3,0)*0.475*44/12</f>
        <v>3.164227808855745</v>
      </c>
      <c r="AW32" s="21">
        <f>EXP(-LN(2)/2)*AW31+(1-EXP(-LN(2)/2))/(LN(2)/2)*AQ32*AT32*VLOOKUP('Données projet'!$B$10,Paramètres!$A$1:$I$89,3,0)*0.475*44/12</f>
        <v>0.83071316015362706</v>
      </c>
      <c r="AX32" s="21">
        <f t="shared" si="6"/>
        <v>9.0385711418030077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263.8</v>
      </c>
      <c r="BE32" s="13">
        <f>BD32*VLOOKUP('Données projet'!$B$11,Paramètres!$A$1:$I$89,3,0)*VLOOKUP('Données projet'!$B$11,Paramètres!$A$1:$I$89,5,0)</f>
        <v>213.99456000000004</v>
      </c>
      <c r="BF32" s="13">
        <f t="shared" si="37"/>
        <v>52.80753796338206</v>
      </c>
      <c r="BG32" s="20">
        <f t="shared" si="7"/>
        <v>464.68032061955711</v>
      </c>
      <c r="BH32" s="59">
        <f t="shared" si="8"/>
        <v>758.01365395289042</v>
      </c>
      <c r="BI32" s="59">
        <f ca="1">AVERAGE(OFFSET($BH$3,0,0,'Données projet'!$E$11+1,1))-AVERAGE(OFFSET($H$3,0,0,'Données projet'!$E$11+1,1))</f>
        <v>325.66150195494157</v>
      </c>
      <c r="BJ32" s="59">
        <f t="shared" si="38"/>
        <v>429.07526815514467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7">
        <f t="shared" si="1"/>
        <v>353.361794268501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177</v>
      </c>
      <c r="L33" s="12">
        <f>VLOOKUP(A33,'Données projet'!$A$35:$I$55,9,0)</f>
        <v>14.2</v>
      </c>
      <c r="M33" s="12">
        <f t="array" ref="M33">INDEX(L:L,MIN(IF(ISNUMBER(L33:L229),ROW(L33:L229),"")))</f>
        <v>14.2</v>
      </c>
      <c r="N33" s="13">
        <f>IF('Données projet'!$A$36&gt;35,N32+M33-V32,IF(A33&lt;'Données projet'!$A$36,$K$205^A33,IF(A33='Données projet'!$A$36,'Données projet'!$B$36,N32+M33-V32)))</f>
        <v>176.99999999999991</v>
      </c>
      <c r="O33" s="13">
        <f>N33*VLOOKUP('Données projet'!$B$9,Paramètres!$A$1:$I$89,3,0)*VLOOKUP('Données projet'!$B$9,Paramètres!$A$1:$I$89,5,0)</f>
        <v>140.82119999999992</v>
      </c>
      <c r="P33" s="13">
        <f t="shared" si="33"/>
        <v>36.485066799987997</v>
      </c>
      <c r="Q33" s="20">
        <f t="shared" si="2"/>
        <v>308.80841467664561</v>
      </c>
      <c r="R33" s="59">
        <f t="shared" si="0"/>
        <v>602.14174800997898</v>
      </c>
      <c r="S33" s="59">
        <f ca="1">AVERAGE(OFFSET($R$3,0,0,'Données projet'!$E$9+1,1))-AVERAGE(OFFSET($H$3,0,0,'Données projet'!$E$9+1,1))</f>
        <v>244.71206779102869</v>
      </c>
      <c r="T33" s="59">
        <f t="shared" si="34"/>
        <v>248.77995374147798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0.159</v>
      </c>
      <c r="X33" s="16">
        <f>IF(ISNA(VLOOKUP(A33,'Données projet'!$A$35:$I$55,6,0)),0%,VLOOKUP(A33,'Données projet'!$A$35:$I$55,6,0)*VLOOKUP('Données projet'!$B$9,Paramètres!$A$1:$I$89,7,0))</f>
        <v>8.48E-2</v>
      </c>
      <c r="Y33" s="16">
        <f>IF(ISNA(VLOOKUP(A33,'Données projet'!$A$35:$I$55,7,0)),0%,VLOOKUP(A33,'Données projet'!$A$35:$I$55,7,0))</f>
        <v>0.14000000000000001</v>
      </c>
      <c r="Z33" s="21">
        <f>EXP(-LN(2)/35)*Z32+(1-EXP(-LN(2)/35))/(LN(2)/35)*V33*W33*VLOOKUP('Données projet'!$B$9,Paramètres!$A$1:$I$89,3,0)*0.475*44/12</f>
        <v>7.8498531926250648</v>
      </c>
      <c r="AA33" s="21">
        <f>EXP(-LN(2)/25)*AA32+(1-EXP(-LN(2)/25))/(LN(2)/25)*Calculateur!V33*Calculateur!X33*VLOOKUP('Données projet'!$B$9,Paramètres!$A$1:$I$89,3,0)*0.475*44/12</f>
        <v>5.1465864440380598</v>
      </c>
      <c r="AB33" s="21">
        <f>EXP(-LN(2)/2)*AB32+(1-EXP(-LN(2)/2))/(LN(2)/2)*V33*Y33*VLOOKUP('Données projet'!$B$9,Paramètres!$A$1:$I$89,3,0)*0.475*44/12</f>
        <v>4.7000804893326613</v>
      </c>
      <c r="AC33" s="22">
        <f t="shared" si="3"/>
        <v>17.696520125995786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164.74358974358975</v>
      </c>
      <c r="AG33" s="12">
        <f>VLOOKUP(A33,'Données projet'!$A$61:$I$81,9,0)</f>
        <v>11.384615384615387</v>
      </c>
      <c r="AH33" s="12">
        <f t="array" ref="AH33">INDEX(AG:AG,MIN(IF(ISNUMBER(AG33:AG229),ROW(AG33:AG229),"")))</f>
        <v>11.384615384615387</v>
      </c>
      <c r="AI33" s="13">
        <f>IF('Données projet'!$A$62&gt;35,AI32+AH33-AQ32,IF(A33&lt;'Données projet'!$A$62,$AF$205^A33,IF(A33='Données projet'!$A$62,'Données projet'!$B$62,AI32+AH33-AQ32)))</f>
        <v>164.74358974358969</v>
      </c>
      <c r="AJ33" s="13">
        <f>AI33*VLOOKUP('Données projet'!$B$10,Paramètres!$A$1:$I$89,3,0)*VLOOKUP('Données projet'!$B$10,Paramètres!$A$1:$I$89,5,0)</f>
        <v>110.50999999999996</v>
      </c>
      <c r="AK33" s="13">
        <f t="shared" si="35"/>
        <v>29.451112182685595</v>
      </c>
      <c r="AL33" s="20">
        <f t="shared" si="4"/>
        <v>243.76560371817732</v>
      </c>
      <c r="AM33" s="59">
        <f t="shared" si="5"/>
        <v>537.09893705151057</v>
      </c>
      <c r="AN33" s="59">
        <f ca="1">AVERAGE(OFFSET($AM$3,0,0,'Données projet'!$E$10+1,1))-AVERAGE(OFFSET($H$3,0,0,'Données projet'!$E$10+1,1))</f>
        <v>177.71717275462748</v>
      </c>
      <c r="AO33" s="59">
        <f t="shared" si="36"/>
        <v>183.73714278300957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31</v>
      </c>
      <c r="AR33" s="16">
        <f>IF(ISNA(VLOOKUP(A33,'Données projet'!$A$61:$I$81,5,0)),0%,VLOOKUP(A33,'Données projet'!$A$61:$I$81,5,0)*VLOOKUP('Données projet'!$B$10,Paramètres!$A$1:$I$89,7,0))</f>
        <v>0.21200000000000002</v>
      </c>
      <c r="AS33" s="16">
        <f>IF(ISNA(VLOOKUP(A33,'Données projet'!$A$61:$I$81,6,0)),0%,VLOOKUP(A33,'Données projet'!$A$61:$I$81,6,0)*VLOOKUP('Données projet'!$B$10,Paramètres!$A$1:$I$89,7,0))</f>
        <v>4.24E-2</v>
      </c>
      <c r="AT33" s="16">
        <f>IF(ISNA(VLOOKUP(A33,'Données projet'!$A$61:$I$81,7,0)),0%,VLOOKUP(A33,'Données projet'!$A$61:$I$81,7,0))</f>
        <v>0.12</v>
      </c>
      <c r="AU33" s="21">
        <f>EXP(-LN(2)/35)*AU32+(1-EXP(-LN(2)/35))/(LN(2)/35)*AQ33*AR33*VLOOKUP('Données projet'!$B$10,Paramètres!$A$1:$I$89,3,0)*0.475*44/12</f>
        <v>9.8181911764578977</v>
      </c>
      <c r="AV33" s="21">
        <f>EXP(-LN(2)/25)*AV32+(1-EXP(-LN(2)/25))/(LN(2)/25)*Calculateur!AQ33*Calculateur!AS33*VLOOKUP('Données projet'!$B$10,Paramètres!$A$1:$I$89,3,0)*0.475*44/12</f>
        <v>4.0485567994727152</v>
      </c>
      <c r="AW33" s="21">
        <f>EXP(-LN(2)/2)*AW32+(1-EXP(-LN(2)/2))/(LN(2)/2)*AQ33*AT33*VLOOKUP('Données projet'!$B$10,Paramètres!$A$1:$I$89,3,0)*0.475*44/12</f>
        <v>2.941857326825871</v>
      </c>
      <c r="AX33" s="21">
        <f t="shared" si="6"/>
        <v>16.808605302756483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278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278</v>
      </c>
      <c r="BE33" s="13">
        <f>BD33*VLOOKUP('Données projet'!$B$11,Paramètres!$A$1:$I$89,3,0)*VLOOKUP('Données projet'!$B$11,Paramètres!$A$1:$I$89,5,0)</f>
        <v>225.51360000000003</v>
      </c>
      <c r="BF33" s="13">
        <f t="shared" si="37"/>
        <v>55.311507611662641</v>
      </c>
      <c r="BG33" s="20">
        <f t="shared" si="7"/>
        <v>489.10372909031236</v>
      </c>
      <c r="BH33" s="59">
        <f t="shared" si="8"/>
        <v>782.43706242364567</v>
      </c>
      <c r="BI33" s="59">
        <f ca="1">AVERAGE(OFFSET($BH$3,0,0,'Données projet'!$E$11+1,1))-AVERAGE(OFFSET($H$3,0,0,'Données projet'!$E$11+1,1))</f>
        <v>325.66150195494157</v>
      </c>
      <c r="BJ33" s="59">
        <f t="shared" si="38"/>
        <v>429.07526815514467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7">
        <f t="shared" si="1"/>
        <v>355.3061256550987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154.79999999999993</v>
      </c>
      <c r="O34" s="13">
        <f>N34*VLOOKUP('Données projet'!$B$9,Paramètres!$A$1:$I$89,3,0)*VLOOKUP('Données projet'!$B$9,Paramètres!$A$1:$I$89,5,0)</f>
        <v>123.15887999999995</v>
      </c>
      <c r="P34" s="13">
        <f t="shared" si="33"/>
        <v>32.410638331814873</v>
      </c>
      <c r="Q34" s="20">
        <f t="shared" si="2"/>
        <v>270.95024442791083</v>
      </c>
      <c r="R34" s="59">
        <f t="shared" si="0"/>
        <v>564.28357776124415</v>
      </c>
      <c r="S34" s="59">
        <f ca="1">AVERAGE(OFFSET($R$3,0,0,'Données projet'!$E$9+1,1))-AVERAGE(OFFSET($H$3,0,0,'Données projet'!$E$9+1,1))</f>
        <v>244.71206779102869</v>
      </c>
      <c r="T34" s="59">
        <f t="shared" si="34"/>
        <v>248.77995374147798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7.6959223594553654</v>
      </c>
      <c r="AA34" s="21">
        <f>EXP(-LN(2)/25)*AA33+(1-EXP(-LN(2)/25))/(LN(2)/25)*Calculateur!V34*Calculateur!X34*VLOOKUP('Données projet'!$B$9,Paramètres!$A$1:$I$89,3,0)*0.475*44/12</f>
        <v>5.005852767078621</v>
      </c>
      <c r="AB34" s="21">
        <f>EXP(-LN(2)/2)*AB33+(1-EXP(-LN(2)/2))/(LN(2)/2)*V34*Y34*VLOOKUP('Données projet'!$B$9,Paramètres!$A$1:$I$89,3,0)*0.475*44/12</f>
        <v>3.3234587861297116</v>
      </c>
      <c r="AC34" s="22">
        <f t="shared" si="3"/>
        <v>16.025233912663698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10.94358974358974</v>
      </c>
      <c r="AI34" s="13">
        <f>IF('Données projet'!$A$62&gt;35,AI33+AH34-AQ33,IF(A34&lt;'Données projet'!$A$62,$AF$205^A34,IF(A34='Données projet'!$A$62,'Données projet'!$B$62,AI33+AH34-AQ33)))</f>
        <v>144.68717948717944</v>
      </c>
      <c r="AJ34" s="13">
        <f>AI34*VLOOKUP('Données projet'!$B$10,Paramètres!$A$1:$I$89,3,0)*VLOOKUP('Données projet'!$B$10,Paramètres!$A$1:$I$89,5,0)</f>
        <v>97.056159999999963</v>
      </c>
      <c r="AK34" s="13">
        <f t="shared" si="35"/>
        <v>26.259453292621647</v>
      </c>
      <c r="AL34" s="20">
        <f t="shared" si="4"/>
        <v>214.77469315131597</v>
      </c>
      <c r="AM34" s="59">
        <f t="shared" si="5"/>
        <v>508.10802648464926</v>
      </c>
      <c r="AN34" s="59">
        <f ca="1">AVERAGE(OFFSET($AM$3,0,0,'Données projet'!$E$10+1,1))-AVERAGE(OFFSET($H$3,0,0,'Données projet'!$E$10+1,1))</f>
        <v>177.71717275462748</v>
      </c>
      <c r="AO34" s="59">
        <f t="shared" si="36"/>
        <v>183.73714278300957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9.6256624359928598</v>
      </c>
      <c r="AV34" s="21">
        <f>EXP(-LN(2)/25)*AV33+(1-EXP(-LN(2)/25))/(LN(2)/25)*Calculateur!AQ34*Calculateur!AS34*VLOOKUP('Données projet'!$B$10,Paramètres!$A$1:$I$89,3,0)*0.475*44/12</f>
        <v>3.9378488008867847</v>
      </c>
      <c r="AW34" s="21">
        <f>EXP(-LN(2)/2)*AW33+(1-EXP(-LN(2)/2))/(LN(2)/2)*AQ34*AT34*VLOOKUP('Données projet'!$B$10,Paramètres!$A$1:$I$89,3,0)*0.475*44/12</f>
        <v>2.0802072650819028</v>
      </c>
      <c r="AX34" s="21">
        <f t="shared" si="6"/>
        <v>15.643718501961548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</v>
      </c>
      <c r="BD34" s="12">
        <f>IF('Données projet'!$A$88&gt;35,BD33+BC34-BL33,IF(A34&lt;'Données projet'!$A$88,$BA$205^A34,IF(A34='Données projet'!$A$88,'Données projet'!$B$88,BD33+BC34-BL33)))</f>
        <v>291</v>
      </c>
      <c r="BE34" s="13">
        <f>BD34*VLOOKUP('Données projet'!$B$11,Paramètres!$A$1:$I$89,3,0)*VLOOKUP('Données projet'!$B$11,Paramètres!$A$1:$I$89,5,0)</f>
        <v>236.0592</v>
      </c>
      <c r="BF34" s="13">
        <f t="shared" si="37"/>
        <v>57.590832896804159</v>
      </c>
      <c r="BG34" s="20">
        <f t="shared" si="7"/>
        <v>511.44047396193395</v>
      </c>
      <c r="BH34" s="59">
        <f t="shared" si="8"/>
        <v>804.77380729526726</v>
      </c>
      <c r="BI34" s="59">
        <f ca="1">AVERAGE(OFFSET($BH$3,0,0,'Données projet'!$E$11+1,1))-AVERAGE(OFFSET($H$3,0,0,'Données projet'!$E$11+1,1))</f>
        <v>325.66150195494157</v>
      </c>
      <c r="BJ34" s="59">
        <f t="shared" si="38"/>
        <v>429.07526815514467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7">
        <f t="shared" si="1"/>
        <v>357.24887213958226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167.59999999999994</v>
      </c>
      <c r="O35" s="13">
        <f>N35*VLOOKUP('Données projet'!$B$9,Paramètres!$A$1:$I$89,3,0)*VLOOKUP('Données projet'!$B$9,Paramètres!$A$1:$I$89,5,0)</f>
        <v>133.34255999999996</v>
      </c>
      <c r="P35" s="13">
        <f t="shared" si="33"/>
        <v>34.767581918978188</v>
      </c>
      <c r="Q35" s="20">
        <f t="shared" ref="Q35:Q66" si="53">(O35+P35)*0.475*44/12</f>
        <v>292.7918305088869</v>
      </c>
      <c r="R35" s="59">
        <f t="shared" si="0"/>
        <v>586.12516384222022</v>
      </c>
      <c r="S35" s="59">
        <f ca="1">AVERAGE(OFFSET($R$3,0,0,'Données projet'!$E$9+1,1))-AVERAGE(OFFSET($H$3,0,0,'Données projet'!$E$9+1,1))</f>
        <v>244.71206779102869</v>
      </c>
      <c r="T35" s="59">
        <f t="shared" si="34"/>
        <v>248.77995374147798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7.5450100160355857</v>
      </c>
      <c r="AA35" s="21">
        <f>EXP(-LN(2)/25)*AA34+(1-EXP(-LN(2)/25))/(LN(2)/25)*Calculateur!V35*Calculateur!X35*VLOOKUP('Données projet'!$B$9,Paramètres!$A$1:$I$89,3,0)*0.475*44/12</f>
        <v>4.8689674599165</v>
      </c>
      <c r="AB35" s="21">
        <f>EXP(-LN(2)/2)*AB34+(1-EXP(-LN(2)/2))/(LN(2)/2)*V35*Y35*VLOOKUP('Données projet'!$B$9,Paramètres!$A$1:$I$89,3,0)*0.475*44/12</f>
        <v>2.3500402446663311</v>
      </c>
      <c r="AC35" s="22">
        <f t="shared" si="3"/>
        <v>14.764017720618417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10.94358974358974</v>
      </c>
      <c r="AI35" s="13">
        <f>IF('Données projet'!$A$62&gt;35,AI34+AH35-AQ34,IF(A35&lt;'Données projet'!$A$62,$AF$205^A35,IF(A35='Données projet'!$A$62,'Données projet'!$B$62,AI34+AH35-AQ34)))</f>
        <v>155.63076923076918</v>
      </c>
      <c r="AJ35" s="13">
        <f>AI35*VLOOKUP('Données projet'!$B$10,Paramètres!$A$1:$I$89,3,0)*VLOOKUP('Données projet'!$B$10,Paramètres!$A$1:$I$89,5,0)</f>
        <v>104.39711999999997</v>
      </c>
      <c r="AK35" s="13">
        <f t="shared" si="35"/>
        <v>28.00691280838728</v>
      </c>
      <c r="AL35" s="20">
        <f t="shared" si="4"/>
        <v>230.60369047460779</v>
      </c>
      <c r="AM35" s="59">
        <f t="shared" si="5"/>
        <v>523.93702380794116</v>
      </c>
      <c r="AN35" s="59">
        <f ca="1">AVERAGE(OFFSET($AM$3,0,0,'Données projet'!$E$10+1,1))-AVERAGE(OFFSET($H$3,0,0,'Données projet'!$E$10+1,1))</f>
        <v>177.71717275462748</v>
      </c>
      <c r="AO35" s="59">
        <f t="shared" si="36"/>
        <v>183.73714278300957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9.4369090666974049</v>
      </c>
      <c r="AV35" s="21">
        <f>EXP(-LN(2)/25)*AV34+(1-EXP(-LN(2)/25))/(LN(2)/25)*Calculateur!AQ35*Calculateur!AS35*VLOOKUP('Données projet'!$B$10,Paramètres!$A$1:$I$89,3,0)*0.475*44/12</f>
        <v>3.830168118344067</v>
      </c>
      <c r="AW35" s="21">
        <f>EXP(-LN(2)/2)*AW34+(1-EXP(-LN(2)/2))/(LN(2)/2)*AQ35*AT35*VLOOKUP('Données projet'!$B$10,Paramètres!$A$1:$I$89,3,0)*0.475*44/12</f>
        <v>1.4709286634129355</v>
      </c>
      <c r="AX35" s="21">
        <f t="shared" si="6"/>
        <v>14.738005848454408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</v>
      </c>
      <c r="BD35" s="12">
        <f>IF('Données projet'!$A$88&gt;35,BD34+BC35-BL34,IF(A35&lt;'Données projet'!$A$88,$BA$205^A35,IF(A35='Données projet'!$A$88,'Données projet'!$B$88,BD34+BC35-BL34)))</f>
        <v>304</v>
      </c>
      <c r="BE35" s="13">
        <f>BD35*VLOOKUP('Données projet'!$B$11,Paramètres!$A$1:$I$89,3,0)*VLOOKUP('Données projet'!$B$11,Paramètres!$A$1:$I$89,5,0)</f>
        <v>246.60480000000004</v>
      </c>
      <c r="BF35" s="13">
        <f t="shared" si="37"/>
        <v>59.858332299931121</v>
      </c>
      <c r="BG35" s="20">
        <f t="shared" si="7"/>
        <v>533.7566220890468</v>
      </c>
      <c r="BH35" s="59">
        <f t="shared" si="8"/>
        <v>827.08995542238017</v>
      </c>
      <c r="BI35" s="59">
        <f ca="1">AVERAGE(OFFSET($BH$3,0,0,'Données projet'!$E$11+1,1))-AVERAGE(OFFSET($H$3,0,0,'Données projet'!$E$11+1,1))</f>
        <v>325.66150195494157</v>
      </c>
      <c r="BJ35" s="59">
        <f t="shared" si="38"/>
        <v>429.07526815514467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7">
        <f t="shared" si="1"/>
        <v>359.19008893301532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180.39999999999995</v>
      </c>
      <c r="O36" s="13">
        <f>N36*VLOOKUP('Données projet'!$B$9,Paramètres!$A$1:$I$89,3,0)*VLOOKUP('Données projet'!$B$9,Paramètres!$A$1:$I$89,5,0)</f>
        <v>143.52623999999997</v>
      </c>
      <c r="P36" s="13">
        <f t="shared" si="33"/>
        <v>37.103644337236275</v>
      </c>
      <c r="Q36" s="20">
        <f t="shared" si="53"/>
        <v>314.59704855401981</v>
      </c>
      <c r="R36" s="59">
        <f t="shared" si="0"/>
        <v>607.93038188735318</v>
      </c>
      <c r="S36" s="59">
        <f ca="1">AVERAGE(OFFSET($R$3,0,0,'Données projet'!$E$9+1,1))-AVERAGE(OFFSET($H$3,0,0,'Données projet'!$E$9+1,1))</f>
        <v>244.71206779102869</v>
      </c>
      <c r="T36" s="59">
        <f t="shared" si="34"/>
        <v>248.77995374147798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7.3970569716228276</v>
      </c>
      <c r="AA36" s="21">
        <f>EXP(-LN(2)/25)*AA35+(1-EXP(-LN(2)/25))/(LN(2)/25)*Calculateur!V36*Calculateur!X36*VLOOKUP('Données projet'!$B$9,Paramètres!$A$1:$I$89,3,0)*0.475*44/12</f>
        <v>4.735825288677213</v>
      </c>
      <c r="AB36" s="21">
        <f>EXP(-LN(2)/2)*AB35+(1-EXP(-LN(2)/2))/(LN(2)/2)*V36*Y36*VLOOKUP('Données projet'!$B$9,Paramètres!$A$1:$I$89,3,0)*0.475*44/12</f>
        <v>1.661729393064856</v>
      </c>
      <c r="AC36" s="22">
        <f t="shared" si="3"/>
        <v>13.794611653364896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10.94358974358974</v>
      </c>
      <c r="AI36" s="13">
        <f>IF('Données projet'!$A$62&gt;35,AI35+AH36-AQ35,IF(A36&lt;'Données projet'!$A$62,$AF$205^A36,IF(A36='Données projet'!$A$62,'Données projet'!$B$62,AI35+AH36-AQ35)))</f>
        <v>166.57435897435892</v>
      </c>
      <c r="AJ36" s="13">
        <f>AI36*VLOOKUP('Données projet'!$B$10,Paramètres!$A$1:$I$89,3,0)*VLOOKUP('Données projet'!$B$10,Paramètres!$A$1:$I$89,5,0)</f>
        <v>111.73807999999997</v>
      </c>
      <c r="AK36" s="13">
        <f t="shared" si="35"/>
        <v>29.740115391104982</v>
      </c>
      <c r="AL36" s="20">
        <f t="shared" si="4"/>
        <v>246.40785697284107</v>
      </c>
      <c r="AM36" s="59">
        <f t="shared" si="5"/>
        <v>539.74119030617442</v>
      </c>
      <c r="AN36" s="59">
        <f ca="1">AVERAGE(OFFSET($AM$3,0,0,'Données projet'!$E$10+1,1))-AVERAGE(OFFSET($H$3,0,0,'Données projet'!$E$10+1,1))</f>
        <v>177.71717275462748</v>
      </c>
      <c r="AO36" s="59">
        <f t="shared" si="36"/>
        <v>183.73714278300957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9.2518570358456476</v>
      </c>
      <c r="AV36" s="21">
        <f>EXP(-LN(2)/25)*AV35+(1-EXP(-LN(2)/25))/(LN(2)/25)*Calculateur!AQ36*Calculateur!AS36*VLOOKUP('Données projet'!$B$10,Paramètres!$A$1:$I$89,3,0)*0.475*44/12</f>
        <v>3.7254319697281613</v>
      </c>
      <c r="AW36" s="21">
        <f>EXP(-LN(2)/2)*AW35+(1-EXP(-LN(2)/2))/(LN(2)/2)*AQ36*AT36*VLOOKUP('Données projet'!$B$10,Paramètres!$A$1:$I$89,3,0)*0.475*44/12</f>
        <v>1.0401036325409514</v>
      </c>
      <c r="AX36" s="21">
        <f t="shared" si="6"/>
        <v>14.01739263811476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</v>
      </c>
      <c r="BD36" s="12">
        <f>IF('Données projet'!$A$88&gt;35,BD35+BC36-BL35,IF(A36&lt;'Données projet'!$A$88,$BA$205^A36,IF(A36='Données projet'!$A$88,'Données projet'!$B$88,BD35+BC36-BL35)))</f>
        <v>317</v>
      </c>
      <c r="BE36" s="13">
        <f>BD36*VLOOKUP('Données projet'!$B$11,Paramètres!$A$1:$I$89,3,0)*VLOOKUP('Données projet'!$B$11,Paramètres!$A$1:$I$89,5,0)</f>
        <v>257.15039999999999</v>
      </c>
      <c r="BF36" s="13">
        <f t="shared" si="37"/>
        <v>62.114569345676173</v>
      </c>
      <c r="BG36" s="20">
        <f t="shared" si="7"/>
        <v>556.05315494371928</v>
      </c>
      <c r="BH36" s="59">
        <f t="shared" si="8"/>
        <v>849.38648827705265</v>
      </c>
      <c r="BI36" s="59">
        <f ca="1">AVERAGE(OFFSET($BH$3,0,0,'Données projet'!$E$11+1,1))-AVERAGE(OFFSET($H$3,0,0,'Données projet'!$E$11+1,1))</f>
        <v>325.66150195494157</v>
      </c>
      <c r="BJ36" s="59">
        <f t="shared" si="38"/>
        <v>429.07526815514467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7">
        <f t="shared" si="1"/>
        <v>361.12982771018881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193.19999999999996</v>
      </c>
      <c r="O37" s="13">
        <f>N37*VLOOKUP('Données projet'!$B$9,Paramètres!$A$1:$I$89,3,0)*VLOOKUP('Données projet'!$B$9,Paramètres!$A$1:$I$89,5,0)</f>
        <v>153.70991999999998</v>
      </c>
      <c r="P37" s="13">
        <f t="shared" si="33"/>
        <v>39.420475690379831</v>
      </c>
      <c r="Q37" s="20">
        <f t="shared" si="53"/>
        <v>336.3687724940782</v>
      </c>
      <c r="R37" s="59">
        <f t="shared" si="0"/>
        <v>629.70210582741151</v>
      </c>
      <c r="S37" s="59">
        <f ca="1">AVERAGE(OFFSET($R$3,0,0,'Données projet'!$E$9+1,1))-AVERAGE(OFFSET($H$3,0,0,'Données projet'!$E$9+1,1))</f>
        <v>244.71206779102869</v>
      </c>
      <c r="T37" s="59">
        <f t="shared" si="34"/>
        <v>248.77995374147798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7.2520051961685574</v>
      </c>
      <c r="AA37" s="21">
        <f>EXP(-LN(2)/25)*AA36+(1-EXP(-LN(2)/25))/(LN(2)/25)*Calculateur!V37*Calculateur!X37*VLOOKUP('Données projet'!$B$9,Paramètres!$A$1:$I$89,3,0)*0.475*44/12</f>
        <v>4.6063238971121061</v>
      </c>
      <c r="AB37" s="21">
        <f>EXP(-LN(2)/2)*AB36+(1-EXP(-LN(2)/2))/(LN(2)/2)*V37*Y37*VLOOKUP('Données projet'!$B$9,Paramètres!$A$1:$I$89,3,0)*0.475*44/12</f>
        <v>1.1750201223331656</v>
      </c>
      <c r="AC37" s="22">
        <f t="shared" si="3"/>
        <v>13.033349215613828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10.94358974358974</v>
      </c>
      <c r="AI37" s="13">
        <f>IF('Données projet'!$A$62&gt;35,AI36+AH37-AQ36,IF(A37&lt;'Données projet'!$A$62,$AF$205^A37,IF(A37='Données projet'!$A$62,'Données projet'!$B$62,AI36+AH37-AQ36)))</f>
        <v>177.51794871794866</v>
      </c>
      <c r="AJ37" s="13">
        <f>AI37*VLOOKUP('Données projet'!$B$10,Paramètres!$A$1:$I$89,3,0)*VLOOKUP('Données projet'!$B$10,Paramètres!$A$1:$I$89,5,0)</f>
        <v>119.07903999999995</v>
      </c>
      <c r="AK37" s="13">
        <f t="shared" si="35"/>
        <v>31.460104279638191</v>
      </c>
      <c r="AL37" s="20">
        <f t="shared" si="4"/>
        <v>262.18900962036975</v>
      </c>
      <c r="AM37" s="59">
        <f t="shared" si="5"/>
        <v>555.52234295370306</v>
      </c>
      <c r="AN37" s="59">
        <f ca="1">AVERAGE(OFFSET($AM$3,0,0,'Données projet'!$E$10+1,1))-AVERAGE(OFFSET($H$3,0,0,'Données projet'!$E$10+1,1))</f>
        <v>177.71717275462748</v>
      </c>
      <c r="AO37" s="59">
        <f t="shared" si="36"/>
        <v>183.73714278300957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9.0704337624482996</v>
      </c>
      <c r="AV37" s="21">
        <f>EXP(-LN(2)/25)*AV36+(1-EXP(-LN(2)/25))/(LN(2)/25)*Calculateur!AQ37*Calculateur!AS37*VLOOKUP('Données projet'!$B$10,Paramètres!$A$1:$I$89,3,0)*0.475*44/12</f>
        <v>3.6235598366039921</v>
      </c>
      <c r="AW37" s="21">
        <f>EXP(-LN(2)/2)*AW36+(1-EXP(-LN(2)/2))/(LN(2)/2)*AQ37*AT37*VLOOKUP('Données projet'!$B$10,Paramètres!$A$1:$I$89,3,0)*0.475*44/12</f>
        <v>0.73546433170646774</v>
      </c>
      <c r="AX37" s="21">
        <f t="shared" si="6"/>
        <v>13.429457930758758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</v>
      </c>
      <c r="BD37" s="12">
        <f>IF('Données projet'!$A$88&gt;35,BD36+BC37-BL36,IF(A37&lt;'Données projet'!$A$88,$BA$205^A37,IF(A37='Données projet'!$A$88,'Données projet'!$B$88,BD36+BC37-BL36)))</f>
        <v>330</v>
      </c>
      <c r="BE37" s="13">
        <f>BD37*VLOOKUP('Données projet'!$B$11,Paramètres!$A$1:$I$89,3,0)*VLOOKUP('Données projet'!$B$11,Paramètres!$A$1:$I$89,5,0)</f>
        <v>267.69600000000003</v>
      </c>
      <c r="BF37" s="13">
        <f t="shared" si="37"/>
        <v>64.360058723585496</v>
      </c>
      <c r="BG37" s="20">
        <f t="shared" si="7"/>
        <v>578.33096894357811</v>
      </c>
      <c r="BH37" s="59">
        <f t="shared" si="8"/>
        <v>871.66430227691149</v>
      </c>
      <c r="BI37" s="59">
        <f ca="1">AVERAGE(OFFSET($BH$3,0,0,'Données projet'!$E$11+1,1))-AVERAGE(OFFSET($H$3,0,0,'Données projet'!$E$11+1,1))</f>
        <v>325.66150195494157</v>
      </c>
      <c r="BJ37" s="59">
        <f t="shared" si="38"/>
        <v>429.07526815514467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7">
        <f t="shared" si="1"/>
        <v>363.06813693338705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206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205.99999999999997</v>
      </c>
      <c r="O38" s="13">
        <f>N38*VLOOKUP('Données projet'!$B$9,Paramètres!$A$1:$I$89,3,0)*VLOOKUP('Données projet'!$B$9,Paramètres!$A$1:$I$89,5,0)</f>
        <v>163.89359999999999</v>
      </c>
      <c r="P38" s="13">
        <f t="shared" si="33"/>
        <v>41.71949506642347</v>
      </c>
      <c r="Q38" s="20">
        <f t="shared" si="53"/>
        <v>358.10947390735419</v>
      </c>
      <c r="R38" s="59">
        <f t="shared" si="0"/>
        <v>651.44280724068744</v>
      </c>
      <c r="S38" s="59">
        <f ca="1">AVERAGE(OFFSET($R$3,0,0,'Données projet'!$E$9+1,1))-AVERAGE(OFFSET($H$3,0,0,'Données projet'!$E$9+1,1))</f>
        <v>244.71206779102869</v>
      </c>
      <c r="T38" s="59">
        <f t="shared" si="34"/>
        <v>248.77995374147798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0.21200000000000002</v>
      </c>
      <c r="X38" s="16">
        <f>IF(ISNA(VLOOKUP(A38,'Données projet'!$A$35:$I$55,6,0)),0%,VLOOKUP(A38,'Données projet'!$A$35:$I$55,6,0)*VLOOKUP('Données projet'!$B$9,Paramètres!$A$1:$I$89,7,0))</f>
        <v>4.24E-2</v>
      </c>
      <c r="Y38" s="16">
        <f>IF(ISNA(VLOOKUP(A38,'Données projet'!$A$35:$I$55,7,0)),0%,VLOOKUP(A38,'Données projet'!$A$35:$I$55,7,0))</f>
        <v>0.12</v>
      </c>
      <c r="Z38" s="21">
        <f>EXP(-LN(2)/35)*Z37+(1-EXP(-LN(2)/35))/(LN(2)/35)*V38*W38*VLOOKUP('Données projet'!$B$9,Paramètres!$A$1:$I$89,3,0)*0.475*44/12</f>
        <v>13.635778573514699</v>
      </c>
      <c r="AA38" s="21">
        <f>EXP(-LN(2)/25)*AA37+(1-EXP(-LN(2)/25))/(LN(2)/25)*Calculateur!V38*Calculateur!X38*VLOOKUP('Données projet'!$B$9,Paramètres!$A$1:$I$89,3,0)*0.475*44/12</f>
        <v>5.7804208285191372</v>
      </c>
      <c r="AB38" s="21">
        <f>EXP(-LN(2)/2)*AB37+(1-EXP(-LN(2)/2))/(LN(2)/2)*V38*Y38*VLOOKUP('Données projet'!$B$9,Paramètres!$A$1:$I$89,3,0)*0.475*44/12</f>
        <v>3.9836787522246251</v>
      </c>
      <c r="AC38" s="22">
        <f t="shared" si="3"/>
        <v>23.39987815425846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188.46153846153845</v>
      </c>
      <c r="AG38" s="12">
        <f>VLOOKUP(A38,'Données projet'!$A$61:$I$81,9,0)</f>
        <v>10.94358974358974</v>
      </c>
      <c r="AH38" s="12">
        <f t="array" ref="AH38">INDEX(AG:AG,MIN(IF(ISNUMBER(AG38:AG234),ROW(AG38:AG234),"")))</f>
        <v>10.94358974358974</v>
      </c>
      <c r="AI38" s="13">
        <f>IF('Données projet'!$A$62&gt;35,AI37+AH38-AQ37,IF(A38&lt;'Données projet'!$A$62,$AF$205^A38,IF(A38='Données projet'!$A$62,'Données projet'!$B$62,AI37+AH38-AQ37)))</f>
        <v>188.4615384615384</v>
      </c>
      <c r="AJ38" s="13">
        <f>AI38*VLOOKUP('Données projet'!$B$10,Paramètres!$A$1:$I$89,3,0)*VLOOKUP('Données projet'!$B$10,Paramètres!$A$1:$I$89,5,0)</f>
        <v>126.41999999999994</v>
      </c>
      <c r="AK38" s="13">
        <f t="shared" si="35"/>
        <v>33.167786817172448</v>
      </c>
      <c r="AL38" s="20">
        <f t="shared" si="4"/>
        <v>277.94872870657525</v>
      </c>
      <c r="AM38" s="59">
        <f t="shared" si="5"/>
        <v>571.28206203990862</v>
      </c>
      <c r="AN38" s="59">
        <f ca="1">AVERAGE(OFFSET($AM$3,0,0,'Données projet'!$E$10+1,1))-AVERAGE(OFFSET($H$3,0,0,'Données projet'!$E$10+1,1))</f>
        <v>177.71717275462748</v>
      </c>
      <c r="AO38" s="59">
        <f t="shared" si="36"/>
        <v>183.73714278300957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31</v>
      </c>
      <c r="AR38" s="16">
        <f>IF(ISNA(VLOOKUP(A38,'Données projet'!$A$61:$I$81,5,0)),0%,VLOOKUP(A38,'Données projet'!$A$61:$I$81,5,0)*VLOOKUP('Données projet'!$B$10,Paramètres!$A$1:$I$89,7,0))</f>
        <v>0.21200000000000002</v>
      </c>
      <c r="AS38" s="16">
        <f>IF(ISNA(VLOOKUP(A38,'Données projet'!$A$61:$I$81,6,0)),0%,VLOOKUP(A38,'Données projet'!$A$61:$I$81,6,0)*VLOOKUP('Données projet'!$B$10,Paramètres!$A$1:$I$89,7,0))</f>
        <v>4.24E-2</v>
      </c>
      <c r="AT38" s="16">
        <f>IF(ISNA(VLOOKUP(A38,'Données projet'!$A$61:$I$81,7,0)),0%,VLOOKUP(A38,'Données projet'!$A$61:$I$81,7,0))</f>
        <v>0.12</v>
      </c>
      <c r="AU38" s="21">
        <f>EXP(-LN(2)/35)*AU37+(1-EXP(-LN(2)/35))/(LN(2)/35)*AQ38*AR38*VLOOKUP('Données projet'!$B$10,Paramètres!$A$1:$I$89,3,0)*0.475*44/12</f>
        <v>13.766031603827102</v>
      </c>
      <c r="AV38" s="21">
        <f>EXP(-LN(2)/25)*AV37+(1-EXP(-LN(2)/25))/(LN(2)/25)*Calculateur!AQ38*Calculateur!AS38*VLOOKUP('Données projet'!$B$10,Paramètres!$A$1:$I$89,3,0)*0.475*44/12</f>
        <v>4.4953283687669652</v>
      </c>
      <c r="AW38" s="21">
        <f>EXP(-LN(2)/2)*AW37+(1-EXP(-LN(2)/2))/(LN(2)/2)*AQ38*AT38*VLOOKUP('Données projet'!$B$10,Paramètres!$A$1:$I$89,3,0)*0.475*44/12</f>
        <v>2.8745062343308105</v>
      </c>
      <c r="AX38" s="21">
        <f t="shared" si="6"/>
        <v>21.135866206924877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343</v>
      </c>
      <c r="BB38" s="12">
        <f>VLOOKUP(A38,'Données projet'!$A$87:$I$107,9,0)</f>
        <v>13</v>
      </c>
      <c r="BC38" s="12">
        <f t="array" ref="BC38">INDEX(BB:BB,MIN(IF(ISNUMBER(BB38:BB234),ROW(BB38:BB234),"")))</f>
        <v>13</v>
      </c>
      <c r="BD38" s="12">
        <f>IF('Données projet'!$A$88&gt;35,BD37+BC38-BL37,IF(A38&lt;'Données projet'!$A$88,$BA$205^A38,IF(A38='Données projet'!$A$88,'Données projet'!$B$88,BD37+BC38-BL37)))</f>
        <v>343</v>
      </c>
      <c r="BE38" s="13">
        <f>BD38*VLOOKUP('Données projet'!$B$11,Paramètres!$A$1:$I$89,3,0)*VLOOKUP('Données projet'!$B$11,Paramètres!$A$1:$I$89,5,0)</f>
        <v>278.24160000000001</v>
      </c>
      <c r="BF38" s="13">
        <f t="shared" si="37"/>
        <v>66.595272276139795</v>
      </c>
      <c r="BG38" s="20">
        <f t="shared" si="7"/>
        <v>600.59088588094335</v>
      </c>
      <c r="BH38" s="59">
        <f t="shared" si="8"/>
        <v>893.92421921427672</v>
      </c>
      <c r="BI38" s="59">
        <f ca="1">AVERAGE(OFFSET($BH$3,0,0,'Données projet'!$E$11+1,1))-AVERAGE(OFFSET($H$3,0,0,'Données projet'!$E$11+1,1))</f>
        <v>325.66150195494157</v>
      </c>
      <c r="BJ38" s="59">
        <f t="shared" si="38"/>
        <v>429.07526815514467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7">
        <f t="shared" si="1"/>
        <v>365.00506213811195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</v>
      </c>
      <c r="N39" s="13">
        <f>IF('Données projet'!$A$36&gt;35,N38+M39-V38,IF(A39&lt;'Données projet'!$A$36,$K$205^A39,IF(A39='Données projet'!$A$36,'Données projet'!$B$36,N38+M39-V38)))</f>
        <v>182.39999999999998</v>
      </c>
      <c r="O39" s="13">
        <f>N39*VLOOKUP('Données projet'!$B$9,Paramètres!$A$1:$I$89,3,0)*VLOOKUP('Données projet'!$B$9,Paramètres!$A$1:$I$89,5,0)</f>
        <v>145.11743999999999</v>
      </c>
      <c r="P39" s="13">
        <f t="shared" si="33"/>
        <v>37.466878406916173</v>
      </c>
      <c r="Q39" s="20">
        <f t="shared" si="53"/>
        <v>318.00102122537896</v>
      </c>
      <c r="R39" s="59">
        <f t="shared" si="0"/>
        <v>611.33435455871222</v>
      </c>
      <c r="S39" s="59">
        <f ca="1">AVERAGE(OFFSET($R$3,0,0,'Données projet'!$E$9+1,1))-AVERAGE(OFFSET($H$3,0,0,'Données projet'!$E$9+1,1))</f>
        <v>244.71206779102869</v>
      </c>
      <c r="T39" s="59">
        <f t="shared" si="34"/>
        <v>248.77995374147798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13.36838927269177</v>
      </c>
      <c r="AA39" s="21">
        <f>EXP(-LN(2)/25)*AA38+(1-EXP(-LN(2)/25))/(LN(2)/25)*Calculateur!V39*Calculateur!X39*VLOOKUP('Données projet'!$B$9,Paramètres!$A$1:$I$89,3,0)*0.475*44/12</f>
        <v>5.6223549169841611</v>
      </c>
      <c r="AB39" s="21">
        <f>EXP(-LN(2)/2)*AB38+(1-EXP(-LN(2)/2))/(LN(2)/2)*V39*Y39*VLOOKUP('Données projet'!$B$9,Paramètres!$A$1:$I$89,3,0)*0.475*44/12</f>
        <v>2.8168862597667967</v>
      </c>
      <c r="AC39" s="22">
        <f t="shared" si="3"/>
        <v>21.807630449442726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10.174358974358972</v>
      </c>
      <c r="AI39" s="13">
        <f>IF('Données projet'!$A$62&gt;35,AI38+AH39-AQ38,IF(A39&lt;'Données projet'!$A$62,$AF$205^A39,IF(A39='Données projet'!$A$62,'Données projet'!$B$62,AI38+AH39-AQ38)))</f>
        <v>167.63589743589736</v>
      </c>
      <c r="AJ39" s="13">
        <f>AI39*VLOOKUP('Données projet'!$B$10,Paramètres!$A$1:$I$89,3,0)*VLOOKUP('Données projet'!$B$10,Paramètres!$A$1:$I$89,5,0)</f>
        <v>112.45015999999995</v>
      </c>
      <c r="AK39" s="13">
        <f t="shared" si="35"/>
        <v>29.907519153051897</v>
      </c>
      <c r="AL39" s="20">
        <f t="shared" si="4"/>
        <v>247.93962452489868</v>
      </c>
      <c r="AM39" s="59">
        <f t="shared" si="5"/>
        <v>541.27295785823196</v>
      </c>
      <c r="AN39" s="59">
        <f ca="1">AVERAGE(OFFSET($AM$3,0,0,'Données projet'!$E$10+1,1))-AVERAGE(OFFSET($H$3,0,0,'Données projet'!$E$10+1,1))</f>
        <v>177.71717275462748</v>
      </c>
      <c r="AO39" s="59">
        <f t="shared" si="36"/>
        <v>183.73714278300957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13.496088120526251</v>
      </c>
      <c r="AV39" s="21">
        <f>EXP(-LN(2)/25)*AV38+(1-EXP(-LN(2)/25))/(LN(2)/25)*Calculateur!AQ39*Calculateur!AS39*VLOOKUP('Données projet'!$B$10,Paramètres!$A$1:$I$89,3,0)*0.475*44/12</f>
        <v>4.3724033781239875</v>
      </c>
      <c r="AW39" s="21">
        <f>EXP(-LN(2)/2)*AW38+(1-EXP(-LN(2)/2))/(LN(2)/2)*AQ39*AT39*VLOOKUP('Données projet'!$B$10,Paramètres!$A$1:$I$89,3,0)*0.475*44/12</f>
        <v>2.0325828508583235</v>
      </c>
      <c r="AX39" s="21">
        <f t="shared" si="6"/>
        <v>19.901074349508558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354.4</v>
      </c>
      <c r="BE39" s="13">
        <f>BD39*VLOOKUP('Données projet'!$B$11,Paramètres!$A$1:$I$89,3,0)*VLOOKUP('Données projet'!$B$11,Paramètres!$A$1:$I$89,5,0)</f>
        <v>287.48928000000001</v>
      </c>
      <c r="BF39" s="13">
        <f t="shared" si="37"/>
        <v>68.547269428777625</v>
      </c>
      <c r="BG39" s="20">
        <f t="shared" si="7"/>
        <v>620.096990255121</v>
      </c>
      <c r="BH39" s="59">
        <f t="shared" si="8"/>
        <v>913.43032358845426</v>
      </c>
      <c r="BI39" s="59">
        <f ca="1">AVERAGE(OFFSET($BH$3,0,0,'Données projet'!$E$11+1,1))-AVERAGE(OFFSET($H$3,0,0,'Données projet'!$E$11+1,1))</f>
        <v>325.66150195494157</v>
      </c>
      <c r="BJ39" s="59">
        <f t="shared" si="38"/>
        <v>429.07526815514467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7">
        <f t="shared" si="1"/>
        <v>366.9406461861675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</v>
      </c>
      <c r="N40" s="13">
        <f>IF('Données projet'!$A$36&gt;35,N39+M40-V39,IF(A40&lt;'Données projet'!$A$36,$K$205^A40,IF(A40='Données projet'!$A$36,'Données projet'!$B$36,N39+M40-V39)))</f>
        <v>193.79999999999998</v>
      </c>
      <c r="O40" s="13">
        <f>N40*VLOOKUP('Données projet'!$B$9,Paramètres!$A$1:$I$89,3,0)*VLOOKUP('Données projet'!$B$9,Paramètres!$A$1:$I$89,5,0)</f>
        <v>154.18727999999999</v>
      </c>
      <c r="P40" s="13">
        <f t="shared" si="33"/>
        <v>39.528629863903078</v>
      </c>
      <c r="Q40" s="20">
        <f t="shared" si="53"/>
        <v>337.38854301296448</v>
      </c>
      <c r="R40" s="59">
        <f t="shared" si="0"/>
        <v>630.72187634629779</v>
      </c>
      <c r="S40" s="59">
        <f ca="1">AVERAGE(OFFSET($R$3,0,0,'Données projet'!$E$9+1,1))-AVERAGE(OFFSET($H$3,0,0,'Données projet'!$E$9+1,1))</f>
        <v>244.71206779102869</v>
      </c>
      <c r="T40" s="59">
        <f t="shared" si="34"/>
        <v>248.77995374147798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13.106243312966608</v>
      </c>
      <c r="AA40" s="21">
        <f>EXP(-LN(2)/25)*AA39+(1-EXP(-LN(2)/25))/(LN(2)/25)*Calculateur!V40*Calculateur!X40*VLOOKUP('Données projet'!$B$9,Paramètres!$A$1:$I$89,3,0)*0.475*44/12</f>
        <v>5.4686113261124341</v>
      </c>
      <c r="AB40" s="21">
        <f>EXP(-LN(2)/2)*AB39+(1-EXP(-LN(2)/2))/(LN(2)/2)*V40*Y40*VLOOKUP('Données projet'!$B$9,Paramètres!$A$1:$I$89,3,0)*0.475*44/12</f>
        <v>1.9918393761123128</v>
      </c>
      <c r="AC40" s="22">
        <f t="shared" si="3"/>
        <v>20.566694015191356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10.174358974358972</v>
      </c>
      <c r="AI40" s="13">
        <f>IF('Données projet'!$A$62&gt;35,AI39+AH40-AQ39,IF(A40&lt;'Données projet'!$A$62,$AF$205^A40,IF(A40='Données projet'!$A$62,'Données projet'!$B$62,AI39+AH40-AQ39)))</f>
        <v>177.81025641025633</v>
      </c>
      <c r="AJ40" s="13">
        <f>AI40*VLOOKUP('Données projet'!$B$10,Paramètres!$A$1:$I$89,3,0)*VLOOKUP('Données projet'!$B$10,Paramètres!$A$1:$I$89,5,0)</f>
        <v>119.27511999999994</v>
      </c>
      <c r="AK40" s="13">
        <f t="shared" si="35"/>
        <v>31.5058733658446</v>
      </c>
      <c r="AL40" s="20">
        <f t="shared" si="4"/>
        <v>262.61023011217929</v>
      </c>
      <c r="AM40" s="59">
        <f t="shared" si="5"/>
        <v>555.94356344551261</v>
      </c>
      <c r="AN40" s="59">
        <f ca="1">AVERAGE(OFFSET($AM$3,0,0,'Données projet'!$E$10+1,1))-AVERAGE(OFFSET($H$3,0,0,'Données projet'!$E$10+1,1))</f>
        <v>177.71717275462748</v>
      </c>
      <c r="AO40" s="59">
        <f t="shared" si="36"/>
        <v>183.73714278300957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13.231438064283662</v>
      </c>
      <c r="AV40" s="21">
        <f>EXP(-LN(2)/25)*AV39+(1-EXP(-LN(2)/25))/(LN(2)/25)*Calculateur!AQ40*Calculateur!AS40*VLOOKUP('Données projet'!$B$10,Paramètres!$A$1:$I$89,3,0)*0.475*44/12</f>
        <v>4.2528397778144864</v>
      </c>
      <c r="AW40" s="21">
        <f>EXP(-LN(2)/2)*AW39+(1-EXP(-LN(2)/2))/(LN(2)/2)*AQ40*AT40*VLOOKUP('Données projet'!$B$10,Paramètres!$A$1:$I$89,3,0)*0.475*44/12</f>
        <v>1.4372531171654055</v>
      </c>
      <c r="AX40" s="21">
        <f t="shared" si="6"/>
        <v>18.921530959263553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365.79999999999995</v>
      </c>
      <c r="BE40" s="13">
        <f>BD40*VLOOKUP('Données projet'!$B$11,Paramètres!$A$1:$I$89,3,0)*VLOOKUP('Données projet'!$B$11,Paramètres!$A$1:$I$89,5,0)</f>
        <v>296.73695999999995</v>
      </c>
      <c r="BF40" s="13">
        <f t="shared" si="37"/>
        <v>70.491970164645167</v>
      </c>
      <c r="BG40" s="20">
        <f t="shared" si="7"/>
        <v>639.59038670342352</v>
      </c>
      <c r="BH40" s="59">
        <f t="shared" si="8"/>
        <v>932.92372003675678</v>
      </c>
      <c r="BI40" s="59">
        <f ca="1">AVERAGE(OFFSET($BH$3,0,0,'Données projet'!$E$11+1,1))-AVERAGE(OFFSET($H$3,0,0,'Données projet'!$E$11+1,1))</f>
        <v>325.66150195494157</v>
      </c>
      <c r="BJ40" s="59">
        <f t="shared" si="38"/>
        <v>429.07526815514467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7">
        <f t="shared" si="1"/>
        <v>368.87492949061419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</v>
      </c>
      <c r="N41" s="13">
        <f>IF('Données projet'!$A$36&gt;35,N40+M41-V40,IF(A41&lt;'Données projet'!$A$36,$K$205^A41,IF(A41='Données projet'!$A$36,'Données projet'!$B$36,N40+M41-V40)))</f>
        <v>205.2</v>
      </c>
      <c r="O41" s="13">
        <f>N41*VLOOKUP('Données projet'!$B$9,Paramètres!$A$1:$I$89,3,0)*VLOOKUP('Données projet'!$B$9,Paramètres!$A$1:$I$89,5,0)</f>
        <v>163.25712000000001</v>
      </c>
      <c r="P41" s="13">
        <f t="shared" si="33"/>
        <v>41.576304038313076</v>
      </c>
      <c r="Q41" s="20">
        <f t="shared" si="53"/>
        <v>356.75154686672863</v>
      </c>
      <c r="R41" s="59">
        <f t="shared" si="0"/>
        <v>650.08488020006189</v>
      </c>
      <c r="S41" s="59">
        <f ca="1">AVERAGE(OFFSET($R$3,0,0,'Données projet'!$E$9+1,1))-AVERAGE(OFFSET($H$3,0,0,'Données projet'!$E$9+1,1))</f>
        <v>244.71206779102869</v>
      </c>
      <c r="T41" s="59">
        <f t="shared" si="34"/>
        <v>248.77995374147798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12.84923787561841</v>
      </c>
      <c r="AA41" s="21">
        <f>EXP(-LN(2)/25)*AA40+(1-EXP(-LN(2)/25))/(LN(2)/25)*Calculateur!V41*Calculateur!X41*VLOOKUP('Données projet'!$B$9,Paramètres!$A$1:$I$89,3,0)*0.475*44/12</f>
        <v>5.3190718618181183</v>
      </c>
      <c r="AB41" s="21">
        <f>EXP(-LN(2)/2)*AB40+(1-EXP(-LN(2)/2))/(LN(2)/2)*V41*Y41*VLOOKUP('Données projet'!$B$9,Paramètres!$A$1:$I$89,3,0)*0.475*44/12</f>
        <v>1.4084431298833986</v>
      </c>
      <c r="AC41" s="22">
        <f t="shared" si="3"/>
        <v>19.576752867319929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10.174358974358972</v>
      </c>
      <c r="AI41" s="13">
        <f>IF('Données projet'!$A$62&gt;35,AI40+AH41-AQ40,IF(A41&lt;'Données projet'!$A$62,$AF$205^A41,IF(A41='Données projet'!$A$62,'Données projet'!$B$62,AI40+AH41-AQ40)))</f>
        <v>187.9846153846153</v>
      </c>
      <c r="AJ41" s="13">
        <f>AI41*VLOOKUP('Données projet'!$B$10,Paramètres!$A$1:$I$89,3,0)*VLOOKUP('Données projet'!$B$10,Paramètres!$A$1:$I$89,5,0)</f>
        <v>126.10007999999993</v>
      </c>
      <c r="AK41" s="13">
        <f t="shared" si="35"/>
        <v>33.093611087891986</v>
      </c>
      <c r="AL41" s="20">
        <f t="shared" si="4"/>
        <v>277.26234531141171</v>
      </c>
      <c r="AM41" s="59">
        <f t="shared" si="5"/>
        <v>570.59567864474502</v>
      </c>
      <c r="AN41" s="59">
        <f ca="1">AVERAGE(OFFSET($AM$3,0,0,'Données projet'!$E$10+1,1))-AVERAGE(OFFSET($H$3,0,0,'Données projet'!$E$10+1,1))</f>
        <v>177.71717275462748</v>
      </c>
      <c r="AO41" s="59">
        <f t="shared" si="36"/>
        <v>183.73714278300957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12.971977634223395</v>
      </c>
      <c r="AV41" s="21">
        <f>EXP(-LN(2)/25)*AV40+(1-EXP(-LN(2)/25))/(LN(2)/25)*Calculateur!AQ41*Calculateur!AS41*VLOOKUP('Données projet'!$B$10,Paramètres!$A$1:$I$89,3,0)*0.475*44/12</f>
        <v>4.1365456504430256</v>
      </c>
      <c r="AW41" s="21">
        <f>EXP(-LN(2)/2)*AW40+(1-EXP(-LN(2)/2))/(LN(2)/2)*AQ41*AT41*VLOOKUP('Données projet'!$B$10,Paramètres!$A$1:$I$89,3,0)*0.475*44/12</f>
        <v>1.0162914254291617</v>
      </c>
      <c r="AX41" s="21">
        <f t="shared" si="6"/>
        <v>18.124814710095581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377.19999999999993</v>
      </c>
      <c r="BE41" s="13">
        <f>BD41*VLOOKUP('Données projet'!$B$11,Paramètres!$A$1:$I$89,3,0)*VLOOKUP('Données projet'!$B$11,Paramètres!$A$1:$I$89,5,0)</f>
        <v>305.98463999999996</v>
      </c>
      <c r="BF41" s="13">
        <f t="shared" si="37"/>
        <v>72.429627964968148</v>
      </c>
      <c r="BG41" s="20">
        <f t="shared" si="7"/>
        <v>659.0715167056527</v>
      </c>
      <c r="BH41" s="59">
        <f t="shared" si="8"/>
        <v>952.40485003898607</v>
      </c>
      <c r="BI41" s="59">
        <f ca="1">AVERAGE(OFFSET($BH$3,0,0,'Données projet'!$E$11+1,1))-AVERAGE(OFFSET($H$3,0,0,'Données projet'!$E$11+1,1))</f>
        <v>325.66150195494157</v>
      </c>
      <c r="BJ41" s="59">
        <f t="shared" si="38"/>
        <v>429.07526815514467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7">
        <f t="shared" si="1"/>
        <v>370.80795021637829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</v>
      </c>
      <c r="N42" s="13">
        <f>IF('Données projet'!$A$36&gt;35,N41+M42-V41,IF(A42&lt;'Données projet'!$A$36,$K$205^A42,IF(A42='Données projet'!$A$36,'Données projet'!$B$36,N41+M42-V41)))</f>
        <v>216.6</v>
      </c>
      <c r="O42" s="13">
        <f>N42*VLOOKUP('Données projet'!$B$9,Paramètres!$A$1:$I$89,3,0)*VLOOKUP('Données projet'!$B$9,Paramètres!$A$1:$I$89,5,0)</f>
        <v>172.32695999999999</v>
      </c>
      <c r="P42" s="13">
        <f t="shared" si="33"/>
        <v>43.61077213808133</v>
      </c>
      <c r="Q42" s="20">
        <f t="shared" si="53"/>
        <v>376.09155014049156</v>
      </c>
      <c r="R42" s="59">
        <f t="shared" si="0"/>
        <v>669.42488347382482</v>
      </c>
      <c r="S42" s="59">
        <f ca="1">AVERAGE(OFFSET($R$3,0,0,'Données projet'!$E$9+1,1))-AVERAGE(OFFSET($H$3,0,0,'Données projet'!$E$9+1,1))</f>
        <v>244.71206779102869</v>
      </c>
      <c r="T42" s="59">
        <f t="shared" si="34"/>
        <v>248.77995374147798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12.597272158138772</v>
      </c>
      <c r="AA42" s="21">
        <f>EXP(-LN(2)/25)*AA41+(1-EXP(-LN(2)/25))/(LN(2)/25)*Calculateur!V42*Calculateur!X42*VLOOKUP('Données projet'!$B$9,Paramètres!$A$1:$I$89,3,0)*0.475*44/12</f>
        <v>5.1736215620388695</v>
      </c>
      <c r="AB42" s="21">
        <f>EXP(-LN(2)/2)*AB41+(1-EXP(-LN(2)/2))/(LN(2)/2)*V42*Y42*VLOOKUP('Données projet'!$B$9,Paramètres!$A$1:$I$89,3,0)*0.475*44/12</f>
        <v>0.99591968805615649</v>
      </c>
      <c r="AC42" s="22">
        <f t="shared" si="3"/>
        <v>18.766813408233794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10.174358974358972</v>
      </c>
      <c r="AI42" s="13">
        <f>IF('Données projet'!$A$62&gt;35,AI41+AH42-AQ41,IF(A42&lt;'Données projet'!$A$62,$AF$205^A42,IF(A42='Données projet'!$A$62,'Données projet'!$B$62,AI41+AH42-AQ41)))</f>
        <v>198.15897435897426</v>
      </c>
      <c r="AJ42" s="13">
        <f>AI42*VLOOKUP('Données projet'!$B$10,Paramètres!$A$1:$I$89,3,0)*VLOOKUP('Données projet'!$B$10,Paramètres!$A$1:$I$89,5,0)</f>
        <v>132.92503999999994</v>
      </c>
      <c r="AK42" s="13">
        <f t="shared" si="35"/>
        <v>34.671372427834804</v>
      </c>
      <c r="AL42" s="20">
        <f t="shared" si="4"/>
        <v>291.8970849784788</v>
      </c>
      <c r="AM42" s="59">
        <f t="shared" si="5"/>
        <v>585.23041831181217</v>
      </c>
      <c r="AN42" s="59">
        <f ca="1">AVERAGE(OFFSET($AM$3,0,0,'Données projet'!$E$10+1,1))-AVERAGE(OFFSET($H$3,0,0,'Données projet'!$E$10+1,1))</f>
        <v>177.71717275462748</v>
      </c>
      <c r="AO42" s="59">
        <f t="shared" si="36"/>
        <v>183.73714278300957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12.717605064941374</v>
      </c>
      <c r="AV42" s="21">
        <f>EXP(-LN(2)/25)*AV41+(1-EXP(-LN(2)/25))/(LN(2)/25)*Calculateur!AQ42*Calculateur!AS42*VLOOKUP('Données projet'!$B$10,Paramètres!$A$1:$I$89,3,0)*0.475*44/12</f>
        <v>4.0234315921001791</v>
      </c>
      <c r="AW42" s="21">
        <f>EXP(-LN(2)/2)*AW41+(1-EXP(-LN(2)/2))/(LN(2)/2)*AQ42*AT42*VLOOKUP('Données projet'!$B$10,Paramètres!$A$1:$I$89,3,0)*0.475*44/12</f>
        <v>0.71862655858270275</v>
      </c>
      <c r="AX42" s="21">
        <f t="shared" si="6"/>
        <v>17.459663215624257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388.59999999999991</v>
      </c>
      <c r="BE42" s="13">
        <f>BD42*VLOOKUP('Données projet'!$B$11,Paramètres!$A$1:$I$89,3,0)*VLOOKUP('Données projet'!$B$11,Paramètres!$A$1:$I$89,5,0)</f>
        <v>315.2323199999999</v>
      </c>
      <c r="BF42" s="13">
        <f t="shared" si="37"/>
        <v>74.360480118488411</v>
      </c>
      <c r="BG42" s="20">
        <f t="shared" si="7"/>
        <v>678.54079353970053</v>
      </c>
      <c r="BH42" s="59">
        <f t="shared" si="8"/>
        <v>971.8741268730339</v>
      </c>
      <c r="BI42" s="59">
        <f ca="1">AVERAGE(OFFSET($BH$3,0,0,'Données projet'!$E$11+1,1))-AVERAGE(OFFSET($H$3,0,0,'Données projet'!$E$11+1,1))</f>
        <v>325.66150195494157</v>
      </c>
      <c r="BJ42" s="59">
        <f t="shared" si="38"/>
        <v>429.07526815514467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7">
        <f t="shared" si="1"/>
        <v>372.73974445970651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228</v>
      </c>
      <c r="L43" s="12">
        <f>VLOOKUP(A43,'Données projet'!$A$35:$I$55,9,0)</f>
        <v>11.4</v>
      </c>
      <c r="M43" s="12">
        <f t="array" ref="M43">INDEX(L:L,MIN(IF(ISNUMBER(L43:L239),ROW(L43:L239),"")))</f>
        <v>11.4</v>
      </c>
      <c r="N43" s="13">
        <f>IF('Données projet'!$A$36&gt;35,N42+M43-V42,IF(A43&lt;'Données projet'!$A$36,$K$205^A43,IF(A43='Données projet'!$A$36,'Données projet'!$B$36,N42+M43-V42)))</f>
        <v>228</v>
      </c>
      <c r="O43" s="13">
        <f>N43*VLOOKUP('Données projet'!$B$9,Paramètres!$A$1:$I$89,3,0)*VLOOKUP('Données projet'!$B$9,Paramètres!$A$1:$I$89,5,0)</f>
        <v>181.39680000000001</v>
      </c>
      <c r="P43" s="13">
        <f t="shared" si="33"/>
        <v>45.63280848550832</v>
      </c>
      <c r="Q43" s="20">
        <f t="shared" si="53"/>
        <v>395.40990144559368</v>
      </c>
      <c r="R43" s="59">
        <f t="shared" si="0"/>
        <v>688.74323477892699</v>
      </c>
      <c r="S43" s="59">
        <f ca="1">AVERAGE(OFFSET($R$3,0,0,'Données projet'!$E$9+1,1))-AVERAGE(OFFSET($H$3,0,0,'Données projet'!$E$9+1,1))</f>
        <v>244.71206779102869</v>
      </c>
      <c r="T43" s="59">
        <f t="shared" si="34"/>
        <v>248.77995374147798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0.21200000000000002</v>
      </c>
      <c r="X43" s="16">
        <f>IF(ISNA(VLOOKUP(A43,'Données projet'!$A$35:$I$55,6,0)),0%,VLOOKUP(A43,'Données projet'!$A$35:$I$55,6,0)*VLOOKUP('Données projet'!$B$9,Paramètres!$A$1:$I$89,7,0))</f>
        <v>4.24E-2</v>
      </c>
      <c r="Y43" s="16">
        <f>IF(ISNA(VLOOKUP(A43,'Données projet'!$A$35:$I$55,7,0)),0%,VLOOKUP(A43,'Données projet'!$A$35:$I$55,7,0))</f>
        <v>0.12</v>
      </c>
      <c r="Z43" s="21">
        <f>EXP(-LN(2)/35)*Z42+(1-EXP(-LN(2)/35))/(LN(2)/35)*V43*W43*VLOOKUP('Données projet'!$B$9,Paramètres!$A$1:$I$89,3,0)*0.475*44/12</f>
        <v>18.876228110651599</v>
      </c>
      <c r="AA43" s="21">
        <f>EXP(-LN(2)/25)*AA42+(1-EXP(-LN(2)/25))/(LN(2)/25)*Calculateur!V43*Calculateur!X43*VLOOKUP('Données projet'!$B$9,Paramètres!$A$1:$I$89,3,0)*0.475*44/12</f>
        <v>6.3322057089655903</v>
      </c>
      <c r="AB43" s="21">
        <f>EXP(-LN(2)/2)*AB42+(1-EXP(-LN(2)/2))/(LN(2)/2)*V43*Y43*VLOOKUP('Données projet'!$B$9,Paramètres!$A$1:$I$89,3,0)*0.475*44/12</f>
        <v>3.857035620633896</v>
      </c>
      <c r="AC43" s="22">
        <f t="shared" si="3"/>
        <v>29.065469440251086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208.33333333333331</v>
      </c>
      <c r="AG43" s="12">
        <f>VLOOKUP(A43,'Données projet'!$A$61:$I$81,9,0)</f>
        <v>10.174358974358972</v>
      </c>
      <c r="AH43" s="12">
        <f t="array" ref="AH43">INDEX(AG:AG,MIN(IF(ISNUMBER(AG43:AG239),ROW(AG43:AG239),"")))</f>
        <v>10.174358974358972</v>
      </c>
      <c r="AI43" s="13">
        <f>IF('Données projet'!$A$62&gt;35,AI42+AH43-AQ42,IF(A43&lt;'Données projet'!$A$62,$AF$205^A43,IF(A43='Données projet'!$A$62,'Données projet'!$B$62,AI42+AH43-AQ42)))</f>
        <v>208.33333333333323</v>
      </c>
      <c r="AJ43" s="13">
        <f>AI43*VLOOKUP('Données projet'!$B$10,Paramètres!$A$1:$I$89,3,0)*VLOOKUP('Données projet'!$B$10,Paramètres!$A$1:$I$89,5,0)</f>
        <v>139.74999999999994</v>
      </c>
      <c r="AK43" s="13">
        <f t="shared" si="35"/>
        <v>36.239728049520224</v>
      </c>
      <c r="AL43" s="20">
        <f t="shared" si="4"/>
        <v>306.51544301958097</v>
      </c>
      <c r="AM43" s="59">
        <f t="shared" si="5"/>
        <v>599.84877635291423</v>
      </c>
      <c r="AN43" s="59">
        <f ca="1">AVERAGE(OFFSET($AM$3,0,0,'Données projet'!$E$10+1,1))-AVERAGE(OFFSET($H$3,0,0,'Données projet'!$E$10+1,1))</f>
        <v>177.71717275462748</v>
      </c>
      <c r="AO43" s="59">
        <f t="shared" si="36"/>
        <v>183.73714278300957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31</v>
      </c>
      <c r="AR43" s="16">
        <f>IF(ISNA(VLOOKUP(A43,'Données projet'!$A$61:$I$81,5,0)),0%,VLOOKUP(A43,'Données projet'!$A$61:$I$81,5,0)*VLOOKUP('Données projet'!$B$10,Paramètres!$A$1:$I$89,7,0))</f>
        <v>0.318</v>
      </c>
      <c r="AS43" s="16">
        <f>IF(ISNA(VLOOKUP(A43,'Données projet'!$A$61:$I$81,6,0)),0%,VLOOKUP(A43,'Données projet'!$A$61:$I$81,6,0)*VLOOKUP('Données projet'!$B$10,Paramètres!$A$1:$I$89,7,0))</f>
        <v>2.12E-2</v>
      </c>
      <c r="AT43" s="16">
        <f>IF(ISNA(VLOOKUP(A43,'Données projet'!$A$61:$I$81,7,0)),0%,VLOOKUP(A43,'Données projet'!$A$61:$I$81,7,0))</f>
        <v>0.06</v>
      </c>
      <c r="AU43" s="21">
        <f>EXP(-LN(2)/35)*AU42+(1-EXP(-LN(2)/35))/(LN(2)/35)*AQ43*AR43*VLOOKUP('Données projet'!$B$10,Paramètres!$A$1:$I$89,3,0)*0.475*44/12</f>
        <v>19.778415859154176</v>
      </c>
      <c r="AV43" s="21">
        <f>EXP(-LN(2)/25)*AV42+(1-EXP(-LN(2)/25))/(LN(2)/25)*Calculateur!AQ43*Calculateur!AS43*VLOOKUP('Données projet'!$B$10,Paramètres!$A$1:$I$89,3,0)*0.475*44/12</f>
        <v>4.3988381268559476</v>
      </c>
      <c r="AW43" s="21">
        <f>EXP(-LN(2)/2)*AW42+(1-EXP(-LN(2)/2))/(LN(2)/2)*AQ43*AT43*VLOOKUP('Données projet'!$B$10,Paramètres!$A$1:$I$89,3,0)*0.475*44/12</f>
        <v>1.6853729217447482</v>
      </c>
      <c r="AX43" s="21">
        <f t="shared" si="6"/>
        <v>25.862626907754869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400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399.99999999999989</v>
      </c>
      <c r="BE43" s="13">
        <f>BD43*VLOOKUP('Données projet'!$B$11,Paramètres!$A$1:$I$89,3,0)*VLOOKUP('Données projet'!$B$11,Paramètres!$A$1:$I$89,5,0)</f>
        <v>324.4799999999999</v>
      </c>
      <c r="BF43" s="13">
        <f t="shared" si="37"/>
        <v>76.284749200165507</v>
      </c>
      <c r="BG43" s="20">
        <f t="shared" si="7"/>
        <v>697.99860485695478</v>
      </c>
      <c r="BH43" s="59">
        <f t="shared" si="8"/>
        <v>991.33193819028816</v>
      </c>
      <c r="BI43" s="59">
        <f ca="1">AVERAGE(OFFSET($BH$3,0,0,'Données projet'!$E$11+1,1))-AVERAGE(OFFSET($H$3,0,0,'Données projet'!$E$11+1,1))</f>
        <v>325.66150195494157</v>
      </c>
      <c r="BJ43" s="59">
        <f t="shared" si="38"/>
        <v>429.07526815514467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7">
        <f t="shared" si="1"/>
        <v>374.67034640917018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9.8000000000000007</v>
      </c>
      <c r="N44" s="13">
        <f>IF('Données projet'!$A$36&gt;35,N43+M44-V43,IF(A44&lt;'Données projet'!$A$36,$K$205^A44,IF(A44='Données projet'!$A$36,'Données projet'!$B$36,N43+M44-V43)))</f>
        <v>202.8</v>
      </c>
      <c r="O44" s="13">
        <f>N44*VLOOKUP('Données projet'!$B$9,Paramètres!$A$1:$I$89,3,0)*VLOOKUP('Données projet'!$B$9,Paramètres!$A$1:$I$89,5,0)</f>
        <v>161.34768000000003</v>
      </c>
      <c r="P44" s="13">
        <f t="shared" si="33"/>
        <v>41.146339844316657</v>
      </c>
      <c r="Q44" s="20">
        <f t="shared" si="53"/>
        <v>352.6770845621848</v>
      </c>
      <c r="R44" s="59">
        <f t="shared" si="0"/>
        <v>646.01041789551812</v>
      </c>
      <c r="S44" s="59">
        <f ca="1">AVERAGE(OFFSET($R$3,0,0,'Données projet'!$E$9+1,1))-AVERAGE(OFFSET($H$3,0,0,'Données projet'!$E$9+1,1))</f>
        <v>244.71206779102869</v>
      </c>
      <c r="T44" s="59">
        <f t="shared" si="34"/>
        <v>248.77995374147798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18.50607679076402</v>
      </c>
      <c r="AA44" s="21">
        <f>EXP(-LN(2)/25)*AA43+(1-EXP(-LN(2)/25))/(LN(2)/25)*Calculateur!V44*Calculateur!X44*VLOOKUP('Données projet'!$B$9,Paramètres!$A$1:$I$89,3,0)*0.475*44/12</f>
        <v>6.1590512108577009</v>
      </c>
      <c r="AB44" s="21">
        <f>EXP(-LN(2)/2)*AB43+(1-EXP(-LN(2)/2))/(LN(2)/2)*V44*Y44*VLOOKUP('Données projet'!$B$9,Paramètres!$A$1:$I$89,3,0)*0.475*44/12</f>
        <v>2.7273360426282922</v>
      </c>
      <c r="AC44" s="22">
        <f t="shared" si="3"/>
        <v>27.392464044250012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9.7897435897435905</v>
      </c>
      <c r="AI44" s="13">
        <f>IF('Données projet'!$A$62&gt;35,AI43+AH44-AQ43,IF(A44&lt;'Données projet'!$A$62,$AF$205^A44,IF(A44='Données projet'!$A$62,'Données projet'!$B$62,AI43+AH44-AQ43)))</f>
        <v>187.12307692307681</v>
      </c>
      <c r="AJ44" s="13">
        <f>AI44*VLOOKUP('Données projet'!$B$10,Paramètres!$A$1:$I$89,3,0)*VLOOKUP('Données projet'!$B$10,Paramètres!$A$1:$I$89,5,0)</f>
        <v>125.52215999999994</v>
      </c>
      <c r="AK44" s="13">
        <f t="shared" si="35"/>
        <v>32.959560645659018</v>
      </c>
      <c r="AL44" s="20">
        <f t="shared" si="4"/>
        <v>276.02233012452263</v>
      </c>
      <c r="AM44" s="59">
        <f t="shared" si="5"/>
        <v>569.35566345785594</v>
      </c>
      <c r="AN44" s="59">
        <f ca="1">AVERAGE(OFFSET($AM$3,0,0,'Données projet'!$E$10+1,1))-AVERAGE(OFFSET($H$3,0,0,'Données projet'!$E$10+1,1))</f>
        <v>177.71717275462748</v>
      </c>
      <c r="AO44" s="59">
        <f t="shared" si="36"/>
        <v>183.73714278300957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19.390573187798651</v>
      </c>
      <c r="AV44" s="21">
        <f>EXP(-LN(2)/25)*AV43+(1-EXP(-LN(2)/25))/(LN(2)/25)*Calculateur!AQ44*Calculateur!AS44*VLOOKUP('Données projet'!$B$10,Paramètres!$A$1:$I$89,3,0)*0.475*44/12</f>
        <v>4.2785516669522279</v>
      </c>
      <c r="AW44" s="21">
        <f>EXP(-LN(2)/2)*AW43+(1-EXP(-LN(2)/2))/(LN(2)/2)*AQ44*AT44*VLOOKUP('Données projet'!$B$10,Paramètres!$A$1:$I$89,3,0)*0.475*44/12</f>
        <v>1.1917386217938961</v>
      </c>
      <c r="AX44" s="21">
        <f t="shared" si="6"/>
        <v>24.860863476544775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409.7999999999999</v>
      </c>
      <c r="BE44" s="13">
        <f>BD44*VLOOKUP('Données projet'!$B$11,Paramètres!$A$1:$I$89,3,0)*VLOOKUP('Données projet'!$B$11,Paramètres!$A$1:$I$89,5,0)</f>
        <v>332.42975999999993</v>
      </c>
      <c r="BF44" s="13">
        <f t="shared" si="37"/>
        <v>77.933843132264997</v>
      </c>
      <c r="BG44" s="20">
        <f t="shared" si="7"/>
        <v>714.71660878869477</v>
      </c>
      <c r="BH44" s="59">
        <f t="shared" si="8"/>
        <v>1008.0499421220281</v>
      </c>
      <c r="BI44" s="59">
        <f ca="1">AVERAGE(OFFSET($BH$3,0,0,'Données projet'!$E$11+1,1))-AVERAGE(OFFSET($H$3,0,0,'Données projet'!$E$11+1,1))</f>
        <v>325.66150195494157</v>
      </c>
      <c r="BJ44" s="59">
        <f t="shared" si="38"/>
        <v>429.07526815514467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7">
        <f t="shared" si="1"/>
        <v>376.59978849051953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9.8000000000000007</v>
      </c>
      <c r="N45" s="13">
        <f>IF('Données projet'!$A$36&gt;35,N44+M45-V44,IF(A45&lt;'Données projet'!$A$36,$K$205^A45,IF(A45='Données projet'!$A$36,'Données projet'!$B$36,N44+M45-V44)))</f>
        <v>212.60000000000002</v>
      </c>
      <c r="O45" s="13">
        <f>N45*VLOOKUP('Données projet'!$B$9,Paramètres!$A$1:$I$89,3,0)*VLOOKUP('Données projet'!$B$9,Paramètres!$A$1:$I$89,5,0)</f>
        <v>169.14456000000004</v>
      </c>
      <c r="P45" s="13">
        <f t="shared" si="33"/>
        <v>42.898377267189964</v>
      </c>
      <c r="Q45" s="20">
        <f t="shared" si="53"/>
        <v>369.30811574035596</v>
      </c>
      <c r="R45" s="59">
        <f t="shared" si="0"/>
        <v>662.64144907368927</v>
      </c>
      <c r="S45" s="59">
        <f ca="1">AVERAGE(OFFSET($R$3,0,0,'Données projet'!$E$9+1,1))-AVERAGE(OFFSET($H$3,0,0,'Données projet'!$E$9+1,1))</f>
        <v>244.71206779102869</v>
      </c>
      <c r="T45" s="59">
        <f t="shared" si="34"/>
        <v>248.77995374147798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18.143183912489423</v>
      </c>
      <c r="AA45" s="21">
        <f>EXP(-LN(2)/25)*AA44+(1-EXP(-LN(2)/25))/(LN(2)/25)*Calculateur!V45*Calculateur!X45*VLOOKUP('Données projet'!$B$9,Paramètres!$A$1:$I$89,3,0)*0.475*44/12</f>
        <v>5.9906316316063704</v>
      </c>
      <c r="AB45" s="21">
        <f>EXP(-LN(2)/2)*AB44+(1-EXP(-LN(2)/2))/(LN(2)/2)*V45*Y45*VLOOKUP('Données projet'!$B$9,Paramètres!$A$1:$I$89,3,0)*0.475*44/12</f>
        <v>1.9285178103169485</v>
      </c>
      <c r="AC45" s="22">
        <f t="shared" si="3"/>
        <v>26.06233335441274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9.7897435897435905</v>
      </c>
      <c r="AI45" s="13">
        <f>IF('Données projet'!$A$62&gt;35,AI44+AH45-AQ44,IF(A45&lt;'Données projet'!$A$62,$AF$205^A45,IF(A45='Données projet'!$A$62,'Données projet'!$B$62,AI44+AH45-AQ44)))</f>
        <v>196.91282051282039</v>
      </c>
      <c r="AJ45" s="13">
        <f>AI45*VLOOKUP('Données projet'!$B$10,Paramètres!$A$1:$I$89,3,0)*VLOOKUP('Données projet'!$B$10,Paramètres!$A$1:$I$89,5,0)</f>
        <v>132.08911999999992</v>
      </c>
      <c r="AK45" s="13">
        <f t="shared" si="35"/>
        <v>34.478644810427831</v>
      </c>
      <c r="AL45" s="20">
        <f t="shared" si="4"/>
        <v>290.10552371149498</v>
      </c>
      <c r="AM45" s="59">
        <f t="shared" si="5"/>
        <v>583.4388570448283</v>
      </c>
      <c r="AN45" s="59">
        <f ca="1">AVERAGE(OFFSET($AM$3,0,0,'Données projet'!$E$10+1,1))-AVERAGE(OFFSET($H$3,0,0,'Données projet'!$E$10+1,1))</f>
        <v>177.71717275462748</v>
      </c>
      <c r="AO45" s="59">
        <f t="shared" si="36"/>
        <v>183.73714278300957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19.010335874667735</v>
      </c>
      <c r="AV45" s="21">
        <f>EXP(-LN(2)/25)*AV44+(1-EXP(-LN(2)/25))/(LN(2)/25)*Calculateur!AQ45*Calculateur!AS45*VLOOKUP('Données projet'!$B$10,Paramètres!$A$1:$I$89,3,0)*0.475*44/12</f>
        <v>4.1615544466201655</v>
      </c>
      <c r="AW45" s="21">
        <f>EXP(-LN(2)/2)*AW44+(1-EXP(-LN(2)/2))/(LN(2)/2)*AQ45*AT45*VLOOKUP('Données projet'!$B$10,Paramètres!$A$1:$I$89,3,0)*0.475*44/12</f>
        <v>0.84268646087237431</v>
      </c>
      <c r="AX45" s="21">
        <f t="shared" si="6"/>
        <v>24.014576782160276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419.59999999999991</v>
      </c>
      <c r="BE45" s="13">
        <f>BD45*VLOOKUP('Données projet'!$B$11,Paramètres!$A$1:$I$89,3,0)*VLOOKUP('Données projet'!$B$11,Paramètres!$A$1:$I$89,5,0)</f>
        <v>340.37951999999996</v>
      </c>
      <c r="BF45" s="13">
        <f t="shared" si="37"/>
        <v>79.578352564805741</v>
      </c>
      <c r="BG45" s="20">
        <f t="shared" si="7"/>
        <v>731.42662805036991</v>
      </c>
      <c r="BH45" s="59">
        <f t="shared" si="8"/>
        <v>1024.7599613837033</v>
      </c>
      <c r="BI45" s="59">
        <f ca="1">AVERAGE(OFFSET($BH$3,0,0,'Données projet'!$E$11+1,1))-AVERAGE(OFFSET($H$3,0,0,'Données projet'!$E$11+1,1))</f>
        <v>325.66150195494157</v>
      </c>
      <c r="BJ45" s="59">
        <f t="shared" si="38"/>
        <v>429.07526815514467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7">
        <f t="shared" si="1"/>
        <v>378.52810149735353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9.8000000000000007</v>
      </c>
      <c r="N46" s="13">
        <f>IF('Données projet'!$A$36&gt;35,N45+M46-V45,IF(A46&lt;'Données projet'!$A$36,$K$205^A46,IF(A46='Données projet'!$A$36,'Données projet'!$B$36,N45+M46-V45)))</f>
        <v>222.40000000000003</v>
      </c>
      <c r="O46" s="13">
        <f>N46*VLOOKUP('Données projet'!$B$9,Paramètres!$A$1:$I$89,3,0)*VLOOKUP('Données projet'!$B$9,Paramètres!$A$1:$I$89,5,0)</f>
        <v>176.94144000000003</v>
      </c>
      <c r="P46" s="13">
        <f t="shared" si="33"/>
        <v>44.641035679901449</v>
      </c>
      <c r="Q46" s="20">
        <f t="shared" si="53"/>
        <v>385.92281180916171</v>
      </c>
      <c r="R46" s="59">
        <f t="shared" si="0"/>
        <v>679.25614514249503</v>
      </c>
      <c r="S46" s="59">
        <f ca="1">AVERAGE(OFFSET($R$3,0,0,'Données projet'!$E$9+1,1))-AVERAGE(OFFSET($H$3,0,0,'Données projet'!$E$9+1,1))</f>
        <v>244.71206779102869</v>
      </c>
      <c r="T46" s="59">
        <f t="shared" si="34"/>
        <v>248.77995374147798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17.787407142214992</v>
      </c>
      <c r="AA46" s="21">
        <f>EXP(-LN(2)/25)*AA45+(1-EXP(-LN(2)/25))/(LN(2)/25)*Calculateur!V46*Calculateur!X46*VLOOKUP('Données projet'!$B$9,Paramètres!$A$1:$I$89,3,0)*0.475*44/12</f>
        <v>5.8268174946064688</v>
      </c>
      <c r="AB46" s="21">
        <f>EXP(-LN(2)/2)*AB45+(1-EXP(-LN(2)/2))/(LN(2)/2)*V46*Y46*VLOOKUP('Données projet'!$B$9,Paramètres!$A$1:$I$89,3,0)*0.475*44/12</f>
        <v>1.3636680213141463</v>
      </c>
      <c r="AC46" s="22">
        <f t="shared" si="3"/>
        <v>24.977892658135609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9.7897435897435905</v>
      </c>
      <c r="AI46" s="13">
        <f>IF('Données projet'!$A$62&gt;35,AI45+AH46-AQ45,IF(A46&lt;'Données projet'!$A$62,$AF$205^A46,IF(A46='Données projet'!$A$62,'Données projet'!$B$62,AI45+AH46-AQ45)))</f>
        <v>206.70256410256397</v>
      </c>
      <c r="AJ46" s="13">
        <f>AI46*VLOOKUP('Données projet'!$B$10,Paramètres!$A$1:$I$89,3,0)*VLOOKUP('Données projet'!$B$10,Paramètres!$A$1:$I$89,5,0)</f>
        <v>138.65607999999992</v>
      </c>
      <c r="AK46" s="13">
        <f t="shared" si="35"/>
        <v>35.988959672691188</v>
      </c>
      <c r="AL46" s="20">
        <f t="shared" si="4"/>
        <v>304.17344409660365</v>
      </c>
      <c r="AM46" s="59">
        <f t="shared" si="5"/>
        <v>597.50677742993696</v>
      </c>
      <c r="AN46" s="59">
        <f ca="1">AVERAGE(OFFSET($AM$3,0,0,'Données projet'!$E$10+1,1))-AVERAGE(OFFSET($H$3,0,0,'Données projet'!$E$10+1,1))</f>
        <v>177.71717275462748</v>
      </c>
      <c r="AO46" s="59">
        <f t="shared" si="36"/>
        <v>183.73714278300957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18.637554783325456</v>
      </c>
      <c r="AV46" s="21">
        <f>EXP(-LN(2)/25)*AV45+(1-EXP(-LN(2)/25))/(LN(2)/25)*Calculateur!AQ46*Calculateur!AS46*VLOOKUP('Données projet'!$B$10,Paramètres!$A$1:$I$89,3,0)*0.475*44/12</f>
        <v>4.0477565214307001</v>
      </c>
      <c r="AW46" s="21">
        <f>EXP(-LN(2)/2)*AW45+(1-EXP(-LN(2)/2))/(LN(2)/2)*AQ46*AT46*VLOOKUP('Données projet'!$B$10,Paramètres!$A$1:$I$89,3,0)*0.475*44/12</f>
        <v>0.59586931089694817</v>
      </c>
      <c r="AX46" s="21">
        <f t="shared" si="6"/>
        <v>23.281180615653103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429.39999999999992</v>
      </c>
      <c r="BE46" s="13">
        <f>BD46*VLOOKUP('Données projet'!$B$11,Paramètres!$A$1:$I$89,3,0)*VLOOKUP('Données projet'!$B$11,Paramètres!$A$1:$I$89,5,0)</f>
        <v>348.32927999999993</v>
      </c>
      <c r="BF46" s="13">
        <f t="shared" si="37"/>
        <v>81.218396894393294</v>
      </c>
      <c r="BG46" s="20">
        <f t="shared" si="7"/>
        <v>748.12887059106822</v>
      </c>
      <c r="BH46" s="59">
        <f t="shared" si="8"/>
        <v>1041.4622039244016</v>
      </c>
      <c r="BI46" s="59">
        <f ca="1">AVERAGE(OFFSET($BH$3,0,0,'Données projet'!$E$11+1,1))-AVERAGE(OFFSET($H$3,0,0,'Données projet'!$E$11+1,1))</f>
        <v>325.66150195494157</v>
      </c>
      <c r="BJ46" s="59">
        <f t="shared" si="38"/>
        <v>429.07526815514467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7">
        <f t="shared" si="1"/>
        <v>380.45531470929205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9.8000000000000007</v>
      </c>
      <c r="N47" s="13">
        <f>IF('Données projet'!$A$36&gt;35,N46+M47-V46,IF(A47&lt;'Données projet'!$A$36,$K$205^A47,IF(A47='Données projet'!$A$36,'Données projet'!$B$36,N46+M47-V46)))</f>
        <v>232.20000000000005</v>
      </c>
      <c r="O47" s="13">
        <f>N47*VLOOKUP('Données projet'!$B$9,Paramètres!$A$1:$I$89,3,0)*VLOOKUP('Données projet'!$B$9,Paramètres!$A$1:$I$89,5,0)</f>
        <v>184.73832000000004</v>
      </c>
      <c r="P47" s="13">
        <f t="shared" si="33"/>
        <v>46.374775595471988</v>
      </c>
      <c r="Q47" s="20">
        <f t="shared" si="53"/>
        <v>402.52197482878046</v>
      </c>
      <c r="R47" s="59">
        <f t="shared" si="0"/>
        <v>695.85530816211372</v>
      </c>
      <c r="S47" s="59">
        <f ca="1">AVERAGE(OFFSET($R$3,0,0,'Données projet'!$E$9+1,1))-AVERAGE(OFFSET($H$3,0,0,'Données projet'!$E$9+1,1))</f>
        <v>244.71206779102869</v>
      </c>
      <c r="T47" s="59">
        <f t="shared" si="34"/>
        <v>248.77995374147798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17.43860693740324</v>
      </c>
      <c r="AA47" s="21">
        <f>EXP(-LN(2)/25)*AA46+(1-EXP(-LN(2)/25))/(LN(2)/25)*Calculateur!V47*Calculateur!X47*VLOOKUP('Données projet'!$B$9,Paramètres!$A$1:$I$89,3,0)*0.475*44/12</f>
        <v>5.6674828637974404</v>
      </c>
      <c r="AB47" s="21">
        <f>EXP(-LN(2)/2)*AB46+(1-EXP(-LN(2)/2))/(LN(2)/2)*V47*Y47*VLOOKUP('Données projet'!$B$9,Paramètres!$A$1:$I$89,3,0)*0.475*44/12</f>
        <v>0.96425890515847434</v>
      </c>
      <c r="AC47" s="22">
        <f t="shared" si="3"/>
        <v>24.070348706359155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9.7897435897435905</v>
      </c>
      <c r="AI47" s="13">
        <f>IF('Données projet'!$A$62&gt;35,AI46+AH47-AQ46,IF(A47&lt;'Données projet'!$A$62,$AF$205^A47,IF(A47='Données projet'!$A$62,'Données projet'!$B$62,AI46+AH47-AQ46)))</f>
        <v>216.49230769230755</v>
      </c>
      <c r="AJ47" s="13">
        <f>AI47*VLOOKUP('Données projet'!$B$10,Paramètres!$A$1:$I$89,3,0)*VLOOKUP('Données projet'!$B$10,Paramètres!$A$1:$I$89,5,0)</f>
        <v>145.22303999999991</v>
      </c>
      <c r="AK47" s="13">
        <f t="shared" si="35"/>
        <v>37.490967981996157</v>
      </c>
      <c r="AL47" s="20">
        <f t="shared" si="4"/>
        <v>318.22689723530982</v>
      </c>
      <c r="AM47" s="59">
        <f t="shared" si="5"/>
        <v>611.56023056864319</v>
      </c>
      <c r="AN47" s="59">
        <f ca="1">AVERAGE(OFFSET($AM$3,0,0,'Données projet'!$E$10+1,1))-AVERAGE(OFFSET($H$3,0,0,'Données projet'!$E$10+1,1))</f>
        <v>177.71717275462748</v>
      </c>
      <c r="AO47" s="59">
        <f t="shared" si="36"/>
        <v>183.73714278300957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18.272083701810384</v>
      </c>
      <c r="AV47" s="21">
        <f>EXP(-LN(2)/25)*AV46+(1-EXP(-LN(2)/25))/(LN(2)/25)*Calculateur!AQ47*Calculateur!AS47*VLOOKUP('Données projet'!$B$10,Paramètres!$A$1:$I$89,3,0)*0.475*44/12</f>
        <v>3.9370704064899136</v>
      </c>
      <c r="AW47" s="21">
        <f>EXP(-LN(2)/2)*AW46+(1-EXP(-LN(2)/2))/(LN(2)/2)*AQ47*AT47*VLOOKUP('Données projet'!$B$10,Paramètres!$A$1:$I$89,3,0)*0.475*44/12</f>
        <v>0.42134323043618721</v>
      </c>
      <c r="AX47" s="21">
        <f t="shared" si="6"/>
        <v>22.630497338736483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439.19999999999993</v>
      </c>
      <c r="BE47" s="13">
        <f>BD47*VLOOKUP('Données projet'!$B$11,Paramètres!$A$1:$I$89,3,0)*VLOOKUP('Données projet'!$B$11,Paramètres!$A$1:$I$89,5,0)</f>
        <v>356.27904000000001</v>
      </c>
      <c r="BF47" s="13">
        <f t="shared" si="37"/>
        <v>82.854089756731454</v>
      </c>
      <c r="BG47" s="20">
        <f t="shared" si="7"/>
        <v>764.82353432630725</v>
      </c>
      <c r="BH47" s="59">
        <f t="shared" si="8"/>
        <v>1058.1568676596405</v>
      </c>
      <c r="BI47" s="59">
        <f ca="1">AVERAGE(OFFSET($BH$3,0,0,'Données projet'!$E$11+1,1))-AVERAGE(OFFSET($H$3,0,0,'Données projet'!$E$11+1,1))</f>
        <v>325.66150195494157</v>
      </c>
      <c r="BJ47" s="59">
        <f t="shared" si="38"/>
        <v>429.07526815514467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7">
        <f t="shared" si="1"/>
        <v>382.38145599910206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242</v>
      </c>
      <c r="L48" s="12">
        <f>VLOOKUP(A48,'Données projet'!$A$35:$I$55,9,0)</f>
        <v>9.8000000000000007</v>
      </c>
      <c r="M48" s="12">
        <f t="array" ref="M48">INDEX(L:L,MIN(IF(ISNUMBER(L48:L244),ROW(L48:L244),"")))</f>
        <v>9.8000000000000007</v>
      </c>
      <c r="N48" s="13">
        <f>IF('Données projet'!$A$36&gt;35,N47+M48-V47,IF(A48&lt;'Données projet'!$A$36,$K$205^A48,IF(A48='Données projet'!$A$36,'Données projet'!$B$36,N47+M48-V47)))</f>
        <v>242.00000000000006</v>
      </c>
      <c r="O48" s="13">
        <f>N48*VLOOKUP('Données projet'!$B$9,Paramètres!$A$1:$I$89,3,0)*VLOOKUP('Données projet'!$B$9,Paramètres!$A$1:$I$89,5,0)</f>
        <v>192.53520000000006</v>
      </c>
      <c r="P48" s="13">
        <f t="shared" si="33"/>
        <v>48.100016456123079</v>
      </c>
      <c r="Q48" s="20">
        <f t="shared" si="53"/>
        <v>419.10633532774779</v>
      </c>
      <c r="R48" s="59">
        <f t="shared" si="0"/>
        <v>712.4396686610811</v>
      </c>
      <c r="S48" s="59">
        <f ca="1">AVERAGE(OFFSET($R$3,0,0,'Données projet'!$E$9+1,1))-AVERAGE(OFFSET($H$3,0,0,'Données projet'!$E$9+1,1))</f>
        <v>244.71206779102869</v>
      </c>
      <c r="T48" s="59">
        <f t="shared" si="34"/>
        <v>248.77995374147798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24</v>
      </c>
      <c r="W48" s="16">
        <f>IF(ISNA(VLOOKUP(A48,'Données projet'!$A$35:$I$55,5,0)),0%,VLOOKUP(A48,'Données projet'!$A$35:$I$55,5,0)*VLOOKUP('Données projet'!$B$9,Paramètres!$A$1:$I$89,7,0))</f>
        <v>0.318</v>
      </c>
      <c r="X48" s="16">
        <f>IF(ISNA(VLOOKUP(A48,'Données projet'!$A$35:$I$55,6,0)),0%,VLOOKUP(A48,'Données projet'!$A$35:$I$55,6,0)*VLOOKUP('Données projet'!$B$9,Paramètres!$A$1:$I$89,7,0))</f>
        <v>2.12E-2</v>
      </c>
      <c r="Y48" s="16">
        <f>IF(ISNA(VLOOKUP(A48,'Données projet'!$A$35:$I$55,7,0)),0%,VLOOKUP(A48,'Données projet'!$A$35:$I$55,7,0))</f>
        <v>0.06</v>
      </c>
      <c r="Z48" s="21">
        <f>EXP(-LN(2)/35)*Z47+(1-EXP(-LN(2)/35))/(LN(2)/35)*V48*W48*VLOOKUP('Données projet'!$B$9,Paramètres!$A$1:$I$89,3,0)*0.475*44/12</f>
        <v>23.809083861416088</v>
      </c>
      <c r="AA48" s="21">
        <f>EXP(-LN(2)/25)*AA47+(1-EXP(-LN(2)/25))/(LN(2)/25)*Calculateur!V48*Calculateur!X48*VLOOKUP('Données projet'!$B$9,Paramètres!$A$1:$I$89,3,0)*0.475*44/12</f>
        <v>5.9582391099130803</v>
      </c>
      <c r="AB48" s="21">
        <f>EXP(-LN(2)/2)*AB47+(1-EXP(-LN(2)/2))/(LN(2)/2)*V48*Y48*VLOOKUP('Données projet'!$B$9,Paramètres!$A$1:$I$89,3,0)*0.475*44/12</f>
        <v>1.7627988297515405</v>
      </c>
      <c r="AC48" s="22">
        <f t="shared" si="3"/>
        <v>31.53012180108071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226.28205128205127</v>
      </c>
      <c r="AG48" s="12">
        <f>VLOOKUP(A48,'Données projet'!$A$61:$I$81,9,0)</f>
        <v>9.7897435897435905</v>
      </c>
      <c r="AH48" s="12">
        <f t="array" ref="AH48">INDEX(AG:AG,MIN(IF(ISNUMBER(AG48:AG244),ROW(AG48:AG244),"")))</f>
        <v>9.7897435897435905</v>
      </c>
      <c r="AI48" s="13">
        <f>IF('Données projet'!$A$62&gt;35,AI47+AH48-AQ47,IF(A48&lt;'Données projet'!$A$62,$AF$205^A48,IF(A48='Données projet'!$A$62,'Données projet'!$B$62,AI47+AH48-AQ47)))</f>
        <v>226.28205128205113</v>
      </c>
      <c r="AJ48" s="13">
        <f>AI48*VLOOKUP('Données projet'!$B$10,Paramètres!$A$1:$I$89,3,0)*VLOOKUP('Données projet'!$B$10,Paramètres!$A$1:$I$89,5,0)</f>
        <v>151.78999999999991</v>
      </c>
      <c r="AK48" s="13">
        <f t="shared" si="35"/>
        <v>38.985088271202081</v>
      </c>
      <c r="AL48" s="20">
        <f t="shared" si="4"/>
        <v>332.26661207234343</v>
      </c>
      <c r="AM48" s="59">
        <f t="shared" si="5"/>
        <v>625.59994540567675</v>
      </c>
      <c r="AN48" s="59">
        <f ca="1">AVERAGE(OFFSET($AM$3,0,0,'Données projet'!$E$10+1,1))-AVERAGE(OFFSET($H$3,0,0,'Données projet'!$E$10+1,1))</f>
        <v>177.71717275462748</v>
      </c>
      <c r="AO48" s="59">
        <f t="shared" si="36"/>
        <v>183.73714278300957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30</v>
      </c>
      <c r="AR48" s="16">
        <f>IF(ISNA(VLOOKUP(A48,'Données projet'!$A$61:$I$81,5,0)),0%,VLOOKUP(A48,'Données projet'!$A$61:$I$81,5,0)*VLOOKUP('Données projet'!$B$10,Paramètres!$A$1:$I$89,7,0))</f>
        <v>0.318</v>
      </c>
      <c r="AS48" s="16">
        <f>IF(ISNA(VLOOKUP(A48,'Données projet'!$A$61:$I$81,6,0)),0%,VLOOKUP(A48,'Données projet'!$A$61:$I$81,6,0)*VLOOKUP('Données projet'!$B$10,Paramètres!$A$1:$I$89,7,0))</f>
        <v>2.12E-2</v>
      </c>
      <c r="AT48" s="16">
        <f>IF(ISNA(VLOOKUP(A48,'Données projet'!$A$61:$I$81,7,0)),0%,VLOOKUP(A48,'Données projet'!$A$61:$I$81,7,0))</f>
        <v>0.06</v>
      </c>
      <c r="AU48" s="21">
        <f>EXP(-LN(2)/35)*AU47+(1-EXP(-LN(2)/35))/(LN(2)/35)*AQ48*AR48*VLOOKUP('Données projet'!$B$10,Paramètres!$A$1:$I$89,3,0)*0.475*44/12</f>
        <v>24.988161807123785</v>
      </c>
      <c r="AV48" s="21">
        <f>EXP(-LN(2)/25)*AV47+(1-EXP(-LN(2)/25))/(LN(2)/25)*Calculateur!AQ48*Calculateur!AS48*VLOOKUP('Données projet'!$B$10,Paramètres!$A$1:$I$89,3,0)*0.475*44/12</f>
        <v>4.2991795413359641</v>
      </c>
      <c r="AW48" s="21">
        <f>EXP(-LN(2)/2)*AW47+(1-EXP(-LN(2)/2))/(LN(2)/2)*AQ48*AT48*VLOOKUP('Données projet'!$B$10,Paramètres!$A$1:$I$89,3,0)*0.475*44/12</f>
        <v>1.4371867932196041</v>
      </c>
      <c r="AX48" s="21">
        <f t="shared" si="6"/>
        <v>30.72452814167935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449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448.99999999999994</v>
      </c>
      <c r="BE48" s="13">
        <f>BD48*VLOOKUP('Données projet'!$B$11,Paramètres!$A$1:$I$89,3,0)*VLOOKUP('Données projet'!$B$11,Paramètres!$A$1:$I$89,5,0)</f>
        <v>364.22879999999998</v>
      </c>
      <c r="BF48" s="13">
        <f t="shared" si="37"/>
        <v>84.485539426832773</v>
      </c>
      <c r="BG48" s="20">
        <f t="shared" si="7"/>
        <v>781.51080783506688</v>
      </c>
      <c r="BH48" s="59">
        <f t="shared" si="8"/>
        <v>1074.8441411684003</v>
      </c>
      <c r="BI48" s="59">
        <f ca="1">AVERAGE(OFFSET($BH$3,0,0,'Données projet'!$E$11+1,1))-AVERAGE(OFFSET($H$3,0,0,'Données projet'!$E$11+1,1))</f>
        <v>325.66150195494157</v>
      </c>
      <c r="BJ48" s="59">
        <f t="shared" si="38"/>
        <v>429.07526815514467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7">
        <f t="shared" si="1"/>
        <v>384.30655193003344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8.6</v>
      </c>
      <c r="N49" s="13">
        <f>IF('Données projet'!$A$36&gt;35,N48+M49-V48,IF(A49&lt;'Données projet'!$A$36,$K$205^A49,IF(A49='Données projet'!$A$36,'Données projet'!$B$36,N48+M49-V48)))</f>
        <v>226.60000000000005</v>
      </c>
      <c r="O49" s="13">
        <f>N49*VLOOKUP('Données projet'!$B$9,Paramètres!$A$1:$I$89,3,0)*VLOOKUP('Données projet'!$B$9,Paramètres!$A$1:$I$89,5,0)</f>
        <v>180.28296000000006</v>
      </c>
      <c r="P49" s="13">
        <f t="shared" si="33"/>
        <v>45.385133797071397</v>
      </c>
      <c r="Q49" s="20">
        <f t="shared" si="53"/>
        <v>393.03859669656612</v>
      </c>
      <c r="R49" s="59">
        <f t="shared" si="0"/>
        <v>686.37193002989943</v>
      </c>
      <c r="S49" s="59">
        <f ca="1">AVERAGE(OFFSET($R$3,0,0,'Données projet'!$E$9+1,1))-AVERAGE(OFFSET($H$3,0,0,'Données projet'!$E$9+1,1))</f>
        <v>244.71206779102869</v>
      </c>
      <c r="T49" s="59">
        <f t="shared" si="34"/>
        <v>248.77995374147798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23.342202249000934</v>
      </c>
      <c r="AA49" s="21">
        <f>EXP(-LN(2)/25)*AA48+(1-EXP(-LN(2)/25))/(LN(2)/25)*Calculateur!V49*Calculateur!X49*VLOOKUP('Données projet'!$B$9,Paramètres!$A$1:$I$89,3,0)*0.475*44/12</f>
        <v>5.79531074812233</v>
      </c>
      <c r="AB49" s="21">
        <f>EXP(-LN(2)/2)*AB48+(1-EXP(-LN(2)/2))/(LN(2)/2)*V49*Y49*VLOOKUP('Données projet'!$B$9,Paramètres!$A$1:$I$89,3,0)*0.475*44/12</f>
        <v>1.2464870063850246</v>
      </c>
      <c r="AC49" s="22">
        <f t="shared" si="3"/>
        <v>30.384000003508287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9.2051282051282044</v>
      </c>
      <c r="AI49" s="13">
        <f>IF('Données projet'!$A$62&gt;35,AI48+AH49-AQ48,IF(A49&lt;'Données projet'!$A$62,$AF$205^A49,IF(A49='Données projet'!$A$62,'Données projet'!$B$62,AI48+AH49-AQ48)))</f>
        <v>205.48717948717933</v>
      </c>
      <c r="AJ49" s="13">
        <f>AI49*VLOOKUP('Données projet'!$B$10,Paramètres!$A$1:$I$89,3,0)*VLOOKUP('Données projet'!$B$10,Paramètres!$A$1:$I$89,5,0)</f>
        <v>137.84079999999992</v>
      </c>
      <c r="AK49" s="13">
        <f t="shared" si="35"/>
        <v>35.801916530135799</v>
      </c>
      <c r="AL49" s="20">
        <f t="shared" si="4"/>
        <v>302.42773128998635</v>
      </c>
      <c r="AM49" s="59">
        <f t="shared" si="5"/>
        <v>595.76106462331973</v>
      </c>
      <c r="AN49" s="59">
        <f ca="1">AVERAGE(OFFSET($AM$3,0,0,'Données projet'!$E$10+1,1))-AVERAGE(OFFSET($H$3,0,0,'Données projet'!$E$10+1,1))</f>
        <v>177.71717275462748</v>
      </c>
      <c r="AO49" s="59">
        <f t="shared" si="36"/>
        <v>183.73714278300957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24.49815919535984</v>
      </c>
      <c r="AV49" s="21">
        <f>EXP(-LN(2)/25)*AV48+(1-EXP(-LN(2)/25))/(LN(2)/25)*Calculateur!AQ49*Calculateur!AS49*VLOOKUP('Données projet'!$B$10,Paramètres!$A$1:$I$89,3,0)*0.475*44/12</f>
        <v>4.1816182506941058</v>
      </c>
      <c r="AW49" s="21">
        <f>EXP(-LN(2)/2)*AW48+(1-EXP(-LN(2)/2))/(LN(2)/2)*AQ49*AT49*VLOOKUP('Données projet'!$B$10,Paramètres!$A$1:$I$89,3,0)*0.475*44/12</f>
        <v>1.0162445273173306</v>
      </c>
      <c r="AX49" s="21">
        <f t="shared" si="6"/>
        <v>29.696021973371277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8.4</v>
      </c>
      <c r="BD49" s="12">
        <f>IF('Données projet'!$A$88&gt;35,BD48+BC49-BL48,IF(A49&lt;'Données projet'!$A$88,$BA$205^A49,IF(A49='Données projet'!$A$88,'Données projet'!$B$88,BD48+BC49-BL48)))</f>
        <v>457.39999999999992</v>
      </c>
      <c r="BE49" s="13">
        <f>BD49*VLOOKUP('Données projet'!$B$11,Paramètres!$A$1:$I$89,3,0)*VLOOKUP('Données projet'!$B$11,Paramètres!$A$1:$I$89,5,0)</f>
        <v>371.04287999999997</v>
      </c>
      <c r="BF49" s="13">
        <f t="shared" si="37"/>
        <v>85.880626038906385</v>
      </c>
      <c r="BG49" s="20">
        <f t="shared" si="7"/>
        <v>795.80843968442844</v>
      </c>
      <c r="BH49" s="59">
        <f t="shared" si="8"/>
        <v>1089.1417730177618</v>
      </c>
      <c r="BI49" s="59">
        <f ca="1">AVERAGE(OFFSET($BH$3,0,0,'Données projet'!$E$11+1,1))-AVERAGE(OFFSET($H$3,0,0,'Données projet'!$E$11+1,1))</f>
        <v>325.66150195494157</v>
      </c>
      <c r="BJ49" s="59">
        <f t="shared" si="38"/>
        <v>429.07526815514467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7">
        <f t="shared" si="1"/>
        <v>386.23062784445153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8.6</v>
      </c>
      <c r="N50" s="13">
        <f>IF('Données projet'!$A$36&gt;35,N49+M50-V49,IF(A50&lt;'Données projet'!$A$36,$K$205^A50,IF(A50='Données projet'!$A$36,'Données projet'!$B$36,N49+M50-V49)))</f>
        <v>235.20000000000005</v>
      </c>
      <c r="O50" s="13">
        <f>N50*VLOOKUP('Données projet'!$B$9,Paramètres!$A$1:$I$89,3,0)*VLOOKUP('Données projet'!$B$9,Paramètres!$A$1:$I$89,5,0)</f>
        <v>187.12512000000004</v>
      </c>
      <c r="P50" s="13">
        <f t="shared" si="33"/>
        <v>46.903794805770545</v>
      </c>
      <c r="Q50" s="20">
        <f t="shared" si="53"/>
        <v>407.60035995338376</v>
      </c>
      <c r="R50" s="59">
        <f t="shared" si="0"/>
        <v>700.93369328671702</v>
      </c>
      <c r="S50" s="59">
        <f ca="1">AVERAGE(OFFSET($R$3,0,0,'Données projet'!$E$9+1,1))-AVERAGE(OFFSET($H$3,0,0,'Données projet'!$E$9+1,1))</f>
        <v>244.71206779102869</v>
      </c>
      <c r="T50" s="59">
        <f t="shared" si="34"/>
        <v>248.77995374147798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22.884475900235579</v>
      </c>
      <c r="AA50" s="21">
        <f>EXP(-LN(2)/25)*AA49+(1-EXP(-LN(2)/25))/(LN(2)/25)*Calculateur!V50*Calculateur!X50*VLOOKUP('Données projet'!$B$9,Paramètres!$A$1:$I$89,3,0)*0.475*44/12</f>
        <v>5.6368376709527777</v>
      </c>
      <c r="AB50" s="21">
        <f>EXP(-LN(2)/2)*AB49+(1-EXP(-LN(2)/2))/(LN(2)/2)*V50*Y50*VLOOKUP('Données projet'!$B$9,Paramètres!$A$1:$I$89,3,0)*0.475*44/12</f>
        <v>0.88139941487577034</v>
      </c>
      <c r="AC50" s="22">
        <f t="shared" si="3"/>
        <v>29.402712986064127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9.2051282051282044</v>
      </c>
      <c r="AI50" s="13">
        <f>IF('Données projet'!$A$62&gt;35,AI49+AH50-AQ49,IF(A50&lt;'Données projet'!$A$62,$AF$205^A50,IF(A50='Données projet'!$A$62,'Données projet'!$B$62,AI49+AH50-AQ49)))</f>
        <v>214.69230769230754</v>
      </c>
      <c r="AJ50" s="13">
        <f>AI50*VLOOKUP('Données projet'!$B$10,Paramètres!$A$1:$I$89,3,0)*VLOOKUP('Données projet'!$B$10,Paramètres!$A$1:$I$89,5,0)</f>
        <v>144.01559999999989</v>
      </c>
      <c r="AK50" s="13">
        <f t="shared" si="35"/>
        <v>37.215403555774529</v>
      </c>
      <c r="AL50" s="20">
        <f t="shared" si="4"/>
        <v>315.64399785964042</v>
      </c>
      <c r="AM50" s="59">
        <f t="shared" si="5"/>
        <v>608.97733119297368</v>
      </c>
      <c r="AN50" s="59">
        <f ca="1">AVERAGE(OFFSET($AM$3,0,0,'Données projet'!$E$10+1,1))-AVERAGE(OFFSET($H$3,0,0,'Données projet'!$E$10+1,1))</f>
        <v>177.71717275462748</v>
      </c>
      <c r="AO50" s="59">
        <f t="shared" si="36"/>
        <v>183.73714278300957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24.017765235940502</v>
      </c>
      <c r="AV50" s="21">
        <f>EXP(-LN(2)/25)*AV49+(1-EXP(-LN(2)/25))/(LN(2)/25)*Calculateur!AQ50*Calculateur!AS50*VLOOKUP('Données projet'!$B$10,Paramètres!$A$1:$I$89,3,0)*0.475*44/12</f>
        <v>4.0672716797271287</v>
      </c>
      <c r="AW50" s="21">
        <f>EXP(-LN(2)/2)*AW49+(1-EXP(-LN(2)/2))/(LN(2)/2)*AQ50*AT50*VLOOKUP('Données projet'!$B$10,Paramètres!$A$1:$I$89,3,0)*0.475*44/12</f>
        <v>0.71859339660980215</v>
      </c>
      <c r="AX50" s="21">
        <f t="shared" si="6"/>
        <v>28.803630312277431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8.4</v>
      </c>
      <c r="BD50" s="12">
        <f>IF('Données projet'!$A$88&gt;35,BD49+BC50-BL49,IF(A50&lt;'Données projet'!$A$88,$BA$205^A50,IF(A50='Données projet'!$A$88,'Données projet'!$B$88,BD49+BC50-BL49)))</f>
        <v>465.7999999999999</v>
      </c>
      <c r="BE50" s="13">
        <f>BD50*VLOOKUP('Données projet'!$B$11,Paramètres!$A$1:$I$89,3,0)*VLOOKUP('Données projet'!$B$11,Paramètres!$A$1:$I$89,5,0)</f>
        <v>377.85695999999996</v>
      </c>
      <c r="BF50" s="13">
        <f t="shared" si="37"/>
        <v>87.272733455616802</v>
      </c>
      <c r="BG50" s="20">
        <f t="shared" si="7"/>
        <v>810.10088276853241</v>
      </c>
      <c r="BH50" s="59">
        <f t="shared" si="8"/>
        <v>1103.4342161018658</v>
      </c>
      <c r="BI50" s="59">
        <f ca="1">AVERAGE(OFFSET($BH$3,0,0,'Données projet'!$E$11+1,1))-AVERAGE(OFFSET($H$3,0,0,'Données projet'!$E$11+1,1))</f>
        <v>325.66150195494157</v>
      </c>
      <c r="BJ50" s="59">
        <f t="shared" si="38"/>
        <v>429.07526815514467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7">
        <f t="shared" si="1"/>
        <v>388.15370794471403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8.6</v>
      </c>
      <c r="N51" s="13">
        <f>IF('Données projet'!$A$36&gt;35,N50+M51-V50,IF(A51&lt;'Données projet'!$A$36,$K$205^A51,IF(A51='Données projet'!$A$36,'Données projet'!$B$36,N50+M51-V50)))</f>
        <v>243.80000000000004</v>
      </c>
      <c r="O51" s="13">
        <f>N51*VLOOKUP('Données projet'!$B$9,Paramètres!$A$1:$I$89,3,0)*VLOOKUP('Données projet'!$B$9,Paramètres!$A$1:$I$89,5,0)</f>
        <v>193.96728000000004</v>
      </c>
      <c r="P51" s="13">
        <f t="shared" si="33"/>
        <v>48.41600442423902</v>
      </c>
      <c r="Q51" s="20">
        <f t="shared" si="53"/>
        <v>422.15088703888301</v>
      </c>
      <c r="R51" s="59">
        <f t="shared" si="0"/>
        <v>715.48422037221633</v>
      </c>
      <c r="S51" s="59">
        <f ca="1">AVERAGE(OFFSET($R$3,0,0,'Données projet'!$E$9+1,1))-AVERAGE(OFFSET($H$3,0,0,'Données projet'!$E$9+1,1))</f>
        <v>244.71206779102869</v>
      </c>
      <c r="T51" s="59">
        <f t="shared" si="34"/>
        <v>248.77995374147798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22.435725285984006</v>
      </c>
      <c r="AA51" s="21">
        <f>EXP(-LN(2)/25)*AA50+(1-EXP(-LN(2)/25))/(LN(2)/25)*Calculateur!V51*Calculateur!X51*VLOOKUP('Données projet'!$B$9,Paramètres!$A$1:$I$89,3,0)*0.475*44/12</f>
        <v>5.4826980484121641</v>
      </c>
      <c r="AB51" s="21">
        <f>EXP(-LN(2)/2)*AB50+(1-EXP(-LN(2)/2))/(LN(2)/2)*V51*Y51*VLOOKUP('Données projet'!$B$9,Paramètres!$A$1:$I$89,3,0)*0.475*44/12</f>
        <v>0.62324350319251243</v>
      </c>
      <c r="AC51" s="22">
        <f t="shared" si="3"/>
        <v>28.541666837588682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9.2051282051282044</v>
      </c>
      <c r="AI51" s="13">
        <f>IF('Données projet'!$A$62&gt;35,AI50+AH51-AQ50,IF(A51&lt;'Données projet'!$A$62,$AF$205^A51,IF(A51='Données projet'!$A$62,'Données projet'!$B$62,AI50+AH51-AQ50)))</f>
        <v>223.89743589743574</v>
      </c>
      <c r="AJ51" s="13">
        <f>AI51*VLOOKUP('Données projet'!$B$10,Paramètres!$A$1:$I$89,3,0)*VLOOKUP('Données projet'!$B$10,Paramètres!$A$1:$I$89,5,0)</f>
        <v>150.1903999999999</v>
      </c>
      <c r="AK51" s="13">
        <f t="shared" si="35"/>
        <v>38.621851509074865</v>
      </c>
      <c r="AL51" s="20">
        <f t="shared" si="4"/>
        <v>328.84800471163857</v>
      </c>
      <c r="AM51" s="59">
        <f t="shared" si="5"/>
        <v>622.18133804497188</v>
      </c>
      <c r="AN51" s="59">
        <f ca="1">AVERAGE(OFFSET($AM$3,0,0,'Données projet'!$E$10+1,1))-AVERAGE(OFFSET($H$3,0,0,'Données projet'!$E$10+1,1))</f>
        <v>177.71717275462748</v>
      </c>
      <c r="AO51" s="59">
        <f t="shared" si="36"/>
        <v>183.73714278300957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23.546791509053996</v>
      </c>
      <c r="AV51" s="21">
        <f>EXP(-LN(2)/25)*AV50+(1-EXP(-LN(2)/25))/(LN(2)/25)*Calculateur!AQ51*Calculateur!AS51*VLOOKUP('Données projet'!$B$10,Paramètres!$A$1:$I$89,3,0)*0.475*44/12</f>
        <v>3.9560519217564685</v>
      </c>
      <c r="AW51" s="21">
        <f>EXP(-LN(2)/2)*AW50+(1-EXP(-LN(2)/2))/(LN(2)/2)*AQ51*AT51*VLOOKUP('Données projet'!$B$10,Paramètres!$A$1:$I$89,3,0)*0.475*44/12</f>
        <v>0.50812226365866542</v>
      </c>
      <c r="AX51" s="21">
        <f t="shared" si="6"/>
        <v>28.010965694469132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8.4</v>
      </c>
      <c r="BD51" s="12">
        <f>IF('Données projet'!$A$88&gt;35,BD50+BC51-BL50,IF(A51&lt;'Données projet'!$A$88,$BA$205^A51,IF(A51='Données projet'!$A$88,'Données projet'!$B$88,BD50+BC51-BL50)))</f>
        <v>474.19999999999987</v>
      </c>
      <c r="BE51" s="13">
        <f>BD51*VLOOKUP('Données projet'!$B$11,Paramètres!$A$1:$I$89,3,0)*VLOOKUP('Données projet'!$B$11,Paramètres!$A$1:$I$89,5,0)</f>
        <v>384.67103999999995</v>
      </c>
      <c r="BF51" s="13">
        <f t="shared" si="37"/>
        <v>88.661921599522231</v>
      </c>
      <c r="BG51" s="20">
        <f t="shared" si="7"/>
        <v>824.38824145250101</v>
      </c>
      <c r="BH51" s="59">
        <f t="shared" si="8"/>
        <v>1117.7215747858343</v>
      </c>
      <c r="BI51" s="59">
        <f ca="1">AVERAGE(OFFSET($BH$3,0,0,'Données projet'!$E$11+1,1))-AVERAGE(OFFSET($H$3,0,0,'Données projet'!$E$11+1,1))</f>
        <v>325.66150195494157</v>
      </c>
      <c r="BJ51" s="59">
        <f t="shared" si="38"/>
        <v>429.07526815514467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7">
        <f t="shared" si="1"/>
        <v>390.07581536711751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8.6</v>
      </c>
      <c r="N52" s="13">
        <f>IF('Données projet'!$A$36&gt;35,N51+M52-V51,IF(A52&lt;'Données projet'!$A$36,$K$205^A52,IF(A52='Données projet'!$A$36,'Données projet'!$B$36,N51+M52-V51)))</f>
        <v>252.40000000000003</v>
      </c>
      <c r="O52" s="13">
        <f>N52*VLOOKUP('Données projet'!$B$9,Paramètres!$A$1:$I$89,3,0)*VLOOKUP('Données projet'!$B$9,Paramètres!$A$1:$I$89,5,0)</f>
        <v>200.80944000000002</v>
      </c>
      <c r="P52" s="13">
        <f t="shared" si="33"/>
        <v>49.922016299484312</v>
      </c>
      <c r="Q52" s="20">
        <f t="shared" si="53"/>
        <v>436.69061972160188</v>
      </c>
      <c r="R52" s="59">
        <f t="shared" si="0"/>
        <v>730.02395305493519</v>
      </c>
      <c r="S52" s="59">
        <f ca="1">AVERAGE(OFFSET($R$3,0,0,'Données projet'!$E$9+1,1))-AVERAGE(OFFSET($H$3,0,0,'Données projet'!$E$9+1,1))</f>
        <v>244.71206779102869</v>
      </c>
      <c r="T52" s="59">
        <f t="shared" si="34"/>
        <v>248.77995374147798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21.995774397567057</v>
      </c>
      <c r="AA52" s="21">
        <f>EXP(-LN(2)/25)*AA51+(1-EXP(-LN(2)/25))/(LN(2)/25)*Calculateur!V52*Calculateur!X52*VLOOKUP('Données projet'!$B$9,Paramètres!$A$1:$I$89,3,0)*0.475*44/12</f>
        <v>5.3327733819557741</v>
      </c>
      <c r="AB52" s="21">
        <f>EXP(-LN(2)/2)*AB51+(1-EXP(-LN(2)/2))/(LN(2)/2)*V52*Y52*VLOOKUP('Données projet'!$B$9,Paramètres!$A$1:$I$89,3,0)*0.475*44/12</f>
        <v>0.44069970743788522</v>
      </c>
      <c r="AC52" s="22">
        <f t="shared" si="3"/>
        <v>27.769247486960719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9.2051282051282044</v>
      </c>
      <c r="AI52" s="13">
        <f>IF('Données projet'!$A$62&gt;35,AI51+AH52-AQ51,IF(A52&lt;'Données projet'!$A$62,$AF$205^A52,IF(A52='Données projet'!$A$62,'Données projet'!$B$62,AI51+AH52-AQ51)))</f>
        <v>233.10256410256395</v>
      </c>
      <c r="AJ52" s="13">
        <f>AI52*VLOOKUP('Données projet'!$B$10,Paramètres!$A$1:$I$89,3,0)*VLOOKUP('Données projet'!$B$10,Paramètres!$A$1:$I$89,5,0)</f>
        <v>156.3651999999999</v>
      </c>
      <c r="AK52" s="13">
        <f t="shared" si="35"/>
        <v>40.021582887835372</v>
      </c>
      <c r="AL52" s="20">
        <f t="shared" si="4"/>
        <v>342.04031352964643</v>
      </c>
      <c r="AM52" s="59">
        <f t="shared" si="5"/>
        <v>635.37364686297974</v>
      </c>
      <c r="AN52" s="59">
        <f ca="1">AVERAGE(OFFSET($AM$3,0,0,'Données projet'!$E$10+1,1))-AVERAGE(OFFSET($H$3,0,0,'Données projet'!$E$10+1,1))</f>
        <v>177.71717275462748</v>
      </c>
      <c r="AO52" s="59">
        <f t="shared" si="36"/>
        <v>183.73714278300957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23.085053289686126</v>
      </c>
      <c r="AV52" s="21">
        <f>EXP(-LN(2)/25)*AV51+(1-EXP(-LN(2)/25))/(LN(2)/25)*Calculateur!AQ52*Calculateur!AS52*VLOOKUP('Données projet'!$B$10,Paramètres!$A$1:$I$89,3,0)*0.475*44/12</f>
        <v>3.8478734739163087</v>
      </c>
      <c r="AW52" s="21">
        <f>EXP(-LN(2)/2)*AW51+(1-EXP(-LN(2)/2))/(LN(2)/2)*AQ52*AT52*VLOOKUP('Données projet'!$B$10,Paramètres!$A$1:$I$89,3,0)*0.475*44/12</f>
        <v>0.35929669830490119</v>
      </c>
      <c r="AX52" s="21">
        <f t="shared" si="6"/>
        <v>27.292223461907337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8.4</v>
      </c>
      <c r="BD52" s="12">
        <f>IF('Données projet'!$A$88&gt;35,BD51+BC52-BL51,IF(A52&lt;'Données projet'!$A$88,$BA$205^A52,IF(A52='Données projet'!$A$88,'Données projet'!$B$88,BD51+BC52-BL51)))</f>
        <v>482.59999999999985</v>
      </c>
      <c r="BE52" s="13">
        <f>BD52*VLOOKUP('Données projet'!$B$11,Paramètres!$A$1:$I$89,3,0)*VLOOKUP('Données projet'!$B$11,Paramètres!$A$1:$I$89,5,0)</f>
        <v>391.48511999999994</v>
      </c>
      <c r="BF52" s="13">
        <f t="shared" si="37"/>
        <v>90.048248148647332</v>
      </c>
      <c r="BG52" s="20">
        <f t="shared" si="7"/>
        <v>838.67061619222716</v>
      </c>
      <c r="BH52" s="59">
        <f t="shared" si="8"/>
        <v>1132.0039495255605</v>
      </c>
      <c r="BI52" s="59">
        <f ca="1">AVERAGE(OFFSET($BH$3,0,0,'Données projet'!$E$11+1,1))-AVERAGE(OFFSET($H$3,0,0,'Données projet'!$E$11+1,1))</f>
        <v>325.66150195494157</v>
      </c>
      <c r="BJ52" s="59">
        <f t="shared" si="38"/>
        <v>429.07526815514467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7">
        <f t="shared" si="1"/>
        <v>391.99697224963768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261</v>
      </c>
      <c r="L53" s="12">
        <f>VLOOKUP(A53,'Données projet'!$A$35:$I$55,9,0)</f>
        <v>8.6</v>
      </c>
      <c r="M53" s="12">
        <f t="array" ref="M53">INDEX(L:L,MIN(IF(ISNUMBER(L53:L249),ROW(L53:L249),"")))</f>
        <v>8.6</v>
      </c>
      <c r="N53" s="13">
        <f>IF('Données projet'!$A$36&gt;35,N52+M53-V52,IF(A53&lt;'Données projet'!$A$36,$K$205^A53,IF(A53='Données projet'!$A$36,'Données projet'!$B$36,N52+M53-V52)))</f>
        <v>261.00000000000006</v>
      </c>
      <c r="O53" s="13">
        <f>N53*VLOOKUP('Données projet'!$B$9,Paramètres!$A$1:$I$89,3,0)*VLOOKUP('Données projet'!$B$9,Paramètres!$A$1:$I$89,5,0)</f>
        <v>207.65160000000006</v>
      </c>
      <c r="P53" s="13">
        <f t="shared" si="33"/>
        <v>51.422065813018108</v>
      </c>
      <c r="Q53" s="20">
        <f t="shared" si="53"/>
        <v>451.2199679576733</v>
      </c>
      <c r="R53" s="59">
        <f t="shared" si="0"/>
        <v>744.55330129100662</v>
      </c>
      <c r="S53" s="59">
        <f ca="1">AVERAGE(OFFSET($R$3,0,0,'Données projet'!$E$9+1,1))-AVERAGE(OFFSET($H$3,0,0,'Données projet'!$E$9+1,1))</f>
        <v>244.71206779102869</v>
      </c>
      <c r="T53" s="59">
        <f t="shared" si="34"/>
        <v>248.77995374147798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19</v>
      </c>
      <c r="W53" s="16">
        <f>IF(ISNA(VLOOKUP(A53,'Données projet'!$A$35:$I$55,5,0)),0%,VLOOKUP(A53,'Données projet'!$A$35:$I$55,5,0)*VLOOKUP('Données projet'!$B$9,Paramètres!$A$1:$I$89,7,0))</f>
        <v>0.318</v>
      </c>
      <c r="X53" s="16">
        <f>IF(ISNA(VLOOKUP(A53,'Données projet'!$A$35:$I$55,6,0)),0%,VLOOKUP(A53,'Données projet'!$A$35:$I$55,6,0)*VLOOKUP('Données projet'!$B$9,Paramètres!$A$1:$I$89,7,0))</f>
        <v>2.12E-2</v>
      </c>
      <c r="Y53" s="16">
        <f>IF(ISNA(VLOOKUP(A53,'Données projet'!$A$35:$I$55,7,0)),0%,VLOOKUP(A53,'Données projet'!$A$35:$I$55,7,0))</f>
        <v>0.06</v>
      </c>
      <c r="Z53" s="21">
        <f>EXP(-LN(2)/35)*Z52+(1-EXP(-LN(2)/35))/(LN(2)/35)*V53*W53*VLOOKUP('Données projet'!$B$9,Paramètres!$A$1:$I$89,3,0)*0.475*44/12</f>
        <v>26.878463595293081</v>
      </c>
      <c r="AA53" s="21">
        <f>EXP(-LN(2)/25)*AA52+(1-EXP(-LN(2)/25))/(LN(2)/25)*Calculateur!V53*Calculateur!X53*VLOOKUP('Données projet'!$B$9,Paramètres!$A$1:$I$89,3,0)*0.475*44/12</f>
        <v>5.5398210549818661</v>
      </c>
      <c r="AB53" s="21">
        <f>EXP(-LN(2)/2)*AB52+(1-EXP(-LN(2)/2))/(LN(2)/2)*V53*Y53*VLOOKUP('Données projet'!$B$9,Paramètres!$A$1:$I$89,3,0)*0.475*44/12</f>
        <v>1.1673855667127098</v>
      </c>
      <c r="AC53" s="22">
        <f t="shared" si="3"/>
        <v>33.585670216987658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242.30769230769229</v>
      </c>
      <c r="AG53" s="12">
        <f>VLOOKUP(A53,'Données projet'!$A$61:$I$81,9,0)</f>
        <v>9.2051282051282044</v>
      </c>
      <c r="AH53" s="12">
        <f t="array" ref="AH53">INDEX(AG:AG,MIN(IF(ISNUMBER(AG53:AG249),ROW(AG53:AG249),"")))</f>
        <v>9.2051282051282044</v>
      </c>
      <c r="AI53" s="13">
        <f>IF('Données projet'!$A$62&gt;35,AI52+AH53-AQ52,IF(A53&lt;'Données projet'!$A$62,$AF$205^A53,IF(A53='Données projet'!$A$62,'Données projet'!$B$62,AI52+AH53-AQ52)))</f>
        <v>242.30769230769215</v>
      </c>
      <c r="AJ53" s="13">
        <f>AI53*VLOOKUP('Données projet'!$B$10,Paramètres!$A$1:$I$89,3,0)*VLOOKUP('Données projet'!$B$10,Paramètres!$A$1:$I$89,5,0)</f>
        <v>162.53999999999991</v>
      </c>
      <c r="AK53" s="13">
        <f t="shared" si="35"/>
        <v>41.414893277285358</v>
      </c>
      <c r="AL53" s="20">
        <f t="shared" si="4"/>
        <v>355.22143912460518</v>
      </c>
      <c r="AM53" s="59">
        <f t="shared" si="5"/>
        <v>648.5547724579385</v>
      </c>
      <c r="AN53" s="59">
        <f ca="1">AVERAGE(OFFSET($AM$3,0,0,'Données projet'!$E$10+1,1))-AVERAGE(OFFSET($H$3,0,0,'Données projet'!$E$10+1,1))</f>
        <v>177.71717275462748</v>
      </c>
      <c r="AO53" s="59">
        <f t="shared" si="36"/>
        <v>183.73714278300957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27</v>
      </c>
      <c r="AR53" s="16">
        <f>IF(ISNA(VLOOKUP(A53,'Données projet'!$A$61:$I$81,5,0)),0%,VLOOKUP(A53,'Données projet'!$A$61:$I$81,5,0)*VLOOKUP('Données projet'!$B$10,Paramètres!$A$1:$I$89,7,0))</f>
        <v>0.42400000000000004</v>
      </c>
      <c r="AS53" s="16">
        <f>IF(ISNA(VLOOKUP(A53,'Données projet'!$A$61:$I$81,6,0)),0%,VLOOKUP(A53,'Données projet'!$A$61:$I$81,6,0)*VLOOKUP('Données projet'!$B$10,Paramètres!$A$1:$I$89,7,0))</f>
        <v>2.12E-2</v>
      </c>
      <c r="AT53" s="16">
        <f>IF(ISNA(VLOOKUP(A53,'Données projet'!$A$61:$I$81,7,0)),0%,VLOOKUP(A53,'Données projet'!$A$61:$I$81,7,0))</f>
        <v>0.06</v>
      </c>
      <c r="AU53" s="21">
        <f>EXP(-LN(2)/35)*AU52+(1-EXP(-LN(2)/35))/(LN(2)/35)*AQ53*AR53*VLOOKUP('Données projet'!$B$10,Paramètres!$A$1:$I$89,3,0)*0.475*44/12</f>
        <v>31.121628501369919</v>
      </c>
      <c r="AV53" s="21">
        <f>EXP(-LN(2)/25)*AV52+(1-EXP(-LN(2)/25))/(LN(2)/25)*Calculateur!AQ53*Calculateur!AS53*VLOOKUP('Données projet'!$B$10,Paramètres!$A$1:$I$89,3,0)*0.475*44/12</f>
        <v>4.1654448503589423</v>
      </c>
      <c r="AW53" s="21">
        <f>EXP(-LN(2)/2)*AW52+(1-EXP(-LN(2)/2))/(LN(2)/2)*AQ53*AT53*VLOOKUP('Données projet'!$B$10,Paramètres!$A$1:$I$89,3,0)*0.475*44/12</f>
        <v>1.2793880558233499</v>
      </c>
      <c r="AX53" s="21">
        <f t="shared" si="6"/>
        <v>36.566461407552211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491</v>
      </c>
      <c r="BB53" s="12">
        <f>VLOOKUP(A53,'Données projet'!$A$87:$I$107,9,0)</f>
        <v>8.4</v>
      </c>
      <c r="BC53" s="12">
        <f t="array" ref="BC53">INDEX(BB:BB,MIN(IF(ISNUMBER(BB53:BB249),ROW(BB53:BB249),"")))</f>
        <v>8.4</v>
      </c>
      <c r="BD53" s="12">
        <f>IF('Données projet'!$A$88&gt;35,BD52+BC53-BL52,IF(A53&lt;'Données projet'!$A$88,$BA$205^A53,IF(A53='Données projet'!$A$88,'Données projet'!$B$88,BD52+BC53-BL52)))</f>
        <v>490.99999999999983</v>
      </c>
      <c r="BE53" s="13">
        <f>BD53*VLOOKUP('Données projet'!$B$11,Paramètres!$A$1:$I$89,3,0)*VLOOKUP('Données projet'!$B$11,Paramètres!$A$1:$I$89,5,0)</f>
        <v>398.29919999999987</v>
      </c>
      <c r="BF53" s="13">
        <f t="shared" si="37"/>
        <v>91.431768658134388</v>
      </c>
      <c r="BG53" s="20">
        <f t="shared" si="7"/>
        <v>852.94810374625047</v>
      </c>
      <c r="BH53" s="59">
        <f t="shared" si="8"/>
        <v>1146.2814370795838</v>
      </c>
      <c r="BI53" s="59">
        <f ca="1">AVERAGE(OFFSET($BH$3,0,0,'Données projet'!$E$11+1,1))-AVERAGE(OFFSET($H$3,0,0,'Données projet'!$E$11+1,1))</f>
        <v>325.66150195494157</v>
      </c>
      <c r="BJ53" s="59">
        <f t="shared" si="38"/>
        <v>429.07526815514467</v>
      </c>
      <c r="BK53" s="15">
        <f>IF(ISNA(VLOOKUP(A53,'Données projet'!$A$87:$I$107,3,0)),0,VLOOKUP(A53,'Données projet'!$A$87:$I$107,3,0))</f>
        <v>1</v>
      </c>
      <c r="BL53" s="15">
        <f>IF(ISNA(VLOOKUP(A53,'Données projet'!$A$87:$I$107,4,0)),0,VLOOKUP(A53,'Données projet'!$A$87:$I$107,4,0))</f>
        <v>491</v>
      </c>
      <c r="BM53" s="16">
        <f>IF(ISNA(VLOOKUP(A53,'Données projet'!$A$87:$I$107,5,0)),0%,VLOOKUP(A53,'Données projet'!$A$87:$I$107,5,0)*VLOOKUP('Données projet'!$B$11,Paramètres!$A$1:$I$89,7,0))</f>
        <v>0.318</v>
      </c>
      <c r="BN53" s="16">
        <f>IF(ISNA(VLOOKUP(A53,'Données projet'!$A$87:$I$107,6,0)),0%,VLOOKUP(A53,'Données projet'!$A$87:$I$107,6,0)*VLOOKUP('Données projet'!$B$11,Paramètres!$A$1:$I$89,7,0))</f>
        <v>2.12E-2</v>
      </c>
      <c r="BO53" s="16">
        <f>IF(ISNA(VLOOKUP(A53,'Données projet'!$A$87:$I$107,7,0)),0%,VLOOKUP(A53,'Données projet'!$A$87:$I$107,7,0))</f>
        <v>0.06</v>
      </c>
      <c r="BP53" s="21">
        <f>EXP(-LN(2)/35)*BP52+(1-EXP(-LN(2)/35))/(LN(2)/35)*BL53*BM53*VLOOKUP('Données projet'!$B$11,Paramètres!$A$1:$I$89,3,0)*0.475*44/12</f>
        <v>140.01793375775119</v>
      </c>
      <c r="BQ53" s="21">
        <f>EXP(-LN(2)/25)*BQ52+(1-EXP(-LN(2)/25))/(LN(2)/25)*Calculateur!BL53*Calculateur!BN53*VLOOKUP('Données projet'!$B$11,Paramètres!$A$1:$I$89,3,0)*0.475*44/12</f>
        <v>9.2977753201020992</v>
      </c>
      <c r="BR53" s="21">
        <f>EXP(-LN(2)/2)*BR52+(1-EXP(-LN(2)/2))/(LN(2)/2)*BL53*BO53*VLOOKUP('Données projet'!$B$11,Paramètres!$A$1:$I$89,3,0)*0.475*44/12</f>
        <v>22.548360915947669</v>
      </c>
      <c r="BS53" s="22">
        <f t="shared" si="9"/>
        <v>171.86406999380097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7">
        <f t="shared" si="1"/>
        <v>393.91719979409652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249.40000000000003</v>
      </c>
      <c r="O54" s="13">
        <f>N54*VLOOKUP('Données projet'!$B$9,Paramètres!$A$1:$I$89,3,0)*VLOOKUP('Données projet'!$B$9,Paramètres!$A$1:$I$89,5,0)</f>
        <v>198.42264000000003</v>
      </c>
      <c r="P54" s="13">
        <f t="shared" si="33"/>
        <v>49.397352151183256</v>
      </c>
      <c r="Q54" s="20">
        <f t="shared" si="53"/>
        <v>431.61981966331086</v>
      </c>
      <c r="R54" s="59">
        <f t="shared" si="0"/>
        <v>724.95315299664412</v>
      </c>
      <c r="S54" s="59">
        <f ca="1">AVERAGE(OFFSET($R$3,0,0,'Données projet'!$E$9+1,1))-AVERAGE(OFFSET($H$3,0,0,'Données projet'!$E$9+1,1))</f>
        <v>244.71206779102869</v>
      </c>
      <c r="T54" s="59">
        <f t="shared" si="34"/>
        <v>248.77995374147798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26.351393318433381</v>
      </c>
      <c r="AA54" s="21">
        <f>EXP(-LN(2)/25)*AA53+(1-EXP(-LN(2)/25))/(LN(2)/25)*Calculateur!V54*Calculateur!X54*VLOOKUP('Données projet'!$B$9,Paramètres!$A$1:$I$89,3,0)*0.475*44/12</f>
        <v>5.3883343569068591</v>
      </c>
      <c r="AB54" s="21">
        <f>EXP(-LN(2)/2)*AB53+(1-EXP(-LN(2)/2))/(LN(2)/2)*V54*Y54*VLOOKUP('Données projet'!$B$9,Paramètres!$A$1:$I$89,3,0)*0.475*44/12</f>
        <v>0.82546625048185784</v>
      </c>
      <c r="AC54" s="22">
        <f t="shared" si="3"/>
        <v>32.565193925822101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8.6051282051282048</v>
      </c>
      <c r="AI54" s="13">
        <f>IF('Données projet'!$A$62&gt;35,AI53+AH54-AQ53,IF(A54&lt;'Données projet'!$A$62,$AF$205^A54,IF(A54='Données projet'!$A$62,'Données projet'!$B$62,AI53+AH54-AQ53)))</f>
        <v>223.91282051282036</v>
      </c>
      <c r="AJ54" s="13">
        <f>AI54*VLOOKUP('Données projet'!$B$10,Paramètres!$A$1:$I$89,3,0)*VLOOKUP('Données projet'!$B$10,Paramètres!$A$1:$I$89,5,0)</f>
        <v>150.2007199999999</v>
      </c>
      <c r="AK54" s="13">
        <f t="shared" si="35"/>
        <v>38.624196410462162</v>
      </c>
      <c r="AL54" s="20">
        <f t="shared" si="4"/>
        <v>328.87006274822141</v>
      </c>
      <c r="AM54" s="59">
        <f t="shared" si="5"/>
        <v>622.20339608155473</v>
      </c>
      <c r="AN54" s="59">
        <f ca="1">AVERAGE(OFFSET($AM$3,0,0,'Données projet'!$E$10+1,1))-AVERAGE(OFFSET($H$3,0,0,'Données projet'!$E$10+1,1))</f>
        <v>177.71717275462748</v>
      </c>
      <c r="AO54" s="59">
        <f t="shared" si="36"/>
        <v>183.73714278300957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30.511352348777091</v>
      </c>
      <c r="AV54" s="21">
        <f>EXP(-LN(2)/25)*AV53+(1-EXP(-LN(2)/25))/(LN(2)/25)*Calculateur!AQ54*Calculateur!AS54*VLOOKUP('Données projet'!$B$10,Paramètres!$A$1:$I$89,3,0)*0.475*44/12</f>
        <v>4.0515405418746528</v>
      </c>
      <c r="AW54" s="21">
        <f>EXP(-LN(2)/2)*AW53+(1-EXP(-LN(2)/2))/(LN(2)/2)*AQ54*AT54*VLOOKUP('Données projet'!$B$10,Paramètres!$A$1:$I$89,3,0)*0.475*44/12</f>
        <v>0.90466397004176402</v>
      </c>
      <c r="AX54" s="21">
        <f t="shared" si="6"/>
        <v>35.467556860693513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-1.7053025658242404E-13</v>
      </c>
      <c r="BE54" s="13">
        <f>BD54*VLOOKUP('Données projet'!$B$11,Paramètres!$A$1:$I$89,3,0)*VLOOKUP('Données projet'!$B$11,Paramètres!$A$1:$I$89,5,0)</f>
        <v>-1.383341441396624E-13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325.66150195494157</v>
      </c>
      <c r="BJ54" s="59">
        <f t="shared" si="38"/>
        <v>429.07526815514467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137.27226747926849</v>
      </c>
      <c r="BQ54" s="21">
        <f>EXP(-LN(2)/25)*BQ53+(1-EXP(-LN(2)/25))/(LN(2)/25)*Calculateur!BL54*Calculateur!BN54*VLOOKUP('Données projet'!$B$11,Paramètres!$A$1:$I$89,3,0)*0.475*44/12</f>
        <v>9.0435271650251536</v>
      </c>
      <c r="BR54" s="21">
        <f>EXP(-LN(2)/2)*BR53+(1-EXP(-LN(2)/2))/(LN(2)/2)*BL54*BO54*VLOOKUP('Données projet'!$B$11,Paramètres!$A$1:$I$89,3,0)*0.475*44/12</f>
        <v>15.944098908308309</v>
      </c>
      <c r="BS54" s="22">
        <f t="shared" si="9"/>
        <v>162.25989355260197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7">
        <f t="shared" si="1"/>
        <v>395.83651832331645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256.8</v>
      </c>
      <c r="O55" s="13">
        <f>N55*VLOOKUP('Données projet'!$B$9,Paramètres!$A$1:$I$89,3,0)*VLOOKUP('Données projet'!$B$9,Paramètres!$A$1:$I$89,5,0)</f>
        <v>204.31008000000003</v>
      </c>
      <c r="P55" s="13">
        <f t="shared" si="33"/>
        <v>50.690214235398379</v>
      </c>
      <c r="Q55" s="20">
        <f t="shared" si="53"/>
        <v>444.12551245998549</v>
      </c>
      <c r="R55" s="59">
        <f t="shared" si="0"/>
        <v>737.4588457933188</v>
      </c>
      <c r="S55" s="59">
        <f ca="1">AVERAGE(OFFSET($R$3,0,0,'Données projet'!$E$9+1,1))-AVERAGE(OFFSET($H$3,0,0,'Données projet'!$E$9+1,1))</f>
        <v>244.71206779102869</v>
      </c>
      <c r="T55" s="59">
        <f t="shared" si="34"/>
        <v>248.77995374147798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25.834658568221773</v>
      </c>
      <c r="AA55" s="21">
        <f>EXP(-LN(2)/25)*AA54+(1-EXP(-LN(2)/25))/(LN(2)/25)*Calculateur!V55*Calculateur!X55*VLOOKUP('Données projet'!$B$9,Paramètres!$A$1:$I$89,3,0)*0.475*44/12</f>
        <v>5.2409900705570527</v>
      </c>
      <c r="AB55" s="21">
        <f>EXP(-LN(2)/2)*AB54+(1-EXP(-LN(2)/2))/(LN(2)/2)*V55*Y55*VLOOKUP('Données projet'!$B$9,Paramètres!$A$1:$I$89,3,0)*0.475*44/12</f>
        <v>0.58369278335635488</v>
      </c>
      <c r="AC55" s="22">
        <f t="shared" si="3"/>
        <v>31.659341422135181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8.6051282051282048</v>
      </c>
      <c r="AI55" s="13">
        <f>IF('Données projet'!$A$62&gt;35,AI54+AH55-AQ54,IF(A55&lt;'Données projet'!$A$62,$AF$205^A55,IF(A55='Données projet'!$A$62,'Données projet'!$B$62,AI54+AH55-AQ54)))</f>
        <v>232.51794871794857</v>
      </c>
      <c r="AJ55" s="13">
        <f>AI55*VLOOKUP('Données projet'!$B$10,Paramètres!$A$1:$I$89,3,0)*VLOOKUP('Données projet'!$B$10,Paramètres!$A$1:$I$89,5,0)</f>
        <v>155.97303999999988</v>
      </c>
      <c r="AK55" s="13">
        <f t="shared" si="35"/>
        <v>39.932880235954855</v>
      </c>
      <c r="AL55" s="20">
        <f t="shared" si="4"/>
        <v>341.20281107762116</v>
      </c>
      <c r="AM55" s="59">
        <f t="shared" si="5"/>
        <v>634.53614441095442</v>
      </c>
      <c r="AN55" s="59">
        <f ca="1">AVERAGE(OFFSET($AM$3,0,0,'Données projet'!$E$10+1,1))-AVERAGE(OFFSET($H$3,0,0,'Données projet'!$E$10+1,1))</f>
        <v>177.71717275462748</v>
      </c>
      <c r="AO55" s="59">
        <f t="shared" si="36"/>
        <v>183.73714278300957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29.913043339304913</v>
      </c>
      <c r="AV55" s="21">
        <f>EXP(-LN(2)/25)*AV54+(1-EXP(-LN(2)/25))/(LN(2)/25)*Calculateur!AQ55*Calculateur!AS55*VLOOKUP('Données projet'!$B$10,Paramètres!$A$1:$I$89,3,0)*0.475*44/12</f>
        <v>3.9407509526958333</v>
      </c>
      <c r="AW55" s="21">
        <f>EXP(-LN(2)/2)*AW54+(1-EXP(-LN(2)/2))/(LN(2)/2)*AQ55*AT55*VLOOKUP('Données projet'!$B$10,Paramètres!$A$1:$I$89,3,0)*0.475*44/12</f>
        <v>0.63969402791167507</v>
      </c>
      <c r="AX55" s="21">
        <f t="shared" si="6"/>
        <v>34.493488319912423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-1.7053025658242404E-13</v>
      </c>
      <c r="BE55" s="13">
        <f>BD55*VLOOKUP('Données projet'!$B$11,Paramètres!$A$1:$I$89,3,0)*VLOOKUP('Données projet'!$B$11,Paramètres!$A$1:$I$89,5,0)</f>
        <v>-1.383341441396624E-13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325.66150195494157</v>
      </c>
      <c r="BJ55" s="59">
        <f t="shared" si="38"/>
        <v>429.07526815514467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134.58044204181576</v>
      </c>
      <c r="BQ55" s="21">
        <f>EXP(-LN(2)/25)*BQ54+(1-EXP(-LN(2)/25))/(LN(2)/25)*Calculateur!BL55*Calculateur!BN55*VLOOKUP('Données projet'!$B$11,Paramètres!$A$1:$I$89,3,0)*0.475*44/12</f>
        <v>8.7962314391191168</v>
      </c>
      <c r="BR55" s="21">
        <f>EXP(-LN(2)/2)*BR54+(1-EXP(-LN(2)/2))/(LN(2)/2)*BL55*BO55*VLOOKUP('Données projet'!$B$11,Paramètres!$A$1:$I$89,3,0)*0.475*44/12</f>
        <v>11.274180457973836</v>
      </c>
      <c r="BS55" s="22">
        <f t="shared" si="9"/>
        <v>154.65085393890871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7">
        <f t="shared" si="1"/>
        <v>397.75494733375336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264.2</v>
      </c>
      <c r="O56" s="13">
        <f>N56*VLOOKUP('Données projet'!$B$9,Paramètres!$A$1:$I$89,3,0)*VLOOKUP('Données projet'!$B$9,Paramètres!$A$1:$I$89,5,0)</f>
        <v>210.19752</v>
      </c>
      <c r="P56" s="13">
        <f t="shared" si="33"/>
        <v>51.978746425856599</v>
      </c>
      <c r="Q56" s="20">
        <f t="shared" si="53"/>
        <v>456.62366402503358</v>
      </c>
      <c r="R56" s="59">
        <f t="shared" si="0"/>
        <v>749.95699735836683</v>
      </c>
      <c r="S56" s="59">
        <f ca="1">AVERAGE(OFFSET($R$3,0,0,'Données projet'!$E$9+1,1))-AVERAGE(OFFSET($H$3,0,0,'Données projet'!$E$9+1,1))</f>
        <v>244.71206779102869</v>
      </c>
      <c r="T56" s="59">
        <f t="shared" si="34"/>
        <v>248.77995374147798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25.328056671284738</v>
      </c>
      <c r="AA56" s="21">
        <f>EXP(-LN(2)/25)*AA55+(1-EXP(-LN(2)/25))/(LN(2)/25)*Calculateur!V56*Calculateur!X56*VLOOKUP('Données projet'!$B$9,Paramètres!$A$1:$I$89,3,0)*0.475*44/12</f>
        <v>5.0976749214659804</v>
      </c>
      <c r="AB56" s="21">
        <f>EXP(-LN(2)/2)*AB55+(1-EXP(-LN(2)/2))/(LN(2)/2)*V56*Y56*VLOOKUP('Données projet'!$B$9,Paramètres!$A$1:$I$89,3,0)*0.475*44/12</f>
        <v>0.41273312524092892</v>
      </c>
      <c r="AC56" s="22">
        <f t="shared" si="3"/>
        <v>30.838464717991648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8.6051282051282048</v>
      </c>
      <c r="AI56" s="13">
        <f>IF('Données projet'!$A$62&gt;35,AI55+AH56-AQ55,IF(A56&lt;'Données projet'!$A$62,$AF$205^A56,IF(A56='Données projet'!$A$62,'Données projet'!$B$62,AI55+AH56-AQ55)))</f>
        <v>241.12307692307678</v>
      </c>
      <c r="AJ56" s="13">
        <f>AI56*VLOOKUP('Données projet'!$B$10,Paramètres!$A$1:$I$89,3,0)*VLOOKUP('Données projet'!$B$10,Paramètres!$A$1:$I$89,5,0)</f>
        <v>161.74535999999992</v>
      </c>
      <c r="AK56" s="13">
        <f t="shared" si="35"/>
        <v>41.2359373036943</v>
      </c>
      <c r="AL56" s="20">
        <f t="shared" si="4"/>
        <v>353.52575947060069</v>
      </c>
      <c r="AM56" s="59">
        <f t="shared" si="5"/>
        <v>646.859092803934</v>
      </c>
      <c r="AN56" s="59">
        <f ca="1">AVERAGE(OFFSET($AM$3,0,0,'Données projet'!$E$10+1,1))-AVERAGE(OFFSET($H$3,0,0,'Données projet'!$E$10+1,1))</f>
        <v>177.71717275462748</v>
      </c>
      <c r="AO56" s="59">
        <f t="shared" si="36"/>
        <v>183.73714278300957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29.326466804576022</v>
      </c>
      <c r="AV56" s="21">
        <f>EXP(-LN(2)/25)*AV55+(1-EXP(-LN(2)/25))/(LN(2)/25)*Calculateur!AQ56*Calculateur!AS56*VLOOKUP('Données projet'!$B$10,Paramètres!$A$1:$I$89,3,0)*0.475*44/12</f>
        <v>3.8329909106592797</v>
      </c>
      <c r="AW56" s="21">
        <f>EXP(-LN(2)/2)*AW55+(1-EXP(-LN(2)/2))/(LN(2)/2)*AQ56*AT56*VLOOKUP('Données projet'!$B$10,Paramètres!$A$1:$I$89,3,0)*0.475*44/12</f>
        <v>0.45233198502088207</v>
      </c>
      <c r="AX56" s="21">
        <f t="shared" si="6"/>
        <v>33.611789700256182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-1.7053025658242404E-13</v>
      </c>
      <c r="BE56" s="13">
        <f>BD56*VLOOKUP('Données projet'!$B$11,Paramètres!$A$1:$I$89,3,0)*VLOOKUP('Données projet'!$B$11,Paramètres!$A$1:$I$89,5,0)</f>
        <v>-1.383341441396624E-13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325.66150195494157</v>
      </c>
      <c r="BJ56" s="59">
        <f t="shared" si="38"/>
        <v>429.07526815514467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131.94140165934007</v>
      </c>
      <c r="BQ56" s="21">
        <f>EXP(-LN(2)/25)*BQ55+(1-EXP(-LN(2)/25))/(LN(2)/25)*Calculateur!BL56*Calculateur!BN56*VLOOKUP('Données projet'!$B$11,Paramètres!$A$1:$I$89,3,0)*0.475*44/12</f>
        <v>8.5556980278426966</v>
      </c>
      <c r="BR56" s="21">
        <f>EXP(-LN(2)/2)*BR55+(1-EXP(-LN(2)/2))/(LN(2)/2)*BL56*BO56*VLOOKUP('Données projet'!$B$11,Paramètres!$A$1:$I$89,3,0)*0.475*44/12</f>
        <v>7.9720494541541562</v>
      </c>
      <c r="BS56" s="22">
        <f t="shared" si="9"/>
        <v>148.46914914133694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7">
        <f t="shared" si="1"/>
        <v>399.67250554404541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271.59999999999997</v>
      </c>
      <c r="O57" s="13">
        <f>N57*VLOOKUP('Données projet'!$B$9,Paramètres!$A$1:$I$89,3,0)*VLOOKUP('Données projet'!$B$9,Paramètres!$A$1:$I$89,5,0)</f>
        <v>216.08496</v>
      </c>
      <c r="P57" s="13">
        <f t="shared" si="33"/>
        <v>53.26308393083157</v>
      </c>
      <c r="Q57" s="20">
        <f t="shared" si="53"/>
        <v>469.11450984619825</v>
      </c>
      <c r="R57" s="59">
        <f t="shared" si="0"/>
        <v>762.44784317953156</v>
      </c>
      <c r="S57" s="59">
        <f ca="1">AVERAGE(OFFSET($R$3,0,0,'Données projet'!$E$9+1,1))-AVERAGE(OFFSET($H$3,0,0,'Données projet'!$E$9+1,1))</f>
        <v>244.71206779102869</v>
      </c>
      <c r="T57" s="59">
        <f t="shared" si="34"/>
        <v>248.77995374147798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24.831388928549991</v>
      </c>
      <c r="AA57" s="21">
        <f>EXP(-LN(2)/25)*AA56+(1-EXP(-LN(2)/25))/(LN(2)/25)*Calculateur!V57*Calculateur!X57*VLOOKUP('Données projet'!$B$9,Paramètres!$A$1:$I$89,3,0)*0.475*44/12</f>
        <v>4.9582787326634197</v>
      </c>
      <c r="AB57" s="21">
        <f>EXP(-LN(2)/2)*AB56+(1-EXP(-LN(2)/2))/(LN(2)/2)*V57*Y57*VLOOKUP('Données projet'!$B$9,Paramètres!$A$1:$I$89,3,0)*0.475*44/12</f>
        <v>0.29184639167817744</v>
      </c>
      <c r="AC57" s="22">
        <f t="shared" si="3"/>
        <v>30.081514052891588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8.6051282051282048</v>
      </c>
      <c r="AI57" s="13">
        <f>IF('Données projet'!$A$62&gt;35,AI56+AH57-AQ56,IF(A57&lt;'Données projet'!$A$62,$AF$205^A57,IF(A57='Données projet'!$A$62,'Données projet'!$B$62,AI56+AH57-AQ56)))</f>
        <v>249.72820512820499</v>
      </c>
      <c r="AJ57" s="13">
        <f>AI57*VLOOKUP('Données projet'!$B$10,Paramètres!$A$1:$I$89,3,0)*VLOOKUP('Données projet'!$B$10,Paramètres!$A$1:$I$89,5,0)</f>
        <v>167.5176799999999</v>
      </c>
      <c r="AK57" s="13">
        <f t="shared" si="35"/>
        <v>42.533591425175977</v>
      </c>
      <c r="AL57" s="20">
        <f t="shared" si="4"/>
        <v>365.83929773218136</v>
      </c>
      <c r="AM57" s="59">
        <f t="shared" si="5"/>
        <v>659.17263106551468</v>
      </c>
      <c r="AN57" s="59">
        <f ca="1">AVERAGE(OFFSET($AM$3,0,0,'Données projet'!$E$10+1,1))-AVERAGE(OFFSET($H$3,0,0,'Données projet'!$E$10+1,1))</f>
        <v>177.71717275462748</v>
      </c>
      <c r="AO57" s="59">
        <f t="shared" si="36"/>
        <v>183.73714278300957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28.751392677916805</v>
      </c>
      <c r="AV57" s="21">
        <f>EXP(-LN(2)/25)*AV56+(1-EXP(-LN(2)/25))/(LN(2)/25)*Calculateur!AQ57*Calculateur!AS57*VLOOKUP('Données projet'!$B$10,Paramètres!$A$1:$I$89,3,0)*0.475*44/12</f>
        <v>3.72817757263907</v>
      </c>
      <c r="AW57" s="21">
        <f>EXP(-LN(2)/2)*AW56+(1-EXP(-LN(2)/2))/(LN(2)/2)*AQ57*AT57*VLOOKUP('Données projet'!$B$10,Paramètres!$A$1:$I$89,3,0)*0.475*44/12</f>
        <v>0.31984701395583759</v>
      </c>
      <c r="AX57" s="21">
        <f t="shared" si="6"/>
        <v>32.79941726451171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-1.7053025658242404E-13</v>
      </c>
      <c r="BE57" s="13">
        <f>BD57*VLOOKUP('Données projet'!$B$11,Paramètres!$A$1:$I$89,3,0)*VLOOKUP('Données projet'!$B$11,Paramètres!$A$1:$I$89,5,0)</f>
        <v>-1.383341441396624E-13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325.66150195494157</v>
      </c>
      <c r="BJ57" s="59">
        <f t="shared" si="38"/>
        <v>429.07526815514467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129.35411124910905</v>
      </c>
      <c r="BQ57" s="21">
        <f>EXP(-LN(2)/25)*BQ56+(1-EXP(-LN(2)/25))/(LN(2)/25)*Calculateur!BL57*Calculateur!BN57*VLOOKUP('Données projet'!$B$11,Paramètres!$A$1:$I$89,3,0)*0.475*44/12</f>
        <v>8.3217420153467323</v>
      </c>
      <c r="BR57" s="21">
        <f>EXP(-LN(2)/2)*BR56+(1-EXP(-LN(2)/2))/(LN(2)/2)*BL57*BO57*VLOOKUP('Données projet'!$B$11,Paramètres!$A$1:$I$89,3,0)*0.475*44/12</f>
        <v>5.6370902289869189</v>
      </c>
      <c r="BS57" s="22">
        <f t="shared" si="9"/>
        <v>143.3129434934427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7">
        <f t="shared" si="1"/>
        <v>401.58921093986316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278.99999999999994</v>
      </c>
      <c r="O58" s="13">
        <f>N58*VLOOKUP('Données projet'!$B$9,Paramètres!$A$1:$I$89,3,0)*VLOOKUP('Données projet'!$B$9,Paramètres!$A$1:$I$89,5,0)</f>
        <v>221.97239999999996</v>
      </c>
      <c r="P58" s="13">
        <f t="shared" si="33"/>
        <v>54.543354171476821</v>
      </c>
      <c r="Q58" s="20">
        <f t="shared" si="53"/>
        <v>481.59827184865543</v>
      </c>
      <c r="R58" s="59">
        <f t="shared" si="0"/>
        <v>774.93160518198874</v>
      </c>
      <c r="S58" s="59">
        <f ca="1">AVERAGE(OFFSET($R$3,0,0,'Données projet'!$E$9+1,1))-AVERAGE(OFFSET($H$3,0,0,'Données projet'!$E$9+1,1))</f>
        <v>244.71206779102869</v>
      </c>
      <c r="T58" s="59">
        <f t="shared" si="34"/>
        <v>248.77995374147798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16</v>
      </c>
      <c r="W58" s="16">
        <f>IF(ISNA(VLOOKUP(A58,'Données projet'!$A$35:$I$55,5,0)),0%,VLOOKUP(A58,'Données projet'!$A$35:$I$55,5,0)*VLOOKUP('Données projet'!$B$9,Paramètres!$A$1:$I$89,7,0))</f>
        <v>0.42400000000000004</v>
      </c>
      <c r="X58" s="16">
        <f>IF(ISNA(VLOOKUP(A58,'Données projet'!$A$35:$I$55,6,0)),0%,VLOOKUP(A58,'Données projet'!$A$35:$I$55,6,0)*VLOOKUP('Données projet'!$B$9,Paramètres!$A$1:$I$89,7,0))</f>
        <v>2.12E-2</v>
      </c>
      <c r="Y58" s="16">
        <f>IF(ISNA(VLOOKUP(A58,'Données projet'!$A$35:$I$55,7,0)),0%,VLOOKUP(A58,'Données projet'!$A$35:$I$55,7,0))</f>
        <v>0.06</v>
      </c>
      <c r="Z58" s="21">
        <f>EXP(-LN(2)/35)*Z57+(1-EXP(-LN(2)/35))/(LN(2)/35)*V58*W58*VLOOKUP('Données projet'!$B$9,Paramètres!$A$1:$I$89,3,0)*0.475*44/12</f>
        <v>30.311071532473182</v>
      </c>
      <c r="AA58" s="21">
        <f>EXP(-LN(2)/25)*AA57+(1-EXP(-LN(2)/25))/(LN(2)/25)*Calculateur!V58*Calculateur!X58*VLOOKUP('Données projet'!$B$9,Paramètres!$A$1:$I$89,3,0)*0.475*44/12</f>
        <v>5.1198502486849593</v>
      </c>
      <c r="AB58" s="21">
        <f>EXP(-LN(2)/2)*AB57+(1-EXP(-LN(2)/2))/(LN(2)/2)*V58*Y58*VLOOKUP('Données projet'!$B$9,Paramètres!$A$1:$I$89,3,0)*0.475*44/12</f>
        <v>0.92700977535010942</v>
      </c>
      <c r="AC58" s="22">
        <f t="shared" si="3"/>
        <v>36.357931556508248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258.33333333333331</v>
      </c>
      <c r="AG58" s="12">
        <f>VLOOKUP(A58,'Données projet'!$A$61:$I$81,9,0)</f>
        <v>8.6051282051282048</v>
      </c>
      <c r="AH58" s="12">
        <f t="array" ref="AH58">INDEX(AG:AG,MIN(IF(ISNUMBER(AG58:AG254),ROW(AG58:AG254),"")))</f>
        <v>8.6051282051282048</v>
      </c>
      <c r="AI58" s="13">
        <f>IF('Données projet'!$A$62&gt;35,AI57+AH58-AQ57,IF(A58&lt;'Données projet'!$A$62,$AF$205^A58,IF(A58='Données projet'!$A$62,'Données projet'!$B$62,AI57+AH58-AQ57)))</f>
        <v>258.3333333333332</v>
      </c>
      <c r="AJ58" s="13">
        <f>AI58*VLOOKUP('Données projet'!$B$10,Paramètres!$A$1:$I$89,3,0)*VLOOKUP('Données projet'!$B$10,Paramètres!$A$1:$I$89,5,0)</f>
        <v>173.28999999999991</v>
      </c>
      <c r="AK58" s="13">
        <f t="shared" si="35"/>
        <v>43.826050112896013</v>
      </c>
      <c r="AL58" s="20">
        <f t="shared" si="4"/>
        <v>378.14378727996035</v>
      </c>
      <c r="AM58" s="59">
        <f t="shared" si="5"/>
        <v>671.47712061329366</v>
      </c>
      <c r="AN58" s="59">
        <f ca="1">AVERAGE(OFFSET($AM$3,0,0,'Données projet'!$E$10+1,1))-AVERAGE(OFFSET($H$3,0,0,'Données projet'!$E$10+1,1))</f>
        <v>177.71717275462748</v>
      </c>
      <c r="AO58" s="59">
        <f t="shared" si="36"/>
        <v>183.73714278300957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0.42400000000000004</v>
      </c>
      <c r="AS58" s="16">
        <f>IF(ISNA(VLOOKUP(A58,'Données projet'!$A$61:$I$81,6,0)),0%,VLOOKUP(A58,'Données projet'!$A$61:$I$81,6,0)*VLOOKUP('Données projet'!$B$10,Paramètres!$A$1:$I$89,7,0))</f>
        <v>2.12E-2</v>
      </c>
      <c r="AT58" s="16">
        <f>IF(ISNA(VLOOKUP(A58,'Données projet'!$A$61:$I$81,7,0)),0%,VLOOKUP(A58,'Données projet'!$A$61:$I$81,7,0))</f>
        <v>0.06</v>
      </c>
      <c r="AU58" s="21">
        <f>EXP(-LN(2)/35)*AU57+(1-EXP(-LN(2)/35))/(LN(2)/35)*AQ58*AR58*VLOOKUP('Données projet'!$B$10,Paramètres!$A$1:$I$89,3,0)*0.475*44/12</f>
        <v>36.991271431293619</v>
      </c>
      <c r="AV58" s="21">
        <f>EXP(-LN(2)/25)*AV57+(1-EXP(-LN(2)/25))/(LN(2)/25)*Calculateur!AQ58*Calculateur!AS58*VLOOKUP('Données projet'!$B$10,Paramètres!$A$1:$I$89,3,0)*0.475*44/12</f>
        <v>4.0646809908684318</v>
      </c>
      <c r="AW58" s="21">
        <f>EXP(-LN(2)/2)*AW57+(1-EXP(-LN(2)/2))/(LN(2)/2)*AQ58*AT58*VLOOKUP('Données projet'!$B$10,Paramètres!$A$1:$I$89,3,0)*0.475*44/12</f>
        <v>1.2894679877634956</v>
      </c>
      <c r="AX58" s="21">
        <f t="shared" si="6"/>
        <v>42.345420409925545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-1.7053025658242404E-13</v>
      </c>
      <c r="BE58" s="13">
        <f>BD58*VLOOKUP('Données projet'!$B$11,Paramètres!$A$1:$I$89,3,0)*VLOOKUP('Données projet'!$B$11,Paramètres!$A$1:$I$89,5,0)</f>
        <v>-1.383341441396624E-13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325.66150195494157</v>
      </c>
      <c r="BJ58" s="59">
        <f t="shared" si="38"/>
        <v>429.07526815514467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126.81755602573134</v>
      </c>
      <c r="BQ58" s="21">
        <f>EXP(-LN(2)/25)*BQ57+(1-EXP(-LN(2)/25))/(LN(2)/25)*Calculateur!BL58*Calculateur!BN58*VLOOKUP('Données projet'!$B$11,Paramètres!$A$1:$I$89,3,0)*0.475*44/12</f>
        <v>8.0941835423156832</v>
      </c>
      <c r="BR58" s="21">
        <f>EXP(-LN(2)/2)*BR57+(1-EXP(-LN(2)/2))/(LN(2)/2)*BL58*BO58*VLOOKUP('Données projet'!$B$11,Paramètres!$A$1:$I$89,3,0)*0.475*44/12</f>
        <v>3.9860247270770786</v>
      </c>
      <c r="BS58" s="22">
        <f t="shared" si="9"/>
        <v>138.89776429512409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7">
        <f t="shared" si="1"/>
        <v>403.50508081540659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6.2</v>
      </c>
      <c r="N59" s="13">
        <f>IF('Données projet'!$A$36&gt;35,N58+M59-V58,IF(A59&lt;'Données projet'!$A$36,$K$205^A59,IF(A59='Données projet'!$A$36,'Données projet'!$B$36,N58+M59-V58)))</f>
        <v>269.19999999999993</v>
      </c>
      <c r="O59" s="13">
        <f>N59*VLOOKUP('Données projet'!$B$9,Paramètres!$A$1:$I$89,3,0)*VLOOKUP('Données projet'!$B$9,Paramètres!$A$1:$I$89,5,0)</f>
        <v>214.17551999999998</v>
      </c>
      <c r="P59" s="13">
        <f t="shared" si="33"/>
        <v>52.846993696165399</v>
      </c>
      <c r="Q59" s="20">
        <f t="shared" si="53"/>
        <v>465.06421135415468</v>
      </c>
      <c r="R59" s="59">
        <f t="shared" si="0"/>
        <v>758.39754468748799</v>
      </c>
      <c r="S59" s="59">
        <f ca="1">AVERAGE(OFFSET($R$3,0,0,'Données projet'!$E$9+1,1))-AVERAGE(OFFSET($H$3,0,0,'Données projet'!$E$9+1,1))</f>
        <v>244.71206779102869</v>
      </c>
      <c r="T59" s="59">
        <f t="shared" si="34"/>
        <v>248.77995374147798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29.716689907649485</v>
      </c>
      <c r="AA59" s="21">
        <f>EXP(-LN(2)/25)*AA58+(1-EXP(-LN(2)/25))/(LN(2)/25)*Calculateur!V59*Calculateur!X59*VLOOKUP('Données projet'!$B$9,Paramètres!$A$1:$I$89,3,0)*0.475*44/12</f>
        <v>4.9798476743934463</v>
      </c>
      <c r="AB59" s="21">
        <f>EXP(-LN(2)/2)*AB58+(1-EXP(-LN(2)/2))/(LN(2)/2)*V59*Y59*VLOOKUP('Données projet'!$B$9,Paramètres!$A$1:$I$89,3,0)*0.475*44/12</f>
        <v>0.6554948983762805</v>
      </c>
      <c r="AC59" s="22">
        <f t="shared" si="3"/>
        <v>35.352032480419211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8.1641025641025635</v>
      </c>
      <c r="AI59" s="13">
        <f>IF('Données projet'!$A$62&gt;35,AI58+AH59-AQ58,IF(A59&lt;'Données projet'!$A$62,$AF$205^A59,IF(A59='Données projet'!$A$62,'Données projet'!$B$62,AI58+AH59-AQ58)))</f>
        <v>238.49743589743576</v>
      </c>
      <c r="AJ59" s="13">
        <f>AI59*VLOOKUP('Données projet'!$B$10,Paramètres!$A$1:$I$89,3,0)*VLOOKUP('Données projet'!$B$10,Paramètres!$A$1:$I$89,5,0)</f>
        <v>159.98407999999992</v>
      </c>
      <c r="AK59" s="13">
        <f t="shared" si="35"/>
        <v>40.838924585463054</v>
      </c>
      <c r="AL59" s="20">
        <f t="shared" si="4"/>
        <v>349.76673298634796</v>
      </c>
      <c r="AM59" s="59">
        <f t="shared" si="5"/>
        <v>643.10006631968122</v>
      </c>
      <c r="AN59" s="59">
        <f ca="1">AVERAGE(OFFSET($AM$3,0,0,'Données projet'!$E$10+1,1))-AVERAGE(OFFSET($H$3,0,0,'Données projet'!$E$10+1,1))</f>
        <v>177.71717275462748</v>
      </c>
      <c r="AO59" s="59">
        <f t="shared" si="36"/>
        <v>183.73714278300957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36.26589516097367</v>
      </c>
      <c r="AV59" s="21">
        <f>EXP(-LN(2)/25)*AV58+(1-EXP(-LN(2)/25))/(LN(2)/25)*Calculateur!AQ59*Calculateur!AS59*VLOOKUP('Données projet'!$B$10,Paramètres!$A$1:$I$89,3,0)*0.475*44/12</f>
        <v>3.9535320754208514</v>
      </c>
      <c r="AW59" s="21">
        <f>EXP(-LN(2)/2)*AW58+(1-EXP(-LN(2)/2))/(LN(2)/2)*AQ59*AT59*VLOOKUP('Données projet'!$B$10,Paramètres!$A$1:$I$89,3,0)*0.475*44/12</f>
        <v>0.91179155827053993</v>
      </c>
      <c r="AX59" s="21">
        <f t="shared" si="6"/>
        <v>41.13121879466506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-1.7053025658242404E-13</v>
      </c>
      <c r="BE59" s="13">
        <f>BD59*VLOOKUP('Données projet'!$B$11,Paramètres!$A$1:$I$89,3,0)*VLOOKUP('Données projet'!$B$11,Paramètres!$A$1:$I$89,5,0)</f>
        <v>-1.383341441396624E-13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325.66150195494157</v>
      </c>
      <c r="BJ59" s="59">
        <f t="shared" si="38"/>
        <v>429.07526815514467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124.33074110313814</v>
      </c>
      <c r="BQ59" s="21">
        <f>EXP(-LN(2)/25)*BQ58+(1-EXP(-LN(2)/25))/(LN(2)/25)*Calculateur!BL59*Calculateur!BN59*VLOOKUP('Données projet'!$B$11,Paramètres!$A$1:$I$89,3,0)*0.475*44/12</f>
        <v>7.8728476676964476</v>
      </c>
      <c r="BR59" s="21">
        <f>EXP(-LN(2)/2)*BR58+(1-EXP(-LN(2)/2))/(LN(2)/2)*BL59*BO59*VLOOKUP('Données projet'!$B$11,Paramètres!$A$1:$I$89,3,0)*0.475*44/12</f>
        <v>2.8185451144934599</v>
      </c>
      <c r="BS59" s="22">
        <f t="shared" si="9"/>
        <v>135.02213388532803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7">
        <f t="shared" si="1"/>
        <v>405.4201318118532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6.2</v>
      </c>
      <c r="N60" s="13">
        <f>IF('Données projet'!$A$36&gt;35,N59+M60-V59,IF(A60&lt;'Données projet'!$A$36,$K$205^A60,IF(A60='Données projet'!$A$36,'Données projet'!$B$36,N59+M60-V59)))</f>
        <v>275.39999999999992</v>
      </c>
      <c r="O60" s="13">
        <f>N60*VLOOKUP('Données projet'!$B$9,Paramètres!$A$1:$I$89,3,0)*VLOOKUP('Données projet'!$B$9,Paramètres!$A$1:$I$89,5,0)</f>
        <v>219.10823999999994</v>
      </c>
      <c r="P60" s="13">
        <f t="shared" si="33"/>
        <v>53.921020297295854</v>
      </c>
      <c r="Q60" s="20">
        <f t="shared" si="53"/>
        <v>475.52596168445672</v>
      </c>
      <c r="R60" s="59">
        <f t="shared" si="0"/>
        <v>768.85929501779003</v>
      </c>
      <c r="S60" s="59">
        <f ca="1">AVERAGE(OFFSET($R$3,0,0,'Données projet'!$E$9+1,1))-AVERAGE(OFFSET($H$3,0,0,'Données projet'!$E$9+1,1))</f>
        <v>244.71206779102869</v>
      </c>
      <c r="T60" s="59">
        <f t="shared" si="34"/>
        <v>248.77995374147798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29.13396374395159</v>
      </c>
      <c r="AA60" s="21">
        <f>EXP(-LN(2)/25)*AA59+(1-EXP(-LN(2)/25))/(LN(2)/25)*Calculateur!V60*Calculateur!X60*VLOOKUP('Données projet'!$B$9,Paramètres!$A$1:$I$89,3,0)*0.475*44/12</f>
        <v>4.8436734778583501</v>
      </c>
      <c r="AB60" s="21">
        <f>EXP(-LN(2)/2)*AB59+(1-EXP(-LN(2)/2))/(LN(2)/2)*V60*Y60*VLOOKUP('Données projet'!$B$9,Paramètres!$A$1:$I$89,3,0)*0.475*44/12</f>
        <v>0.46350488767505482</v>
      </c>
      <c r="AC60" s="22">
        <f t="shared" si="3"/>
        <v>34.441142109485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8.1641025641025635</v>
      </c>
      <c r="AI60" s="13">
        <f>IF('Données projet'!$A$62&gt;35,AI59+AH60-AQ59,IF(A60&lt;'Données projet'!$A$62,$AF$205^A60,IF(A60='Données projet'!$A$62,'Données projet'!$B$62,AI59+AH60-AQ59)))</f>
        <v>246.66153846153833</v>
      </c>
      <c r="AJ60" s="13">
        <f>AI60*VLOOKUP('Données projet'!$B$10,Paramètres!$A$1:$I$89,3,0)*VLOOKUP('Données projet'!$B$10,Paramètres!$A$1:$I$89,5,0)</f>
        <v>165.4605599999999</v>
      </c>
      <c r="AK60" s="13">
        <f t="shared" si="35"/>
        <v>42.071744088228883</v>
      </c>
      <c r="AL60" s="20">
        <f t="shared" si="4"/>
        <v>361.45209628699848</v>
      </c>
      <c r="AM60" s="59">
        <f t="shared" si="5"/>
        <v>654.7854296203318</v>
      </c>
      <c r="AN60" s="59">
        <f ca="1">AVERAGE(OFFSET($AM$3,0,0,'Données projet'!$E$10+1,1))-AVERAGE(OFFSET($H$3,0,0,'Données projet'!$E$10+1,1))</f>
        <v>177.71717275462748</v>
      </c>
      <c r="AO60" s="59">
        <f t="shared" si="36"/>
        <v>183.73714278300957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35.554743076878857</v>
      </c>
      <c r="AV60" s="21">
        <f>EXP(-LN(2)/25)*AV59+(1-EXP(-LN(2)/25))/(LN(2)/25)*Calculateur!AQ60*Calculateur!AS60*VLOOKUP('Données projet'!$B$10,Paramètres!$A$1:$I$89,3,0)*0.475*44/12</f>
        <v>3.8454225329112521</v>
      </c>
      <c r="AW60" s="21">
        <f>EXP(-LN(2)/2)*AW59+(1-EXP(-LN(2)/2))/(LN(2)/2)*AQ60*AT60*VLOOKUP('Données projet'!$B$10,Paramètres!$A$1:$I$89,3,0)*0.475*44/12</f>
        <v>0.6447339938817479</v>
      </c>
      <c r="AX60" s="21">
        <f t="shared" si="6"/>
        <v>40.044899603671858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-1.7053025658242404E-13</v>
      </c>
      <c r="BE60" s="13">
        <f>BD60*VLOOKUP('Données projet'!$B$11,Paramètres!$A$1:$I$89,3,0)*VLOOKUP('Données projet'!$B$11,Paramètres!$A$1:$I$89,5,0)</f>
        <v>-1.383341441396624E-13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325.66150195494157</v>
      </c>
      <c r="BJ60" s="59">
        <f t="shared" si="38"/>
        <v>429.07526815514467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121.89269110436966</v>
      </c>
      <c r="BQ60" s="21">
        <f>EXP(-LN(2)/25)*BQ59+(1-EXP(-LN(2)/25))/(LN(2)/25)*Calculateur!BL60*Calculateur!BN60*VLOOKUP('Données projet'!$B$11,Paramètres!$A$1:$I$89,3,0)*0.475*44/12</f>
        <v>7.6575642342082233</v>
      </c>
      <c r="BR60" s="21">
        <f>EXP(-LN(2)/2)*BR59+(1-EXP(-LN(2)/2))/(LN(2)/2)*BL60*BO60*VLOOKUP('Données projet'!$B$11,Paramètres!$A$1:$I$89,3,0)*0.475*44/12</f>
        <v>1.9930123635385397</v>
      </c>
      <c r="BS60" s="22">
        <f t="shared" si="9"/>
        <v>131.5432677021164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7">
        <f t="shared" si="1"/>
        <v>407.33437995303234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6.2</v>
      </c>
      <c r="N61" s="13">
        <f>IF('Données projet'!$A$36&gt;35,N60+M61-V60,IF(A61&lt;'Données projet'!$A$36,$K$205^A61,IF(A61='Données projet'!$A$36,'Données projet'!$B$36,N60+M61-V60)))</f>
        <v>281.59999999999991</v>
      </c>
      <c r="O61" s="13">
        <f>N61*VLOOKUP('Données projet'!$B$9,Paramètres!$A$1:$I$89,3,0)*VLOOKUP('Données projet'!$B$9,Paramètres!$A$1:$I$89,5,0)</f>
        <v>224.04095999999993</v>
      </c>
      <c r="P61" s="13">
        <f t="shared" si="33"/>
        <v>54.992235867381233</v>
      </c>
      <c r="Q61" s="20">
        <f t="shared" si="53"/>
        <v>485.98281613568884</v>
      </c>
      <c r="R61" s="59">
        <f t="shared" si="0"/>
        <v>779.31614946902209</v>
      </c>
      <c r="S61" s="59">
        <f ca="1">AVERAGE(OFFSET($R$3,0,0,'Données projet'!$E$9+1,1))-AVERAGE(OFFSET($H$3,0,0,'Données projet'!$E$9+1,1))</f>
        <v>244.71206779102869</v>
      </c>
      <c r="T61" s="59">
        <f t="shared" si="34"/>
        <v>248.77995374147798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28.562664484895944</v>
      </c>
      <c r="AA61" s="21">
        <f>EXP(-LN(2)/25)*AA60+(1-EXP(-LN(2)/25))/(LN(2)/25)*Calculateur!V61*Calculateur!X61*VLOOKUP('Données projet'!$B$9,Paramètres!$A$1:$I$89,3,0)*0.475*44/12</f>
        <v>4.7112229718885956</v>
      </c>
      <c r="AB61" s="21">
        <f>EXP(-LN(2)/2)*AB60+(1-EXP(-LN(2)/2))/(LN(2)/2)*V61*Y61*VLOOKUP('Données projet'!$B$9,Paramètres!$A$1:$I$89,3,0)*0.475*44/12</f>
        <v>0.32774744918814031</v>
      </c>
      <c r="AC61" s="22">
        <f t="shared" si="3"/>
        <v>33.601634905972674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8.1641025641025635</v>
      </c>
      <c r="AI61" s="13">
        <f>IF('Données projet'!$A$62&gt;35,AI60+AH61-AQ60,IF(A61&lt;'Données projet'!$A$62,$AF$205^A61,IF(A61='Données projet'!$A$62,'Données projet'!$B$62,AI60+AH61-AQ60)))</f>
        <v>254.82564102564089</v>
      </c>
      <c r="AJ61" s="13">
        <f>AI61*VLOOKUP('Données projet'!$B$10,Paramètres!$A$1:$I$89,3,0)*VLOOKUP('Données projet'!$B$10,Paramètres!$A$1:$I$89,5,0)</f>
        <v>170.93703999999991</v>
      </c>
      <c r="AK61" s="13">
        <f t="shared" si="35"/>
        <v>43.299822187155641</v>
      </c>
      <c r="AL61" s="20">
        <f t="shared" si="4"/>
        <v>373.1292016426292</v>
      </c>
      <c r="AM61" s="59">
        <f t="shared" si="5"/>
        <v>666.46253497596251</v>
      </c>
      <c r="AN61" s="59">
        <f ca="1">AVERAGE(OFFSET($AM$3,0,0,'Données projet'!$E$10+1,1))-AVERAGE(OFFSET($H$3,0,0,'Données projet'!$E$10+1,1))</f>
        <v>177.71717275462748</v>
      </c>
      <c r="AO61" s="59">
        <f t="shared" si="36"/>
        <v>183.73714278300957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34.857536251393199</v>
      </c>
      <c r="AV61" s="21">
        <f>EXP(-LN(2)/25)*AV60+(1-EXP(-LN(2)/25))/(LN(2)/25)*Calculateur!AQ61*Calculateur!AS61*VLOOKUP('Données projet'!$B$10,Paramètres!$A$1:$I$89,3,0)*0.475*44/12</f>
        <v>3.7402692515268119</v>
      </c>
      <c r="AW61" s="21">
        <f>EXP(-LN(2)/2)*AW60+(1-EXP(-LN(2)/2))/(LN(2)/2)*AQ61*AT61*VLOOKUP('Données projet'!$B$10,Paramètres!$A$1:$I$89,3,0)*0.475*44/12</f>
        <v>0.45589577913527002</v>
      </c>
      <c r="AX61" s="21">
        <f t="shared" si="6"/>
        <v>39.053701282055279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-1.7053025658242404E-13</v>
      </c>
      <c r="BE61" s="13">
        <f>BD61*VLOOKUP('Données projet'!$B$11,Paramètres!$A$1:$I$89,3,0)*VLOOKUP('Données projet'!$B$11,Paramètres!$A$1:$I$89,5,0)</f>
        <v>-1.383341441396624E-13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325.66150195494157</v>
      </c>
      <c r="BJ61" s="59">
        <f t="shared" si="38"/>
        <v>429.07526815514467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119.50244977901338</v>
      </c>
      <c r="BQ61" s="21">
        <f>EXP(-LN(2)/25)*BQ60+(1-EXP(-LN(2)/25))/(LN(2)/25)*Calculateur!BL61*Calculateur!BN61*VLOOKUP('Données projet'!$B$11,Paramètres!$A$1:$I$89,3,0)*0.475*44/12</f>
        <v>7.4481677375299977</v>
      </c>
      <c r="BR61" s="21">
        <f>EXP(-LN(2)/2)*BR60+(1-EXP(-LN(2)/2))/(LN(2)/2)*BL61*BO61*VLOOKUP('Données projet'!$B$11,Paramètres!$A$1:$I$89,3,0)*0.475*44/12</f>
        <v>1.4092725572467302</v>
      </c>
      <c r="BS61" s="22">
        <f t="shared" si="9"/>
        <v>128.3598900737901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7">
        <f t="shared" si="1"/>
        <v>409.24784067856899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6.2</v>
      </c>
      <c r="N62" s="13">
        <f>IF('Données projet'!$A$36&gt;35,N61+M62-V61,IF(A62&lt;'Données projet'!$A$36,$K$205^A62,IF(A62='Données projet'!$A$36,'Données projet'!$B$36,N61+M62-V61)))</f>
        <v>287.7999999999999</v>
      </c>
      <c r="O62" s="13">
        <f>N62*VLOOKUP('Données projet'!$B$9,Paramètres!$A$1:$I$89,3,0)*VLOOKUP('Données projet'!$B$9,Paramètres!$A$1:$I$89,5,0)</f>
        <v>228.97367999999994</v>
      </c>
      <c r="P62" s="13">
        <f t="shared" si="33"/>
        <v>56.060709423888284</v>
      </c>
      <c r="Q62" s="20">
        <f t="shared" si="53"/>
        <v>496.43489491327199</v>
      </c>
      <c r="R62" s="59">
        <f t="shared" si="0"/>
        <v>789.7682282466053</v>
      </c>
      <c r="S62" s="59">
        <f ca="1">AVERAGE(OFFSET($R$3,0,0,'Données projet'!$E$9+1,1))-AVERAGE(OFFSET($H$3,0,0,'Données projet'!$E$9+1,1))</f>
        <v>244.71206779102869</v>
      </c>
      <c r="T62" s="59">
        <f t="shared" si="34"/>
        <v>248.77995374147798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28.00256805585224</v>
      </c>
      <c r="AA62" s="21">
        <f>EXP(-LN(2)/25)*AA61+(1-EXP(-LN(2)/25))/(LN(2)/25)*Calculateur!V62*Calculateur!X62*VLOOKUP('Données projet'!$B$9,Paramètres!$A$1:$I$89,3,0)*0.475*44/12</f>
        <v>4.5823943319698532</v>
      </c>
      <c r="AB62" s="21">
        <f>EXP(-LN(2)/2)*AB61+(1-EXP(-LN(2)/2))/(LN(2)/2)*V62*Y62*VLOOKUP('Données projet'!$B$9,Paramètres!$A$1:$I$89,3,0)*0.475*44/12</f>
        <v>0.23175244383752744</v>
      </c>
      <c r="AC62" s="22">
        <f t="shared" si="3"/>
        <v>32.816714831659624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8.1641025641025635</v>
      </c>
      <c r="AI62" s="13">
        <f>IF('Données projet'!$A$62&gt;35,AI61+AH62-AQ61,IF(A62&lt;'Données projet'!$A$62,$AF$205^A62,IF(A62='Données projet'!$A$62,'Données projet'!$B$62,AI61+AH62-AQ61)))</f>
        <v>262.98974358974345</v>
      </c>
      <c r="AJ62" s="13">
        <f>AI62*VLOOKUP('Données projet'!$B$10,Paramètres!$A$1:$I$89,3,0)*VLOOKUP('Données projet'!$B$10,Paramètres!$A$1:$I$89,5,0)</f>
        <v>176.41351999999989</v>
      </c>
      <c r="AK62" s="13">
        <f t="shared" si="35"/>
        <v>44.52332821204508</v>
      </c>
      <c r="AL62" s="20">
        <f t="shared" si="4"/>
        <v>384.79834396931165</v>
      </c>
      <c r="AM62" s="59">
        <f t="shared" si="5"/>
        <v>678.1316773026449</v>
      </c>
      <c r="AN62" s="59">
        <f ca="1">AVERAGE(OFFSET($AM$3,0,0,'Données projet'!$E$10+1,1))-AVERAGE(OFFSET($H$3,0,0,'Données projet'!$E$10+1,1))</f>
        <v>177.71717275462748</v>
      </c>
      <c r="AO62" s="59">
        <f t="shared" si="36"/>
        <v>183.73714278300957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34.17400122650114</v>
      </c>
      <c r="AV62" s="21">
        <f>EXP(-LN(2)/25)*AV61+(1-EXP(-LN(2)/25))/(LN(2)/25)*Calculateur!AQ62*Calculateur!AS62*VLOOKUP('Données projet'!$B$10,Paramètres!$A$1:$I$89,3,0)*0.475*44/12</f>
        <v>3.6379913921515996</v>
      </c>
      <c r="AW62" s="21">
        <f>EXP(-LN(2)/2)*AW61+(1-EXP(-LN(2)/2))/(LN(2)/2)*AQ62*AT62*VLOOKUP('Données projet'!$B$10,Paramètres!$A$1:$I$89,3,0)*0.475*44/12</f>
        <v>0.32236699694087401</v>
      </c>
      <c r="AX62" s="21">
        <f t="shared" si="6"/>
        <v>38.13435961559361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-1.7053025658242404E-13</v>
      </c>
      <c r="BE62" s="13">
        <f>BD62*VLOOKUP('Données projet'!$B$11,Paramètres!$A$1:$I$89,3,0)*VLOOKUP('Données projet'!$B$11,Paramètres!$A$1:$I$89,5,0)</f>
        <v>-1.383341441396624E-13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325.66150195494157</v>
      </c>
      <c r="BJ62" s="59">
        <f t="shared" si="38"/>
        <v>429.07526815514467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117.15907962814407</v>
      </c>
      <c r="BQ62" s="21">
        <f>EXP(-LN(2)/25)*BQ61+(1-EXP(-LN(2)/25))/(LN(2)/25)*Calculateur!BL62*Calculateur!BN62*VLOOKUP('Données projet'!$B$11,Paramètres!$A$1:$I$89,3,0)*0.475*44/12</f>
        <v>7.2444971990651217</v>
      </c>
      <c r="BR62" s="21">
        <f>EXP(-LN(2)/2)*BR61+(1-EXP(-LN(2)/2))/(LN(2)/2)*BL62*BO62*VLOOKUP('Données projet'!$B$11,Paramètres!$A$1:$I$89,3,0)*0.475*44/12</f>
        <v>0.99650618176926997</v>
      </c>
      <c r="BS62" s="22">
        <f t="shared" si="9"/>
        <v>125.40008300897847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7">
        <f t="shared" si="1"/>
        <v>411.16052887471733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294</v>
      </c>
      <c r="L63" s="12">
        <f>VLOOKUP(A63,'Données projet'!$A$35:$I$55,9,0)</f>
        <v>6.2</v>
      </c>
      <c r="M63" s="12">
        <f t="array" ref="M63">INDEX(L:L,MIN(IF(ISNUMBER(L63:L259),ROW(L63:L259),"")))</f>
        <v>6.2</v>
      </c>
      <c r="N63" s="13">
        <f>IF('Données projet'!$A$36&gt;35,N62+M63-V62,IF(A63&lt;'Données projet'!$A$36,$K$205^A63,IF(A63='Données projet'!$A$36,'Données projet'!$B$36,N62+M63-V62)))</f>
        <v>293.99999999999989</v>
      </c>
      <c r="O63" s="13">
        <f>N63*VLOOKUP('Données projet'!$B$9,Paramètres!$A$1:$I$89,3,0)*VLOOKUP('Données projet'!$B$9,Paramètres!$A$1:$I$89,5,0)</f>
        <v>233.90639999999991</v>
      </c>
      <c r="P63" s="13">
        <f t="shared" si="33"/>
        <v>57.126506840778347</v>
      </c>
      <c r="Q63" s="20">
        <f t="shared" si="53"/>
        <v>506.88231274768879</v>
      </c>
      <c r="R63" s="59">
        <f t="shared" si="0"/>
        <v>800.2156460810221</v>
      </c>
      <c r="S63" s="59">
        <f ca="1">AVERAGE(OFFSET($R$3,0,0,'Données projet'!$E$9+1,1))-AVERAGE(OFFSET($H$3,0,0,'Données projet'!$E$9+1,1))</f>
        <v>244.71206779102869</v>
      </c>
      <c r="T63" s="59">
        <f t="shared" si="34"/>
        <v>248.77995374147798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0.42400000000000004</v>
      </c>
      <c r="X63" s="16">
        <f>IF(ISNA(VLOOKUP(A63,'Données projet'!$A$35:$I$55,6,0)),0%,VLOOKUP(A63,'Données projet'!$A$35:$I$55,6,0)*VLOOKUP('Données projet'!$B$9,Paramètres!$A$1:$I$89,7,0))</f>
        <v>2.12E-2</v>
      </c>
      <c r="Y63" s="16">
        <f>IF(ISNA(VLOOKUP(A63,'Données projet'!$A$35:$I$55,7,0)),0%,VLOOKUP(A63,'Données projet'!$A$35:$I$55,7,0))</f>
        <v>0.06</v>
      </c>
      <c r="Z63" s="21">
        <f>EXP(-LN(2)/35)*Z62+(1-EXP(-LN(2)/35))/(LN(2)/35)*V63*W63*VLOOKUP('Données projet'!$B$9,Paramètres!$A$1:$I$89,3,0)*0.475*44/12</f>
        <v>32.674239396922275</v>
      </c>
      <c r="AA63" s="21">
        <f>EXP(-LN(2)/25)*AA62+(1-EXP(-LN(2)/25))/(LN(2)/25)*Calculateur!V63*Calculateur!X63*VLOOKUP('Données projet'!$B$9,Paramètres!$A$1:$I$89,3,0)*0.475*44/12</f>
        <v>4.7170999381064149</v>
      </c>
      <c r="AB63" s="21">
        <f>EXP(-LN(2)/2)*AB62+(1-EXP(-LN(2)/2))/(LN(2)/2)*V63*Y63*VLOOKUP('Données projet'!$B$9,Paramètres!$A$1:$I$89,3,0)*0.475*44/12</f>
        <v>0.79443653573250961</v>
      </c>
      <c r="AC63" s="22">
        <f t="shared" si="3"/>
        <v>38.185775870761198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271.15384615384613</v>
      </c>
      <c r="AG63" s="12">
        <f>VLOOKUP(A63,'Données projet'!$A$61:$I$81,9,0)</f>
        <v>8.1641025641025635</v>
      </c>
      <c r="AH63" s="12">
        <f t="array" ref="AH63">INDEX(AG:AG,MIN(IF(ISNUMBER(AG63:AG259),ROW(AG63:AG259),"")))</f>
        <v>8.1641025641025635</v>
      </c>
      <c r="AI63" s="13">
        <f>IF('Données projet'!$A$62&gt;35,AI62+AH63-AQ62,IF(A63&lt;'Données projet'!$A$62,$AF$205^A63,IF(A63='Données projet'!$A$62,'Données projet'!$B$62,AI62+AH63-AQ62)))</f>
        <v>271.15384615384602</v>
      </c>
      <c r="AJ63" s="13">
        <f>AI63*VLOOKUP('Données projet'!$B$10,Paramètres!$A$1:$I$89,3,0)*VLOOKUP('Données projet'!$B$10,Paramètres!$A$1:$I$89,5,0)</f>
        <v>181.8899999999999</v>
      </c>
      <c r="AK63" s="13">
        <f t="shared" si="35"/>
        <v>45.742420382341599</v>
      </c>
      <c r="AL63" s="20">
        <f t="shared" si="4"/>
        <v>396.45979883257809</v>
      </c>
      <c r="AM63" s="59">
        <f t="shared" si="5"/>
        <v>689.7931321659114</v>
      </c>
      <c r="AN63" s="59">
        <f ca="1">AVERAGE(OFFSET($AM$3,0,0,'Données projet'!$E$10+1,1))-AVERAGE(OFFSET($H$3,0,0,'Données projet'!$E$10+1,1))</f>
        <v>177.71717275462748</v>
      </c>
      <c r="AO63" s="59">
        <f t="shared" si="36"/>
        <v>183.73714278300957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27</v>
      </c>
      <c r="AR63" s="16">
        <f>IF(ISNA(VLOOKUP(A63,'Données projet'!$A$61:$I$81,5,0)),0%,VLOOKUP(A63,'Données projet'!$A$61:$I$81,5,0)*VLOOKUP('Données projet'!$B$10,Paramètres!$A$1:$I$89,7,0))</f>
        <v>0.42400000000000004</v>
      </c>
      <c r="AS63" s="16">
        <f>IF(ISNA(VLOOKUP(A63,'Données projet'!$A$61:$I$81,6,0)),0%,VLOOKUP(A63,'Données projet'!$A$61:$I$81,6,0)*VLOOKUP('Données projet'!$B$10,Paramètres!$A$1:$I$89,7,0))</f>
        <v>2.12E-2</v>
      </c>
      <c r="AT63" s="16">
        <f>IF(ISNA(VLOOKUP(A63,'Données projet'!$A$61:$I$81,7,0)),0%,VLOOKUP(A63,'Données projet'!$A$61:$I$81,7,0))</f>
        <v>0.06</v>
      </c>
      <c r="AU63" s="21">
        <f>EXP(-LN(2)/35)*AU62+(1-EXP(-LN(2)/35))/(LN(2)/35)*AQ63*AR63*VLOOKUP('Données projet'!$B$10,Paramètres!$A$1:$I$89,3,0)*0.475*44/12</f>
        <v>41.993128932734386</v>
      </c>
      <c r="AV63" s="21">
        <f>EXP(-LN(2)/25)*AV62+(1-EXP(-LN(2)/25))/(LN(2)/25)*Calculateur!AQ63*Calculateur!AS63*VLOOKUP('Données projet'!$B$10,Paramètres!$A$1:$I$89,3,0)*0.475*44/12</f>
        <v>3.9613020051573078</v>
      </c>
      <c r="AW63" s="21">
        <f>EXP(-LN(2)/2)*AW62+(1-EXP(-LN(2)/2))/(LN(2)/2)*AQ63*AT63*VLOOKUP('Données projet'!$B$10,Paramètres!$A$1:$I$89,3,0)*0.475*44/12</f>
        <v>1.253274813561652</v>
      </c>
      <c r="AX63" s="21">
        <f t="shared" si="6"/>
        <v>47.207705751453346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-1.7053025658242404E-13</v>
      </c>
      <c r="BE63" s="13">
        <f>BD63*VLOOKUP('Données projet'!$B$11,Paramètres!$A$1:$I$89,3,0)*VLOOKUP('Données projet'!$B$11,Paramètres!$A$1:$I$89,5,0)</f>
        <v>-1.383341441396624E-13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325.66150195494157</v>
      </c>
      <c r="BJ63" s="59">
        <f t="shared" si="38"/>
        <v>429.07526815514467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114.86166153661866</v>
      </c>
      <c r="BQ63" s="21">
        <f>EXP(-LN(2)/25)*BQ62+(1-EXP(-LN(2)/25))/(LN(2)/25)*Calculateur!BL63*Calculateur!BN63*VLOOKUP('Données projet'!$B$11,Paramètres!$A$1:$I$89,3,0)*0.475*44/12</f>
        <v>7.0463960421851359</v>
      </c>
      <c r="BR63" s="21">
        <f>EXP(-LN(2)/2)*BR62+(1-EXP(-LN(2)/2))/(LN(2)/2)*BL63*BO63*VLOOKUP('Données projet'!$B$11,Paramètres!$A$1:$I$89,3,0)*0.475*44/12</f>
        <v>0.7046362786233652</v>
      </c>
      <c r="BS63" s="22">
        <f t="shared" si="9"/>
        <v>122.61269385742716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7">
        <f t="shared" si="1"/>
        <v>413.07245890307996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285.19999999999987</v>
      </c>
      <c r="O64" s="13">
        <f>N64*VLOOKUP('Données projet'!$B$9,Paramètres!$A$1:$I$89,3,0)*VLOOKUP('Données projet'!$B$9,Paramètres!$A$1:$I$89,5,0)</f>
        <v>226.90511999999993</v>
      </c>
      <c r="P64" s="13">
        <f t="shared" si="33"/>
        <v>55.612969408444364</v>
      </c>
      <c r="Q64" s="20">
        <f t="shared" si="53"/>
        <v>492.05233905304044</v>
      </c>
      <c r="R64" s="59">
        <f t="shared" si="0"/>
        <v>785.3856723863737</v>
      </c>
      <c r="S64" s="59">
        <f ca="1">AVERAGE(OFFSET($R$3,0,0,'Données projet'!$E$9+1,1))-AVERAGE(OFFSET($H$3,0,0,'Données projet'!$E$9+1,1))</f>
        <v>244.71206779102869</v>
      </c>
      <c r="T64" s="59">
        <f t="shared" si="34"/>
        <v>248.77995374147798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32.033517491666807</v>
      </c>
      <c r="AA64" s="21">
        <f>EXP(-LN(2)/25)*AA63+(1-EXP(-LN(2)/25))/(LN(2)/25)*Calculateur!V64*Calculateur!X64*VLOOKUP('Données projet'!$B$9,Paramètres!$A$1:$I$89,3,0)*0.475*44/12</f>
        <v>4.5881105922373902</v>
      </c>
      <c r="AB64" s="21">
        <f>EXP(-LN(2)/2)*AB63+(1-EXP(-LN(2)/2))/(LN(2)/2)*V64*Y64*VLOOKUP('Données projet'!$B$9,Paramètres!$A$1:$I$89,3,0)*0.475*44/12</f>
        <v>0.56175146163880652</v>
      </c>
      <c r="AC64" s="22">
        <f t="shared" si="3"/>
        <v>37.183379545543005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7.7076923076923096</v>
      </c>
      <c r="AI64" s="13">
        <f>IF('Données projet'!$A$62&gt;35,AI63+AH64-AQ63,IF(A64&lt;'Données projet'!$A$62,$AF$205^A64,IF(A64='Données projet'!$A$62,'Données projet'!$B$62,AI63+AH64-AQ63)))</f>
        <v>251.86153846153832</v>
      </c>
      <c r="AJ64" s="13">
        <f>AI64*VLOOKUP('Données projet'!$B$10,Paramètres!$A$1:$I$89,3,0)*VLOOKUP('Données projet'!$B$10,Paramètres!$A$1:$I$89,5,0)</f>
        <v>168.94871999999992</v>
      </c>
      <c r="AK64" s="13">
        <f t="shared" si="35"/>
        <v>42.854486900012354</v>
      </c>
      <c r="AL64" s="20">
        <f t="shared" si="4"/>
        <v>368.89058535085474</v>
      </c>
      <c r="AM64" s="59">
        <f t="shared" si="5"/>
        <v>662.22391868418799</v>
      </c>
      <c r="AN64" s="59">
        <f ca="1">AVERAGE(OFFSET($AM$3,0,0,'Données projet'!$E$10+1,1))-AVERAGE(OFFSET($H$3,0,0,'Données projet'!$E$10+1,1))</f>
        <v>177.71717275462748</v>
      </c>
      <c r="AO64" s="59">
        <f t="shared" si="36"/>
        <v>183.73714278300957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41.169669287643011</v>
      </c>
      <c r="AV64" s="21">
        <f>EXP(-LN(2)/25)*AV63+(1-EXP(-LN(2)/25))/(LN(2)/25)*Calculateur!AQ64*Calculateur!AS64*VLOOKUP('Données projet'!$B$10,Paramètres!$A$1:$I$89,3,0)*0.475*44/12</f>
        <v>3.8529799935104623</v>
      </c>
      <c r="AW64" s="21">
        <f>EXP(-LN(2)/2)*AW63+(1-EXP(-LN(2)/2))/(LN(2)/2)*AQ64*AT64*VLOOKUP('Données projet'!$B$10,Paramètres!$A$1:$I$89,3,0)*0.475*44/12</f>
        <v>0.88619911935975026</v>
      </c>
      <c r="AX64" s="21">
        <f t="shared" si="6"/>
        <v>45.908848400513222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-1.7053025658242404E-13</v>
      </c>
      <c r="BE64" s="13">
        <f>BD64*VLOOKUP('Données projet'!$B$11,Paramètres!$A$1:$I$89,3,0)*VLOOKUP('Données projet'!$B$11,Paramètres!$A$1:$I$89,5,0)</f>
        <v>-1.383341441396624E-13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325.66150195494157</v>
      </c>
      <c r="BJ64" s="59">
        <f t="shared" si="38"/>
        <v>429.07526815514467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112.60929441258138</v>
      </c>
      <c r="BQ64" s="21">
        <f>EXP(-LN(2)/25)*BQ63+(1-EXP(-LN(2)/25))/(LN(2)/25)*Calculateur!BL64*Calculateur!BN64*VLOOKUP('Données projet'!$B$11,Paramètres!$A$1:$I$89,3,0)*0.475*44/12</f>
        <v>6.8537119718577202</v>
      </c>
      <c r="BR64" s="21">
        <f>EXP(-LN(2)/2)*BR63+(1-EXP(-LN(2)/2))/(LN(2)/2)*BL64*BO64*VLOOKUP('Données projet'!$B$11,Paramètres!$A$1:$I$89,3,0)*0.475*44/12</f>
        <v>0.49825309088463504</v>
      </c>
      <c r="BS64" s="22">
        <f t="shared" si="9"/>
        <v>119.96125947532373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7">
        <f t="shared" si="1"/>
        <v>414.98364462739102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290.39999999999986</v>
      </c>
      <c r="O65" s="13">
        <f>N65*VLOOKUP('Données projet'!$B$9,Paramètres!$A$1:$I$89,3,0)*VLOOKUP('Données projet'!$B$9,Paramètres!$A$1:$I$89,5,0)</f>
        <v>231.04223999999991</v>
      </c>
      <c r="P65" s="13">
        <f t="shared" si="33"/>
        <v>56.507978852931409</v>
      </c>
      <c r="Q65" s="20">
        <f t="shared" si="53"/>
        <v>500.81663116885539</v>
      </c>
      <c r="R65" s="59">
        <f t="shared" si="0"/>
        <v>794.14996450218871</v>
      </c>
      <c r="S65" s="59">
        <f ca="1">AVERAGE(OFFSET($R$3,0,0,'Données projet'!$E$9+1,1))-AVERAGE(OFFSET($H$3,0,0,'Données projet'!$E$9+1,1))</f>
        <v>244.71206779102869</v>
      </c>
      <c r="T65" s="59">
        <f t="shared" si="34"/>
        <v>248.77995374147798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31.405359752171623</v>
      </c>
      <c r="AA65" s="21">
        <f>EXP(-LN(2)/25)*AA64+(1-EXP(-LN(2)/25))/(LN(2)/25)*Calculateur!V65*Calculateur!X65*VLOOKUP('Données projet'!$B$9,Paramètres!$A$1:$I$89,3,0)*0.475*44/12</f>
        <v>4.4626484668144091</v>
      </c>
      <c r="AB65" s="21">
        <f>EXP(-LN(2)/2)*AB64+(1-EXP(-LN(2)/2))/(LN(2)/2)*V65*Y65*VLOOKUP('Données projet'!$B$9,Paramètres!$A$1:$I$89,3,0)*0.475*44/12</f>
        <v>0.3972182678662548</v>
      </c>
      <c r="AC65" s="22">
        <f t="shared" si="3"/>
        <v>36.265226486852292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7.7076923076923096</v>
      </c>
      <c r="AI65" s="13">
        <f>IF('Données projet'!$A$62&gt;35,AI64+AH65-AQ64,IF(A65&lt;'Données projet'!$A$62,$AF$205^A65,IF(A65='Données projet'!$A$62,'Données projet'!$B$62,AI64+AH65-AQ64)))</f>
        <v>259.56923076923061</v>
      </c>
      <c r="AJ65" s="13">
        <f>AI65*VLOOKUP('Données projet'!$B$10,Paramètres!$A$1:$I$89,3,0)*VLOOKUP('Données projet'!$B$10,Paramètres!$A$1:$I$89,5,0)</f>
        <v>174.1190399999999</v>
      </c>
      <c r="AK65" s="13">
        <f t="shared" si="35"/>
        <v>44.011262187531621</v>
      </c>
      <c r="AL65" s="20">
        <f t="shared" si="4"/>
        <v>379.91027630995069</v>
      </c>
      <c r="AM65" s="59">
        <f t="shared" si="5"/>
        <v>673.243609643284</v>
      </c>
      <c r="AN65" s="59">
        <f ca="1">AVERAGE(OFFSET($AM$3,0,0,'Données projet'!$E$10+1,1))-AVERAGE(OFFSET($H$3,0,0,'Données projet'!$E$10+1,1))</f>
        <v>177.71717275462748</v>
      </c>
      <c r="AO65" s="59">
        <f t="shared" si="36"/>
        <v>183.73714278300957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40.362357183931088</v>
      </c>
      <c r="AV65" s="21">
        <f>EXP(-LN(2)/25)*AV64+(1-EXP(-LN(2)/25))/(LN(2)/25)*Calculateur!AQ65*Calculateur!AS65*VLOOKUP('Données projet'!$B$10,Paramètres!$A$1:$I$89,3,0)*0.475*44/12</f>
        <v>3.7476200529685069</v>
      </c>
      <c r="AW65" s="21">
        <f>EXP(-LN(2)/2)*AW64+(1-EXP(-LN(2)/2))/(LN(2)/2)*AQ65*AT65*VLOOKUP('Données projet'!$B$10,Paramètres!$A$1:$I$89,3,0)*0.475*44/12</f>
        <v>0.62663740678082613</v>
      </c>
      <c r="AX65" s="21">
        <f t="shared" si="6"/>
        <v>44.736614643680419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-1.7053025658242404E-13</v>
      </c>
      <c r="BE65" s="13">
        <f>BD65*VLOOKUP('Données projet'!$B$11,Paramètres!$A$1:$I$89,3,0)*VLOOKUP('Données projet'!$B$11,Paramètres!$A$1:$I$89,5,0)</f>
        <v>-1.383341441396624E-13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325.66150195494157</v>
      </c>
      <c r="BJ65" s="59">
        <f t="shared" si="38"/>
        <v>429.07526815514467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110.40109483403818</v>
      </c>
      <c r="BQ65" s="21">
        <f>EXP(-LN(2)/25)*BQ64+(1-EXP(-LN(2)/25))/(LN(2)/25)*Calculateur!BL65*Calculateur!BN65*VLOOKUP('Données projet'!$B$11,Paramètres!$A$1:$I$89,3,0)*0.475*44/12</f>
        <v>6.6662968575662225</v>
      </c>
      <c r="BR65" s="21">
        <f>EXP(-LN(2)/2)*BR64+(1-EXP(-LN(2)/2))/(LN(2)/2)*BL65*BO65*VLOOKUP('Données projet'!$B$11,Paramètres!$A$1:$I$89,3,0)*0.475*44/12</f>
        <v>0.35231813931168265</v>
      </c>
      <c r="BS65" s="22">
        <f t="shared" si="9"/>
        <v>117.41970983091608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7">
        <f t="shared" si="1"/>
        <v>416.89409943852223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295.59999999999985</v>
      </c>
      <c r="O66" s="13">
        <f>N66*VLOOKUP('Données projet'!$B$9,Paramètres!$A$1:$I$89,3,0)*VLOOKUP('Données projet'!$B$9,Paramètres!$A$1:$I$89,5,0)</f>
        <v>235.17935999999989</v>
      </c>
      <c r="P66" s="13">
        <f t="shared" si="33"/>
        <v>57.401124668909425</v>
      </c>
      <c r="Q66" s="20">
        <f t="shared" si="53"/>
        <v>509.57767746501708</v>
      </c>
      <c r="R66" s="59">
        <f t="shared" si="0"/>
        <v>802.91101079835039</v>
      </c>
      <c r="S66" s="59">
        <f ca="1">AVERAGE(OFFSET($R$3,0,0,'Données projet'!$E$9+1,1))-AVERAGE(OFFSET($H$3,0,0,'Données projet'!$E$9+1,1))</f>
        <v>244.71206779102869</v>
      </c>
      <c r="T66" s="59">
        <f t="shared" si="34"/>
        <v>248.77995374147798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30.789519802809551</v>
      </c>
      <c r="AA66" s="21">
        <f>EXP(-LN(2)/25)*AA65+(1-EXP(-LN(2)/25))/(LN(2)/25)*Calculateur!V66*Calculateur!X66*VLOOKUP('Données projet'!$B$9,Paramètres!$A$1:$I$89,3,0)*0.475*44/12</f>
        <v>4.3406171098088855</v>
      </c>
      <c r="AB66" s="21">
        <f>EXP(-LN(2)/2)*AB65+(1-EXP(-LN(2)/2))/(LN(2)/2)*V66*Y66*VLOOKUP('Données projet'!$B$9,Paramètres!$A$1:$I$89,3,0)*0.475*44/12</f>
        <v>0.28087573081940326</v>
      </c>
      <c r="AC66" s="22">
        <f t="shared" si="3"/>
        <v>35.411012643437843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7.7076923076923096</v>
      </c>
      <c r="AI66" s="13">
        <f>IF('Données projet'!$A$62&gt;35,AI65+AH66-AQ65,IF(A66&lt;'Données projet'!$A$62,$AF$205^A66,IF(A66='Données projet'!$A$62,'Données projet'!$B$62,AI65+AH66-AQ65)))</f>
        <v>267.27692307692291</v>
      </c>
      <c r="AJ66" s="13">
        <f>AI66*VLOOKUP('Données projet'!$B$10,Paramètres!$A$1:$I$89,3,0)*VLOOKUP('Données projet'!$B$10,Paramètres!$A$1:$I$89,5,0)</f>
        <v>179.2893599999999</v>
      </c>
      <c r="AK66" s="13">
        <f t="shared" si="35"/>
        <v>45.164045477648777</v>
      </c>
      <c r="AL66" s="20">
        <f t="shared" si="4"/>
        <v>390.92301454023817</v>
      </c>
      <c r="AM66" s="59">
        <f t="shared" si="5"/>
        <v>684.25634787357149</v>
      </c>
      <c r="AN66" s="59">
        <f ca="1">AVERAGE(OFFSET($AM$3,0,0,'Données projet'!$E$10+1,1))-AVERAGE(OFFSET($H$3,0,0,'Données projet'!$E$10+1,1))</f>
        <v>177.71717275462748</v>
      </c>
      <c r="AO66" s="59">
        <f t="shared" si="36"/>
        <v>183.73714278300957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39.570875978161197</v>
      </c>
      <c r="AV66" s="21">
        <f>EXP(-LN(2)/25)*AV65+(1-EXP(-LN(2)/25))/(LN(2)/25)*Calculateur!AQ66*Calculateur!AS66*VLOOKUP('Données projet'!$B$10,Paramètres!$A$1:$I$89,3,0)*0.475*44/12</f>
        <v>3.6451411855413096</v>
      </c>
      <c r="AW66" s="21">
        <f>EXP(-LN(2)/2)*AW65+(1-EXP(-LN(2)/2))/(LN(2)/2)*AQ66*AT66*VLOOKUP('Données projet'!$B$10,Paramètres!$A$1:$I$89,3,0)*0.475*44/12</f>
        <v>0.44309955967987524</v>
      </c>
      <c r="AX66" s="21">
        <f t="shared" si="6"/>
        <v>43.659116723382382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-1.7053025658242404E-13</v>
      </c>
      <c r="BE66" s="13">
        <f>BD66*VLOOKUP('Données projet'!$B$11,Paramètres!$A$1:$I$89,3,0)*VLOOKUP('Données projet'!$B$11,Paramètres!$A$1:$I$89,5,0)</f>
        <v>-1.383341441396624E-13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325.66150195494157</v>
      </c>
      <c r="BJ66" s="59">
        <f t="shared" si="38"/>
        <v>429.07526815514467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108.23619670236145</v>
      </c>
      <c r="BQ66" s="21">
        <f>EXP(-LN(2)/25)*BQ65+(1-EXP(-LN(2)/25))/(LN(2)/25)*Calculateur!BL66*Calculateur!BN66*VLOOKUP('Données projet'!$B$11,Paramètres!$A$1:$I$89,3,0)*0.475*44/12</f>
        <v>6.4840066194307582</v>
      </c>
      <c r="BR66" s="21">
        <f>EXP(-LN(2)/2)*BR65+(1-EXP(-LN(2)/2))/(LN(2)/2)*BL66*BO66*VLOOKUP('Données projet'!$B$11,Paramètres!$A$1:$I$89,3,0)*0.475*44/12</f>
        <v>0.24912654544231758</v>
      </c>
      <c r="BS66" s="22">
        <f t="shared" si="9"/>
        <v>114.96932986723453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7">
        <f t="shared" si="1"/>
        <v>418.80383627785574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300.79999999999984</v>
      </c>
      <c r="O67" s="13">
        <f>N67*VLOOKUP('Données projet'!$B$9,Paramètres!$A$1:$I$89,3,0)*VLOOKUP('Données projet'!$B$9,Paramètres!$A$1:$I$89,5,0)</f>
        <v>239.3164799999999</v>
      </c>
      <c r="P67" s="13">
        <f t="shared" si="33"/>
        <v>58.292443422481945</v>
      </c>
      <c r="Q67" s="20">
        <f t="shared" ref="Q67:Q98" si="54">(O67+P67)*0.475*44/12</f>
        <v>518.33554162748919</v>
      </c>
      <c r="R67" s="59">
        <f t="shared" ref="R67:R130" si="55">Q67+(I67+J67)*44/12</f>
        <v>811.66887496082245</v>
      </c>
      <c r="S67" s="59">
        <f ca="1">AVERAGE(OFFSET($R$3,0,0,'Données projet'!$E$9+1,1))-AVERAGE(OFFSET($H$3,0,0,'Données projet'!$E$9+1,1))</f>
        <v>244.71206779102869</v>
      </c>
      <c r="T67" s="59">
        <f t="shared" si="34"/>
        <v>248.77995374147798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30.185756099229188</v>
      </c>
      <c r="AA67" s="21">
        <f>EXP(-LN(2)/25)*AA66+(1-EXP(-LN(2)/25))/(LN(2)/25)*Calculateur!V67*Calculateur!X67*VLOOKUP('Données projet'!$B$9,Paramètres!$A$1:$I$89,3,0)*0.475*44/12</f>
        <v>4.2219227066780283</v>
      </c>
      <c r="AB67" s="21">
        <f>EXP(-LN(2)/2)*AB66+(1-EXP(-LN(2)/2))/(LN(2)/2)*V67*Y67*VLOOKUP('Données projet'!$B$9,Paramètres!$A$1:$I$89,3,0)*0.475*44/12</f>
        <v>0.1986091339331274</v>
      </c>
      <c r="AC67" s="22">
        <f t="shared" si="3"/>
        <v>34.606287939840342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7.7076923076923096</v>
      </c>
      <c r="AI67" s="13">
        <f>IF('Données projet'!$A$62&gt;35,AI66+AH67-AQ66,IF(A67&lt;'Données projet'!$A$62,$AF$205^A67,IF(A67='Données projet'!$A$62,'Données projet'!$B$62,AI66+AH67-AQ66)))</f>
        <v>274.98461538461521</v>
      </c>
      <c r="AJ67" s="13">
        <f>AI67*VLOOKUP('Données projet'!$B$10,Paramètres!$A$1:$I$89,3,0)*VLOOKUP('Données projet'!$B$10,Paramètres!$A$1:$I$89,5,0)</f>
        <v>184.45967999999991</v>
      </c>
      <c r="AK67" s="13">
        <f t="shared" si="35"/>
        <v>46.312965111624329</v>
      </c>
      <c r="AL67" s="20">
        <f t="shared" si="4"/>
        <v>401.92902356941221</v>
      </c>
      <c r="AM67" s="59">
        <f t="shared" si="5"/>
        <v>695.26235690274552</v>
      </c>
      <c r="AN67" s="59">
        <f ca="1">AVERAGE(OFFSET($AM$3,0,0,'Données projet'!$E$10+1,1))-AVERAGE(OFFSET($H$3,0,0,'Données projet'!$E$10+1,1))</f>
        <v>177.71717275462748</v>
      </c>
      <c r="AO67" s="59">
        <f t="shared" si="36"/>
        <v>183.73714278300957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38.794915236080584</v>
      </c>
      <c r="AV67" s="21">
        <f>EXP(-LN(2)/25)*AV66+(1-EXP(-LN(2)/25))/(LN(2)/25)*Calculateur!AQ67*Calculateur!AS67*VLOOKUP('Données projet'!$B$10,Paramètres!$A$1:$I$89,3,0)*0.475*44/12</f>
        <v>3.5454646081330385</v>
      </c>
      <c r="AW67" s="21">
        <f>EXP(-LN(2)/2)*AW66+(1-EXP(-LN(2)/2))/(LN(2)/2)*AQ67*AT67*VLOOKUP('Données projet'!$B$10,Paramètres!$A$1:$I$89,3,0)*0.475*44/12</f>
        <v>0.31331870339041312</v>
      </c>
      <c r="AX67" s="21">
        <f t="shared" si="6"/>
        <v>42.653698547604037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-1.7053025658242404E-13</v>
      </c>
      <c r="BE67" s="13">
        <f>BD67*VLOOKUP('Données projet'!$B$11,Paramètres!$A$1:$I$89,3,0)*VLOOKUP('Données projet'!$B$11,Paramètres!$A$1:$I$89,5,0)</f>
        <v>-1.383341441396624E-13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325.66150195494157</v>
      </c>
      <c r="BJ67" s="59">
        <f t="shared" si="38"/>
        <v>429.07526815514467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106.11375090258944</v>
      </c>
      <c r="BQ67" s="21">
        <f>EXP(-LN(2)/25)*BQ66+(1-EXP(-LN(2)/25))/(LN(2)/25)*Calculateur!BL67*Calculateur!BN67*VLOOKUP('Données projet'!$B$11,Paramètres!$A$1:$I$89,3,0)*0.475*44/12</f>
        <v>6.3067011174433354</v>
      </c>
      <c r="BR67" s="21">
        <f>EXP(-LN(2)/2)*BR66+(1-EXP(-LN(2)/2))/(LN(2)/2)*BL67*BO67*VLOOKUP('Données projet'!$B$11,Paramètres!$A$1:$I$89,3,0)*0.475*44/12</f>
        <v>0.17615906965584135</v>
      </c>
      <c r="BS67" s="22">
        <f t="shared" si="9"/>
        <v>112.59661108968862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7">
        <f t="shared" ref="H68:H131" si="56">(B68+E68+F68)*44/12+(C68+D68)*0.475*44/12</f>
        <v>420.71286765915545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306</v>
      </c>
      <c r="L68" s="12">
        <f>VLOOKUP(A68,'Données projet'!$A$35:$I$55,9,0)</f>
        <v>5.2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305.99999999999983</v>
      </c>
      <c r="O68" s="13">
        <f>N68*VLOOKUP('Données projet'!$B$9,Paramètres!$A$1:$I$89,3,0)*VLOOKUP('Données projet'!$B$9,Paramètres!$A$1:$I$89,5,0)</f>
        <v>243.45359999999988</v>
      </c>
      <c r="P68" s="13">
        <f t="shared" si="33"/>
        <v>59.181970343065267</v>
      </c>
      <c r="Q68" s="20">
        <f t="shared" si="54"/>
        <v>527.09028501417163</v>
      </c>
      <c r="R68" s="59">
        <f t="shared" si="55"/>
        <v>820.423618347505</v>
      </c>
      <c r="S68" s="59">
        <f ca="1">AVERAGE(OFFSET($R$3,0,0,'Données projet'!$E$9+1,1))-AVERAGE(OFFSET($H$3,0,0,'Données projet'!$E$9+1,1))</f>
        <v>244.71206779102869</v>
      </c>
      <c r="T68" s="59">
        <f t="shared" si="34"/>
        <v>248.77995374147798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13</v>
      </c>
      <c r="W68" s="16">
        <f>IF(ISNA(VLOOKUP(A68,'Données projet'!$A$35:$I$55,5,0)),0%,VLOOKUP(A68,'Données projet'!$A$35:$I$55,5,0)*VLOOKUP('Données projet'!$B$9,Paramètres!$A$1:$I$89,7,0))</f>
        <v>0.42400000000000004</v>
      </c>
      <c r="X68" s="16">
        <f>IF(ISNA(VLOOKUP(A68,'Données projet'!$A$35:$I$55,6,0)),0%,VLOOKUP(A68,'Données projet'!$A$35:$I$55,6,0)*VLOOKUP('Données projet'!$B$9,Paramètres!$A$1:$I$89,7,0))</f>
        <v>2.12E-2</v>
      </c>
      <c r="Y68" s="16">
        <f>IF(ISNA(VLOOKUP(A68,'Données projet'!$A$35:$I$55,7,0)),0%,VLOOKUP(A68,'Données projet'!$A$35:$I$55,7,0))</f>
        <v>0.06</v>
      </c>
      <c r="Z68" s="21">
        <f>EXP(-LN(2)/35)*Z67+(1-EXP(-LN(2)/35))/(LN(2)/35)*V68*W68*VLOOKUP('Données projet'!$B$9,Paramètres!$A$1:$I$89,3,0)*0.475*44/12</f>
        <v>34.441703267184302</v>
      </c>
      <c r="AA68" s="21">
        <f>EXP(-LN(2)/25)*AA67+(1-EXP(-LN(2)/25))/(LN(2)/25)*Calculateur!V68*Calculateur!X68*VLOOKUP('Données projet'!$B$9,Paramètres!$A$1:$I$89,3,0)*0.475*44/12</f>
        <v>4.3479131840701495</v>
      </c>
      <c r="AB68" s="21">
        <f>EXP(-LN(2)/2)*AB67+(1-EXP(-LN(2)/2))/(LN(2)/2)*V68*Y68*VLOOKUP('Données projet'!$B$9,Paramètres!$A$1:$I$89,3,0)*0.475*44/12</f>
        <v>0.72596047575253808</v>
      </c>
      <c r="AC68" s="22">
        <f t="shared" ref="AC68:AC131" si="57">SUM(Z68:AB68)</f>
        <v>39.51557692700699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282.69230769230768</v>
      </c>
      <c r="AG68" s="12">
        <f>VLOOKUP(A68,'Données projet'!$A$61:$I$81,9,0)</f>
        <v>7.7076923076923096</v>
      </c>
      <c r="AH68" s="12">
        <f t="array" ref="AH68">INDEX(AG:AG,MIN(IF(ISNUMBER(AG68:AG264),ROW(AG68:AG264),"")))</f>
        <v>7.7076923076923096</v>
      </c>
      <c r="AI68" s="13">
        <f>IF('Données projet'!$A$62&gt;35,AI67+AH68-AQ67,IF(A68&lt;'Données projet'!$A$62,$AF$205^A68,IF(A68='Données projet'!$A$62,'Données projet'!$B$62,AI67+AH68-AQ67)))</f>
        <v>282.69230769230751</v>
      </c>
      <c r="AJ68" s="13">
        <f>AI68*VLOOKUP('Données projet'!$B$10,Paramètres!$A$1:$I$89,3,0)*VLOOKUP('Données projet'!$B$10,Paramètres!$A$1:$I$89,5,0)</f>
        <v>189.62999999999988</v>
      </c>
      <c r="AK68" s="13">
        <f t="shared" si="35"/>
        <v>47.458141826689975</v>
      </c>
      <c r="AL68" s="20">
        <f t="shared" ref="AL68:AL131" si="58">(AJ68+AK68)*0.475*44/12</f>
        <v>412.92851368148484</v>
      </c>
      <c r="AM68" s="59">
        <f t="shared" ref="AM68:AM131" si="59">AL68+(AD68+AE68)*44/12</f>
        <v>706.26184701481816</v>
      </c>
      <c r="AN68" s="59">
        <f ca="1">AVERAGE(OFFSET($AM$3,0,0,'Données projet'!$E$10+1,1))-AVERAGE(OFFSET($H$3,0,0,'Données projet'!$E$10+1,1))</f>
        <v>177.71717275462748</v>
      </c>
      <c r="AO68" s="59">
        <f t="shared" si="36"/>
        <v>183.73714278300957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25</v>
      </c>
      <c r="AR68" s="16">
        <f>IF(ISNA(VLOOKUP(A68,'Données projet'!$A$61:$I$81,5,0)),0%,VLOOKUP(A68,'Données projet'!$A$61:$I$81,5,0)*VLOOKUP('Données projet'!$B$10,Paramètres!$A$1:$I$89,7,0))</f>
        <v>0.42400000000000004</v>
      </c>
      <c r="AS68" s="16">
        <f>IF(ISNA(VLOOKUP(A68,'Données projet'!$A$61:$I$81,6,0)),0%,VLOOKUP(A68,'Données projet'!$A$61:$I$81,6,0)*VLOOKUP('Données projet'!$B$10,Paramètres!$A$1:$I$89,7,0))</f>
        <v>2.12E-2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45.894595635124304</v>
      </c>
      <c r="AV68" s="21">
        <f>EXP(-LN(2)/25)*AV67+(1-EXP(-LN(2)/25))/(LN(2)/25)*Calculateur!AQ68*Calculateur!AS68*VLOOKUP('Données projet'!$B$10,Paramètres!$A$1:$I$89,3,0)*0.475*44/12</f>
        <v>3.8399874687699693</v>
      </c>
      <c r="AW68" s="21">
        <f>EXP(-LN(2)/2)*AW67+(1-EXP(-LN(2)/2))/(LN(2)/2)*AQ68*AT68*VLOOKUP('Données projet'!$B$10,Paramètres!$A$1:$I$89,3,0)*0.475*44/12</f>
        <v>1.170926561315879</v>
      </c>
      <c r="AX68" s="21">
        <f t="shared" ref="AX68:AX131" si="60">SUM(AU68:AW68)</f>
        <v>50.905509665210154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-1.7053025658242404E-13</v>
      </c>
      <c r="BE68" s="13">
        <f>BD68*VLOOKUP('Données projet'!$B$11,Paramètres!$A$1:$I$89,3,0)*VLOOKUP('Données projet'!$B$11,Paramètres!$A$1:$I$89,5,0)</f>
        <v>-1.383341441396624E-13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325.66150195494157</v>
      </c>
      <c r="BJ68" s="59">
        <f t="shared" si="38"/>
        <v>429.07526815514467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104.03292497038684</v>
      </c>
      <c r="BQ68" s="21">
        <f>EXP(-LN(2)/25)*BQ67+(1-EXP(-LN(2)/25))/(LN(2)/25)*Calculateur!BL68*Calculateur!BN68*VLOOKUP('Données projet'!$B$11,Paramètres!$A$1:$I$89,3,0)*0.475*44/12</f>
        <v>6.1342440437318499</v>
      </c>
      <c r="BR68" s="21">
        <f>EXP(-LN(2)/2)*BR67+(1-EXP(-LN(2)/2))/(LN(2)/2)*BL68*BO68*VLOOKUP('Données projet'!$B$11,Paramètres!$A$1:$I$89,3,0)*0.475*44/12</f>
        <v>0.1245632727211588</v>
      </c>
      <c r="BS68" s="22">
        <f t="shared" ref="BS68:BS131" si="63">SUM(BP68:BR68)</f>
        <v>110.29173228683986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7">
        <f t="shared" si="56"/>
        <v>422.6212056890538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4.5999999999999996</v>
      </c>
      <c r="N69" s="13">
        <f>IF('Données projet'!$A$36&gt;35,N68+M69-V68,IF(A69&lt;'Données projet'!$A$36,$K$205^A69,IF(A69='Données projet'!$A$36,'Données projet'!$B$36,N68+M69-V68)))</f>
        <v>297.59999999999985</v>
      </c>
      <c r="O69" s="13">
        <f>N69*VLOOKUP('Données projet'!$B$9,Paramètres!$A$1:$I$89,3,0)*VLOOKUP('Données projet'!$B$9,Paramètres!$A$1:$I$89,5,0)</f>
        <v>236.7705599999999</v>
      </c>
      <c r="P69" s="13">
        <f t="shared" ref="P69:P132" si="87">EXP(-1.0587+0.8836*LN(O69)+0.284)</f>
        <v>57.744153841586879</v>
      </c>
      <c r="Q69" s="20">
        <f t="shared" si="54"/>
        <v>512.9464599407637</v>
      </c>
      <c r="R69" s="59">
        <f t="shared" si="55"/>
        <v>806.27979327409707</v>
      </c>
      <c r="S69" s="59">
        <f ca="1">AVERAGE(OFFSET($R$3,0,0,'Données projet'!$E$9+1,1))-AVERAGE(OFFSET($H$3,0,0,'Données projet'!$E$9+1,1))</f>
        <v>244.71206779102869</v>
      </c>
      <c r="T69" s="59">
        <f t="shared" ref="T69:T132" si="88">$T$3</f>
        <v>248.77995374147798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33.766322473479505</v>
      </c>
      <c r="AA69" s="21">
        <f>EXP(-LN(2)/25)*AA68+(1-EXP(-LN(2)/25))/(LN(2)/25)*Calculateur!V69*Calculateur!X69*VLOOKUP('Données projet'!$B$9,Paramètres!$A$1:$I$89,3,0)*0.475*44/12</f>
        <v>4.229019269404934</v>
      </c>
      <c r="AB69" s="21">
        <f>EXP(-LN(2)/2)*AB68+(1-EXP(-LN(2)/2))/(LN(2)/2)*V69*Y69*VLOOKUP('Données projet'!$B$9,Paramètres!$A$1:$I$89,3,0)*0.475*44/12</f>
        <v>0.51333157527803197</v>
      </c>
      <c r="AC69" s="22">
        <f t="shared" si="57"/>
        <v>38.508673318162472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7.0512820512820555</v>
      </c>
      <c r="AI69" s="13">
        <f>IF('Données projet'!$A$62&gt;35,AI68+AH69-AQ68,IF(A69&lt;'Données projet'!$A$62,$AF$205^A69,IF(A69='Données projet'!$A$62,'Données projet'!$B$62,AI68+AH69-AQ68)))</f>
        <v>264.74358974358955</v>
      </c>
      <c r="AJ69" s="13">
        <f>AI69*VLOOKUP('Données projet'!$B$10,Paramètres!$A$1:$I$89,3,0)*VLOOKUP('Données projet'!$B$10,Paramètres!$A$1:$I$89,5,0)</f>
        <v>177.58999999999986</v>
      </c>
      <c r="AK69" s="13">
        <f t="shared" ref="AK69:AK132" si="89">EXP(-1.0587+0.8836*LN(AJ69)+0.284)</f>
        <v>44.785585661796041</v>
      </c>
      <c r="AL69" s="20">
        <f t="shared" si="58"/>
        <v>387.30414502762784</v>
      </c>
      <c r="AM69" s="59">
        <f t="shared" si="59"/>
        <v>680.63747836096115</v>
      </c>
      <c r="AN69" s="59">
        <f ca="1">AVERAGE(OFFSET($AM$3,0,0,'Données projet'!$E$10+1,1))-AVERAGE(OFFSET($H$3,0,0,'Données projet'!$E$10+1,1))</f>
        <v>177.71717275462748</v>
      </c>
      <c r="AO69" s="59">
        <f t="shared" ref="AO69:AO132" si="90">$AO$3</f>
        <v>183.73714278300957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44.994630607658777</v>
      </c>
      <c r="AV69" s="21">
        <f>EXP(-LN(2)/25)*AV68+(1-EXP(-LN(2)/25))/(LN(2)/25)*Calculateur!AQ69*Calculateur!AS69*VLOOKUP('Données projet'!$B$10,Paramètres!$A$1:$I$89,3,0)*0.475*44/12</f>
        <v>3.7349828095002899</v>
      </c>
      <c r="AW69" s="21">
        <f>EXP(-LN(2)/2)*AW68+(1-EXP(-LN(2)/2))/(LN(2)/2)*AQ69*AT69*VLOOKUP('Données projet'!$B$10,Paramètres!$A$1:$I$89,3,0)*0.475*44/12</f>
        <v>0.82797011177790381</v>
      </c>
      <c r="AX69" s="21">
        <f t="shared" si="60"/>
        <v>49.557583528936966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-1.7053025658242404E-13</v>
      </c>
      <c r="BE69" s="13">
        <f>BD69*VLOOKUP('Données projet'!$B$11,Paramètres!$A$1:$I$89,3,0)*VLOOKUP('Données projet'!$B$11,Paramètres!$A$1:$I$89,5,0)</f>
        <v>-1.383341441396624E-13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325.66150195494157</v>
      </c>
      <c r="BJ69" s="59">
        <f t="shared" ref="BJ69:BJ132" si="92">$BJ$3</f>
        <v>429.07526815514467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101.99290276553624</v>
      </c>
      <c r="BQ69" s="21">
        <f>EXP(-LN(2)/25)*BQ68+(1-EXP(-LN(2)/25))/(LN(2)/25)*Calculateur!BL69*Calculateur!BN69*VLOOKUP('Données projet'!$B$11,Paramètres!$A$1:$I$89,3,0)*0.475*44/12</f>
        <v>5.9665028177701283</v>
      </c>
      <c r="BR69" s="21">
        <f>EXP(-LN(2)/2)*BR68+(1-EXP(-LN(2)/2))/(LN(2)/2)*BL69*BO69*VLOOKUP('Données projet'!$B$11,Paramètres!$A$1:$I$89,3,0)*0.475*44/12</f>
        <v>8.8079534827920691E-2</v>
      </c>
      <c r="BS69" s="22">
        <f t="shared" si="63"/>
        <v>108.0474851181343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7">
        <f t="shared" si="56"/>
        <v>424.52886208626171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4.5999999999999996</v>
      </c>
      <c r="N70" s="13">
        <f>IF('Données projet'!$A$36&gt;35,N69+M70-V69,IF(A70&lt;'Données projet'!$A$36,$K$205^A70,IF(A70='Données projet'!$A$36,'Données projet'!$B$36,N69+M70-V69)))</f>
        <v>302.19999999999987</v>
      </c>
      <c r="O70" s="13">
        <f>N70*VLOOKUP('Données projet'!$B$9,Paramètres!$A$1:$I$89,3,0)*VLOOKUP('Données projet'!$B$9,Paramètres!$A$1:$I$89,5,0)</f>
        <v>240.43031999999991</v>
      </c>
      <c r="P70" s="13">
        <f t="shared" si="87"/>
        <v>58.532106271380506</v>
      </c>
      <c r="Q70" s="20">
        <f t="shared" si="54"/>
        <v>520.69289242265415</v>
      </c>
      <c r="R70" s="59">
        <f t="shared" si="55"/>
        <v>814.02622575598753</v>
      </c>
      <c r="S70" s="59">
        <f ca="1">AVERAGE(OFFSET($R$3,0,0,'Données projet'!$E$9+1,1))-AVERAGE(OFFSET($H$3,0,0,'Données projet'!$E$9+1,1))</f>
        <v>244.71206779102869</v>
      </c>
      <c r="T70" s="59">
        <f t="shared" si="88"/>
        <v>248.77995374147798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33.104185485197654</v>
      </c>
      <c r="AA70" s="21">
        <f>EXP(-LN(2)/25)*AA69+(1-EXP(-LN(2)/25))/(LN(2)/25)*Calculateur!V70*Calculateur!X70*VLOOKUP('Données projet'!$B$9,Paramètres!$A$1:$I$89,3,0)*0.475*44/12</f>
        <v>4.1133765150885981</v>
      </c>
      <c r="AB70" s="21">
        <f>EXP(-LN(2)/2)*AB69+(1-EXP(-LN(2)/2))/(LN(2)/2)*V70*Y70*VLOOKUP('Données projet'!$B$9,Paramètres!$A$1:$I$89,3,0)*0.475*44/12</f>
        <v>0.36298023787626915</v>
      </c>
      <c r="AC70" s="22">
        <f t="shared" si="57"/>
        <v>37.580542238162522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7.0512820512820555</v>
      </c>
      <c r="AI70" s="13">
        <f>IF('Données projet'!$A$62&gt;35,AI69+AH70-AQ69,IF(A70&lt;'Données projet'!$A$62,$AF$205^A70,IF(A70='Données projet'!$A$62,'Données projet'!$B$62,AI69+AH70-AQ69)))</f>
        <v>271.7948717948716</v>
      </c>
      <c r="AJ70" s="13">
        <f>AI70*VLOOKUP('Données projet'!$B$10,Paramètres!$A$1:$I$89,3,0)*VLOOKUP('Données projet'!$B$10,Paramètres!$A$1:$I$89,5,0)</f>
        <v>182.31999999999988</v>
      </c>
      <c r="AK70" s="13">
        <f t="shared" si="89"/>
        <v>45.837958080870045</v>
      </c>
      <c r="AL70" s="20">
        <f t="shared" si="58"/>
        <v>397.37511032418178</v>
      </c>
      <c r="AM70" s="59">
        <f t="shared" si="59"/>
        <v>690.70844365751509</v>
      </c>
      <c r="AN70" s="59">
        <f ca="1">AVERAGE(OFFSET($AM$3,0,0,'Données projet'!$E$10+1,1))-AVERAGE(OFFSET($H$3,0,0,'Données projet'!$E$10+1,1))</f>
        <v>177.71717275462748</v>
      </c>
      <c r="AO70" s="59">
        <f t="shared" si="90"/>
        <v>183.73714278300957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44.112313345457387</v>
      </c>
      <c r="AV70" s="21">
        <f>EXP(-LN(2)/25)*AV69+(1-EXP(-LN(2)/25))/(LN(2)/25)*Calculateur!AQ70*Calculateur!AS70*VLOOKUP('Données projet'!$B$10,Paramètres!$A$1:$I$89,3,0)*0.475*44/12</f>
        <v>3.6328495081602949</v>
      </c>
      <c r="AW70" s="21">
        <f>EXP(-LN(2)/2)*AW69+(1-EXP(-LN(2)/2))/(LN(2)/2)*AQ70*AT70*VLOOKUP('Données projet'!$B$10,Paramètres!$A$1:$I$89,3,0)*0.475*44/12</f>
        <v>0.58546328065793951</v>
      </c>
      <c r="AX70" s="21">
        <f t="shared" si="60"/>
        <v>48.330626134275626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-1.7053025658242404E-13</v>
      </c>
      <c r="BE70" s="13">
        <f>BD70*VLOOKUP('Données projet'!$B$11,Paramètres!$A$1:$I$89,3,0)*VLOOKUP('Données projet'!$B$11,Paramètres!$A$1:$I$89,5,0)</f>
        <v>-1.383341441396624E-13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325.66150195494157</v>
      </c>
      <c r="BJ70" s="59">
        <f t="shared" si="92"/>
        <v>429.07526815514467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99.992884151832087</v>
      </c>
      <c r="BQ70" s="21">
        <f>EXP(-LN(2)/25)*BQ69+(1-EXP(-LN(2)/25))/(LN(2)/25)*Calculateur!BL70*Calculateur!BN70*VLOOKUP('Données projet'!$B$11,Paramètres!$A$1:$I$89,3,0)*0.475*44/12</f>
        <v>5.8033484844534575</v>
      </c>
      <c r="BR70" s="21">
        <f>EXP(-LN(2)/2)*BR69+(1-EXP(-LN(2)/2))/(LN(2)/2)*BL70*BO70*VLOOKUP('Données projet'!$B$11,Paramètres!$A$1:$I$89,3,0)*0.475*44/12</f>
        <v>6.2281636360579415E-2</v>
      </c>
      <c r="BS70" s="22">
        <f t="shared" si="63"/>
        <v>105.85851427264612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7">
        <f t="shared" si="56"/>
        <v>426.43584819959909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4.5999999999999996</v>
      </c>
      <c r="N71" s="13">
        <f>IF('Données projet'!$A$36&gt;35,N70+M71-V70,IF(A71&lt;'Données projet'!$A$36,$K$205^A71,IF(A71='Données projet'!$A$36,'Données projet'!$B$36,N70+M71-V70)))</f>
        <v>306.7999999999999</v>
      </c>
      <c r="O71" s="13">
        <f>N71*VLOOKUP('Données projet'!$B$9,Paramètres!$A$1:$I$89,3,0)*VLOOKUP('Données projet'!$B$9,Paramètres!$A$1:$I$89,5,0)</f>
        <v>244.09007999999994</v>
      </c>
      <c r="P71" s="13">
        <f t="shared" si="87"/>
        <v>59.318663780863893</v>
      </c>
      <c r="Q71" s="20">
        <f t="shared" si="54"/>
        <v>528.43689541833794</v>
      </c>
      <c r="R71" s="59">
        <f t="shared" si="55"/>
        <v>821.77022875167131</v>
      </c>
      <c r="S71" s="59">
        <f ca="1">AVERAGE(OFFSET($R$3,0,0,'Données projet'!$E$9+1,1))-AVERAGE(OFFSET($H$3,0,0,'Données projet'!$E$9+1,1))</f>
        <v>244.71206779102869</v>
      </c>
      <c r="T71" s="59">
        <f t="shared" si="88"/>
        <v>248.77995374147798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32.455032599392325</v>
      </c>
      <c r="AA71" s="21">
        <f>EXP(-LN(2)/25)*AA70+(1-EXP(-LN(2)/25))/(LN(2)/25)*Calculateur!V71*Calculateur!X71*VLOOKUP('Données projet'!$B$9,Paramètres!$A$1:$I$89,3,0)*0.475*44/12</f>
        <v>4.0008960179704305</v>
      </c>
      <c r="AB71" s="21">
        <f>EXP(-LN(2)/2)*AB70+(1-EXP(-LN(2)/2))/(LN(2)/2)*V71*Y71*VLOOKUP('Données projet'!$B$9,Paramètres!$A$1:$I$89,3,0)*0.475*44/12</f>
        <v>0.25666578763901604</v>
      </c>
      <c r="AC71" s="22">
        <f t="shared" si="57"/>
        <v>36.712594405001774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7.0512820512820555</v>
      </c>
      <c r="AI71" s="13">
        <f>IF('Données projet'!$A$62&gt;35,AI70+AH71-AQ70,IF(A71&lt;'Données projet'!$A$62,$AF$205^A71,IF(A71='Données projet'!$A$62,'Données projet'!$B$62,AI70+AH71-AQ70)))</f>
        <v>278.84615384615364</v>
      </c>
      <c r="AJ71" s="13">
        <f>AI71*VLOOKUP('Données projet'!$B$10,Paramètres!$A$1:$I$89,3,0)*VLOOKUP('Données projet'!$B$10,Paramètres!$A$1:$I$89,5,0)</f>
        <v>187.04999999999987</v>
      </c>
      <c r="AK71" s="13">
        <f t="shared" si="89"/>
        <v>46.887156951191926</v>
      </c>
      <c r="AL71" s="20">
        <f t="shared" si="58"/>
        <v>407.44054835665901</v>
      </c>
      <c r="AM71" s="59">
        <f t="shared" si="59"/>
        <v>700.77388168999232</v>
      </c>
      <c r="AN71" s="59">
        <f ca="1">AVERAGE(OFFSET($AM$3,0,0,'Données projet'!$E$10+1,1))-AVERAGE(OFFSET($H$3,0,0,'Données projet'!$E$10+1,1))</f>
        <v>177.71717275462748</v>
      </c>
      <c r="AO71" s="59">
        <f t="shared" si="90"/>
        <v>183.73714278300957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43.247297786607376</v>
      </c>
      <c r="AV71" s="21">
        <f>EXP(-LN(2)/25)*AV70+(1-EXP(-LN(2)/25))/(LN(2)/25)*Calculateur!AQ71*Calculateur!AS71*VLOOKUP('Données projet'!$B$10,Paramètres!$A$1:$I$89,3,0)*0.475*44/12</f>
        <v>3.5335090473163993</v>
      </c>
      <c r="AW71" s="21">
        <f>EXP(-LN(2)/2)*AW70+(1-EXP(-LN(2)/2))/(LN(2)/2)*AQ71*AT71*VLOOKUP('Données projet'!$B$10,Paramètres!$A$1:$I$89,3,0)*0.475*44/12</f>
        <v>0.4139850558889519</v>
      </c>
      <c r="AX71" s="21">
        <f t="shared" si="60"/>
        <v>47.194791889812727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-1.7053025658242404E-13</v>
      </c>
      <c r="BE71" s="13">
        <f>BD71*VLOOKUP('Données projet'!$B$11,Paramètres!$A$1:$I$89,3,0)*VLOOKUP('Données projet'!$B$11,Paramètres!$A$1:$I$89,5,0)</f>
        <v>-1.383341441396624E-13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325.66150195494157</v>
      </c>
      <c r="BJ71" s="59">
        <f t="shared" si="92"/>
        <v>429.07526815514467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98.032084683251767</v>
      </c>
      <c r="BQ71" s="21">
        <f>EXP(-LN(2)/25)*BQ70+(1-EXP(-LN(2)/25))/(LN(2)/25)*Calculateur!BL71*Calculateur!BN71*VLOOKUP('Données projet'!$B$11,Paramètres!$A$1:$I$89,3,0)*0.475*44/12</f>
        <v>5.6446556149612448</v>
      </c>
      <c r="BR71" s="21">
        <f>EXP(-LN(2)/2)*BR70+(1-EXP(-LN(2)/2))/(LN(2)/2)*BL71*BO71*VLOOKUP('Données projet'!$B$11,Paramètres!$A$1:$I$89,3,0)*0.475*44/12</f>
        <v>4.4039767413960353E-2</v>
      </c>
      <c r="BS71" s="22">
        <f t="shared" si="63"/>
        <v>103.72078006562698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7">
        <f t="shared" si="56"/>
        <v>428.34217502493465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4.5999999999999996</v>
      </c>
      <c r="N72" s="13">
        <f>IF('Données projet'!$A$36&gt;35,N71+M72-V71,IF(A72&lt;'Données projet'!$A$36,$K$205^A72,IF(A72='Données projet'!$A$36,'Données projet'!$B$36,N71+M72-V71)))</f>
        <v>311.39999999999992</v>
      </c>
      <c r="O72" s="13">
        <f>N72*VLOOKUP('Données projet'!$B$9,Paramètres!$A$1:$I$89,3,0)*VLOOKUP('Données projet'!$B$9,Paramètres!$A$1:$I$89,5,0)</f>
        <v>247.74983999999995</v>
      </c>
      <c r="P72" s="13">
        <f t="shared" si="87"/>
        <v>60.103849700617872</v>
      </c>
      <c r="Q72" s="20">
        <f t="shared" si="54"/>
        <v>536.17850956190932</v>
      </c>
      <c r="R72" s="59">
        <f t="shared" si="55"/>
        <v>829.51184289524258</v>
      </c>
      <c r="S72" s="59">
        <f ca="1">AVERAGE(OFFSET($R$3,0,0,'Données projet'!$E$9+1,1))-AVERAGE(OFFSET($H$3,0,0,'Données projet'!$E$9+1,1))</f>
        <v>244.71206779102869</v>
      </c>
      <c r="T72" s="59">
        <f t="shared" si="88"/>
        <v>248.77995374147798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31.818609205733473</v>
      </c>
      <c r="AA72" s="21">
        <f>EXP(-LN(2)/25)*AA71+(1-EXP(-LN(2)/25))/(LN(2)/25)*Calculateur!V72*Calculateur!X72*VLOOKUP('Données projet'!$B$9,Paramètres!$A$1:$I$89,3,0)*0.475*44/12</f>
        <v>3.8914913059610519</v>
      </c>
      <c r="AB72" s="21">
        <f>EXP(-LN(2)/2)*AB71+(1-EXP(-LN(2)/2))/(LN(2)/2)*V72*Y72*VLOOKUP('Données projet'!$B$9,Paramètres!$A$1:$I$89,3,0)*0.475*44/12</f>
        <v>0.1814901189381346</v>
      </c>
      <c r="AC72" s="22">
        <f t="shared" si="57"/>
        <v>35.891590630632663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7.0512820512820555</v>
      </c>
      <c r="AI72" s="13">
        <f>IF('Données projet'!$A$62&gt;35,AI71+AH72-AQ71,IF(A72&lt;'Données projet'!$A$62,$AF$205^A72,IF(A72='Données projet'!$A$62,'Données projet'!$B$62,AI71+AH72-AQ71)))</f>
        <v>285.89743589743568</v>
      </c>
      <c r="AJ72" s="13">
        <f>AI72*VLOOKUP('Données projet'!$B$10,Paramètres!$A$1:$I$89,3,0)*VLOOKUP('Données projet'!$B$10,Paramètres!$A$1:$I$89,5,0)</f>
        <v>191.77999999999986</v>
      </c>
      <c r="AK72" s="13">
        <f t="shared" si="89"/>
        <v>47.933271752165908</v>
      </c>
      <c r="AL72" s="20">
        <f t="shared" si="58"/>
        <v>417.50061496835542</v>
      </c>
      <c r="AM72" s="59">
        <f t="shared" si="59"/>
        <v>710.83394830168868</v>
      </c>
      <c r="AN72" s="59">
        <f ca="1">AVERAGE(OFFSET($AM$3,0,0,'Données projet'!$E$10+1,1))-AVERAGE(OFFSET($H$3,0,0,'Données projet'!$E$10+1,1))</f>
        <v>177.71717275462748</v>
      </c>
      <c r="AO72" s="59">
        <f t="shared" si="90"/>
        <v>183.73714278300957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42.399244655259018</v>
      </c>
      <c r="AV72" s="21">
        <f>EXP(-LN(2)/25)*AV71+(1-EXP(-LN(2)/25))/(LN(2)/25)*Calculateur!AQ72*Calculateur!AS72*VLOOKUP('Données projet'!$B$10,Paramètres!$A$1:$I$89,3,0)*0.475*44/12</f>
        <v>3.4368850565983675</v>
      </c>
      <c r="AW72" s="21">
        <f>EXP(-LN(2)/2)*AW71+(1-EXP(-LN(2)/2))/(LN(2)/2)*AQ72*AT72*VLOOKUP('Données projet'!$B$10,Paramètres!$A$1:$I$89,3,0)*0.475*44/12</f>
        <v>0.29273164032896976</v>
      </c>
      <c r="AX72" s="21">
        <f t="shared" si="60"/>
        <v>46.128861352186355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-1.7053025658242404E-13</v>
      </c>
      <c r="BE72" s="13">
        <f>BD72*VLOOKUP('Données projet'!$B$11,Paramètres!$A$1:$I$89,3,0)*VLOOKUP('Données projet'!$B$11,Paramètres!$A$1:$I$89,5,0)</f>
        <v>-1.383341441396624E-13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325.66150195494157</v>
      </c>
      <c r="BJ72" s="59">
        <f t="shared" si="92"/>
        <v>429.07526815514467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96.109735296280718</v>
      </c>
      <c r="BQ72" s="21">
        <f>EXP(-LN(2)/25)*BQ71+(1-EXP(-LN(2)/25))/(LN(2)/25)*Calculateur!BL72*Calculateur!BN72*VLOOKUP('Données projet'!$B$11,Paramètres!$A$1:$I$89,3,0)*0.475*44/12</f>
        <v>5.4903022103305918</v>
      </c>
      <c r="BR72" s="21">
        <f>EXP(-LN(2)/2)*BR71+(1-EXP(-LN(2)/2))/(LN(2)/2)*BL72*BO72*VLOOKUP('Données projet'!$B$11,Paramètres!$A$1:$I$89,3,0)*0.475*44/12</f>
        <v>3.1140818180289711E-2</v>
      </c>
      <c r="BS72" s="22">
        <f t="shared" si="63"/>
        <v>101.63117832479161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7">
        <f t="shared" si="56"/>
        <v>430.24785322111597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316</v>
      </c>
      <c r="L73" s="12">
        <f>VLOOKUP(A73,'Données projet'!$A$35:$I$55,9,0)</f>
        <v>4.5999999999999996</v>
      </c>
      <c r="M73" s="12">
        <f t="array" ref="M73">INDEX(L:L,MIN(IF(ISNUMBER(L73:L269),ROW(L73:L269),"")))</f>
        <v>4.5999999999999996</v>
      </c>
      <c r="N73" s="13">
        <f>IF('Données projet'!$A$36&gt;35,N72+M73-V72,IF(A73&lt;'Données projet'!$A$36,$K$205^A73,IF(A73='Données projet'!$A$36,'Données projet'!$B$36,N72+M73-V72)))</f>
        <v>315.99999999999994</v>
      </c>
      <c r="O73" s="13">
        <f>N73*VLOOKUP('Données projet'!$B$9,Paramètres!$A$1:$I$89,3,0)*VLOOKUP('Données projet'!$B$9,Paramètres!$A$1:$I$89,5,0)</f>
        <v>251.40959999999995</v>
      </c>
      <c r="P73" s="13">
        <f t="shared" si="87"/>
        <v>60.887686632376123</v>
      </c>
      <c r="Q73" s="20">
        <f t="shared" si="54"/>
        <v>543.917774218055</v>
      </c>
      <c r="R73" s="59">
        <f t="shared" si="55"/>
        <v>837.25110755138826</v>
      </c>
      <c r="S73" s="59">
        <f ca="1">AVERAGE(OFFSET($R$3,0,0,'Données projet'!$E$9+1,1))-AVERAGE(OFFSET($H$3,0,0,'Données projet'!$E$9+1,1))</f>
        <v>244.71206779102869</v>
      </c>
      <c r="T73" s="59">
        <f t="shared" si="88"/>
        <v>248.77995374147798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13</v>
      </c>
      <c r="W73" s="16">
        <f>IF(ISNA(VLOOKUP(A73,'Données projet'!$A$35:$I$55,5,0)),0%,VLOOKUP(A73,'Données projet'!$A$35:$I$55,5,0)*VLOOKUP('Données projet'!$B$9,Paramètres!$A$1:$I$89,7,0))</f>
        <v>0.42400000000000004</v>
      </c>
      <c r="X73" s="16">
        <f>IF(ISNA(VLOOKUP(A73,'Données projet'!$A$35:$I$55,6,0)),0%,VLOOKUP(A73,'Données projet'!$A$35:$I$55,6,0)*VLOOKUP('Données projet'!$B$9,Paramètres!$A$1:$I$89,7,0))</f>
        <v>2.12E-2</v>
      </c>
      <c r="Y73" s="16">
        <f>IF(ISNA(VLOOKUP(A73,'Données projet'!$A$35:$I$55,7,0)),0%,VLOOKUP(A73,'Données projet'!$A$35:$I$55,7,0))</f>
        <v>0.06</v>
      </c>
      <c r="Z73" s="21">
        <f>EXP(-LN(2)/35)*Z72+(1-EXP(-LN(2)/35))/(LN(2)/35)*V73*W73*VLOOKUP('Données projet'!$B$9,Paramètres!$A$1:$I$89,3,0)*0.475*44/12</f>
        <v>36.042537120212089</v>
      </c>
      <c r="AA73" s="21">
        <f>EXP(-LN(2)/25)*AA72+(1-EXP(-LN(2)/25))/(LN(2)/25)*Calculateur!V73*Calculateur!X73*VLOOKUP('Données projet'!$B$9,Paramètres!$A$1:$I$89,3,0)*0.475*44/12</f>
        <v>4.0265174473824121</v>
      </c>
      <c r="AB73" s="21">
        <f>EXP(-LN(2)/2)*AB72+(1-EXP(-LN(2)/2))/(LN(2)/2)*V73*Y73*VLOOKUP('Données projet'!$B$9,Paramètres!$A$1:$I$89,3,0)*0.475*44/12</f>
        <v>0.71385550416234456</v>
      </c>
      <c r="AC73" s="22">
        <f t="shared" si="57"/>
        <v>40.782910071756845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292.94871794871796</v>
      </c>
      <c r="AG73" s="12">
        <f>VLOOKUP(A73,'Données projet'!$A$61:$I$81,9,0)</f>
        <v>7.0512820512820555</v>
      </c>
      <c r="AH73" s="12">
        <f t="array" ref="AH73">INDEX(AG:AG,MIN(IF(ISNUMBER(AG73:AG269),ROW(AG73:AG269),"")))</f>
        <v>7.0512820512820555</v>
      </c>
      <c r="AI73" s="13">
        <f>IF('Données projet'!$A$62&gt;35,AI72+AH73-AQ72,IF(A73&lt;'Données projet'!$A$62,$AF$205^A73,IF(A73='Données projet'!$A$62,'Données projet'!$B$62,AI72+AH73-AQ72)))</f>
        <v>292.94871794871773</v>
      </c>
      <c r="AJ73" s="13">
        <f>AI73*VLOOKUP('Données projet'!$B$10,Paramètres!$A$1:$I$89,3,0)*VLOOKUP('Données projet'!$B$10,Paramètres!$A$1:$I$89,5,0)</f>
        <v>196.50999999999985</v>
      </c>
      <c r="AK73" s="13">
        <f t="shared" si="89"/>
        <v>48.976387297804273</v>
      </c>
      <c r="AL73" s="20">
        <f t="shared" si="58"/>
        <v>427.55545787700885</v>
      </c>
      <c r="AM73" s="59">
        <f t="shared" si="59"/>
        <v>720.88879121034211</v>
      </c>
      <c r="AN73" s="59">
        <f ca="1">AVERAGE(OFFSET($AM$3,0,0,'Données projet'!$E$10+1,1))-AVERAGE(OFFSET($H$3,0,0,'Données projet'!$E$10+1,1))</f>
        <v>177.71717275462748</v>
      </c>
      <c r="AO73" s="59">
        <f t="shared" si="90"/>
        <v>183.73714278300957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24</v>
      </c>
      <c r="AR73" s="16">
        <f>IF(ISNA(VLOOKUP(A73,'Données projet'!$A$61:$I$81,5,0)),0%,VLOOKUP(A73,'Données projet'!$A$61:$I$81,5,0)*VLOOKUP('Données projet'!$B$10,Paramètres!$A$1:$I$89,7,0))</f>
        <v>0.42400000000000004</v>
      </c>
      <c r="AS73" s="16">
        <f>IF(ISNA(VLOOKUP(A73,'Données projet'!$A$61:$I$81,6,0)),0%,VLOOKUP(A73,'Données projet'!$A$61:$I$81,6,0)*VLOOKUP('Données projet'!$B$10,Paramètres!$A$1:$I$89,7,0))</f>
        <v>2.12E-2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49.113829351846064</v>
      </c>
      <c r="AV73" s="21">
        <f>EXP(-LN(2)/25)*AV72+(1-EXP(-LN(2)/25))/(LN(2)/25)*Calculateur!AQ73*Calculateur!AS73*VLOOKUP('Données projet'!$B$10,Paramètres!$A$1:$I$89,3,0)*0.475*44/12</f>
        <v>3.7187180797101962</v>
      </c>
      <c r="AW73" s="21">
        <f>EXP(-LN(2)/2)*AW72+(1-EXP(-LN(2)/2))/(LN(2)/2)*AQ73*AT73*VLOOKUP('Données projet'!$B$10,Paramètres!$A$1:$I$89,3,0)*0.475*44/12</f>
        <v>1.1183942381613796</v>
      </c>
      <c r="AX73" s="21">
        <f t="shared" si="60"/>
        <v>53.950941669717636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-1.7053025658242404E-13</v>
      </c>
      <c r="BE73" s="13">
        <f>BD73*VLOOKUP('Données projet'!$B$11,Paramètres!$A$1:$I$89,3,0)*VLOOKUP('Données projet'!$B$11,Paramètres!$A$1:$I$89,5,0)</f>
        <v>-1.383341441396624E-13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325.66150195494157</v>
      </c>
      <c r="BJ73" s="59">
        <f t="shared" si="92"/>
        <v>429.07526815514467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94.225082008270832</v>
      </c>
      <c r="BQ73" s="21">
        <f>EXP(-LN(2)/25)*BQ72+(1-EXP(-LN(2)/25))/(LN(2)/25)*Calculateur!BL73*Calculateur!BN73*VLOOKUP('Données projet'!$B$11,Paramètres!$A$1:$I$89,3,0)*0.475*44/12</f>
        <v>5.3401696076666569</v>
      </c>
      <c r="BR73" s="21">
        <f>EXP(-LN(2)/2)*BR72+(1-EXP(-LN(2)/2))/(LN(2)/2)*BL73*BO73*VLOOKUP('Données projet'!$B$11,Paramètres!$A$1:$I$89,3,0)*0.475*44/12</f>
        <v>2.201988370698018E-2</v>
      </c>
      <c r="BS73" s="22">
        <f t="shared" si="63"/>
        <v>99.587271499644459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7">
        <f t="shared" si="56"/>
        <v>432.15289312496304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4.2</v>
      </c>
      <c r="N74" s="13">
        <f>IF('Données projet'!$A$36&gt;35,N73+M74-V73,IF(A74&lt;'Données projet'!$A$36,$K$205^A74,IF(A74='Données projet'!$A$36,'Données projet'!$B$36,N73+M74-V73)))</f>
        <v>307.19999999999993</v>
      </c>
      <c r="O74" s="13">
        <f>N74*VLOOKUP('Données projet'!$B$9,Paramètres!$A$1:$I$89,3,0)*VLOOKUP('Données projet'!$B$9,Paramètres!$A$1:$I$89,5,0)</f>
        <v>244.40831999999995</v>
      </c>
      <c r="P74" s="13">
        <f t="shared" si="87"/>
        <v>59.38699493610541</v>
      </c>
      <c r="Q74" s="20">
        <f t="shared" si="54"/>
        <v>529.11017351371675</v>
      </c>
      <c r="R74" s="59">
        <f t="shared" si="55"/>
        <v>822.44350684705</v>
      </c>
      <c r="S74" s="59">
        <f ca="1">AVERAGE(OFFSET($R$3,0,0,'Données projet'!$E$9+1,1))-AVERAGE(OFFSET($H$3,0,0,'Données projet'!$E$9+1,1))</f>
        <v>244.71206779102869</v>
      </c>
      <c r="T74" s="59">
        <f t="shared" si="88"/>
        <v>248.77995374147798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35.335764951061655</v>
      </c>
      <c r="AA74" s="21">
        <f>EXP(-LN(2)/25)*AA73+(1-EXP(-LN(2)/25))/(LN(2)/25)*Calculateur!V74*Calculateur!X74*VLOOKUP('Données projet'!$B$9,Paramètres!$A$1:$I$89,3,0)*0.475*44/12</f>
        <v>3.9164121160383902</v>
      </c>
      <c r="AB74" s="21">
        <f>EXP(-LN(2)/2)*AB73+(1-EXP(-LN(2)/2))/(LN(2)/2)*V74*Y74*VLOOKUP('Données projet'!$B$9,Paramètres!$A$1:$I$89,3,0)*0.475*44/12</f>
        <v>0.50477206778053563</v>
      </c>
      <c r="AC74" s="22">
        <f t="shared" si="57"/>
        <v>39.756949134880578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6.8512820512820438</v>
      </c>
      <c r="AI74" s="13">
        <f>IF('Données projet'!$A$62&gt;35,AI73+AH74-AQ73,IF(A74&lt;'Données projet'!$A$62,$AF$205^A74,IF(A74='Données projet'!$A$62,'Données projet'!$B$62,AI73+AH74-AQ73)))</f>
        <v>275.79999999999978</v>
      </c>
      <c r="AJ74" s="13">
        <f>AI74*VLOOKUP('Données projet'!$B$10,Paramètres!$A$1:$I$89,3,0)*VLOOKUP('Données projet'!$B$10,Paramètres!$A$1:$I$89,5,0)</f>
        <v>185.00663999999986</v>
      </c>
      <c r="AK74" s="13">
        <f t="shared" si="89"/>
        <v>46.434286546462388</v>
      </c>
      <c r="AL74" s="20">
        <f t="shared" si="58"/>
        <v>403.09294706842178</v>
      </c>
      <c r="AM74" s="59">
        <f t="shared" si="59"/>
        <v>696.42628040175509</v>
      </c>
      <c r="AN74" s="59">
        <f ca="1">AVERAGE(OFFSET($AM$3,0,0,'Données projet'!$E$10+1,1))-AVERAGE(OFFSET($H$3,0,0,'Données projet'!$E$10+1,1))</f>
        <v>177.71717275462748</v>
      </c>
      <c r="AO74" s="59">
        <f t="shared" si="90"/>
        <v>183.73714278300957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48.150737114734312</v>
      </c>
      <c r="AV74" s="21">
        <f>EXP(-LN(2)/25)*AV73+(1-EXP(-LN(2)/25))/(LN(2)/25)*Calculateur!AQ74*Calculateur!AS74*VLOOKUP('Données projet'!$B$10,Paramètres!$A$1:$I$89,3,0)*0.475*44/12</f>
        <v>3.6170295382616362</v>
      </c>
      <c r="AW74" s="21">
        <f>EXP(-LN(2)/2)*AW73+(1-EXP(-LN(2)/2))/(LN(2)/2)*AQ74*AT74*VLOOKUP('Données projet'!$B$10,Paramètres!$A$1:$I$89,3,0)*0.475*44/12</f>
        <v>0.79082414984387428</v>
      </c>
      <c r="AX74" s="21">
        <f t="shared" si="60"/>
        <v>52.558590802839817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-1.7053025658242404E-13</v>
      </c>
      <c r="BE74" s="13">
        <f>BD74*VLOOKUP('Données projet'!$B$11,Paramètres!$A$1:$I$89,3,0)*VLOOKUP('Données projet'!$B$11,Paramètres!$A$1:$I$89,5,0)</f>
        <v>-1.383341441396624E-13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325.66150195494157</v>
      </c>
      <c r="BJ74" s="59">
        <f t="shared" si="92"/>
        <v>429.07526815514467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92.377385621713813</v>
      </c>
      <c r="BQ74" s="21">
        <f>EXP(-LN(2)/25)*BQ73+(1-EXP(-LN(2)/25))/(LN(2)/25)*Calculateur!BL74*Calculateur!BN74*VLOOKUP('Données projet'!$B$11,Paramètres!$A$1:$I$89,3,0)*0.475*44/12</f>
        <v>5.1941423889176974</v>
      </c>
      <c r="BR74" s="21">
        <f>EXP(-LN(2)/2)*BR73+(1-EXP(-LN(2)/2))/(LN(2)/2)*BL74*BO74*VLOOKUP('Données projet'!$B$11,Paramètres!$A$1:$I$89,3,0)*0.475*44/12</f>
        <v>1.5570409090144857E-2</v>
      </c>
      <c r="BS74" s="22">
        <f t="shared" si="63"/>
        <v>97.587098419721656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7">
        <f t="shared" si="56"/>
        <v>434.05730476539327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4.2</v>
      </c>
      <c r="N75" s="13">
        <f>IF('Données projet'!$A$36&gt;35,N74+M75-V74,IF(A75&lt;'Données projet'!$A$36,$K$205^A75,IF(A75='Données projet'!$A$36,'Données projet'!$B$36,N74+M75-V74)))</f>
        <v>311.39999999999992</v>
      </c>
      <c r="O75" s="13">
        <f>N75*VLOOKUP('Données projet'!$B$9,Paramètres!$A$1:$I$89,3,0)*VLOOKUP('Données projet'!$B$9,Paramètres!$A$1:$I$89,5,0)</f>
        <v>247.74983999999995</v>
      </c>
      <c r="P75" s="13">
        <f t="shared" si="87"/>
        <v>60.103849700617872</v>
      </c>
      <c r="Q75" s="20">
        <f t="shared" si="54"/>
        <v>536.17850956190932</v>
      </c>
      <c r="R75" s="59">
        <f t="shared" si="55"/>
        <v>829.51184289524258</v>
      </c>
      <c r="S75" s="59">
        <f ca="1">AVERAGE(OFFSET($R$3,0,0,'Données projet'!$E$9+1,1))-AVERAGE(OFFSET($H$3,0,0,'Données projet'!$E$9+1,1))</f>
        <v>244.71206779102869</v>
      </c>
      <c r="T75" s="59">
        <f t="shared" si="88"/>
        <v>248.77995374147798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34.642852153059806</v>
      </c>
      <c r="AA75" s="21">
        <f>EXP(-LN(2)/25)*AA74+(1-EXP(-LN(2)/25))/(LN(2)/25)*Calculateur!V75*Calculateur!X75*VLOOKUP('Données projet'!$B$9,Paramètres!$A$1:$I$89,3,0)*0.475*44/12</f>
        <v>3.8093176207701585</v>
      </c>
      <c r="AB75" s="21">
        <f>EXP(-LN(2)/2)*AB74+(1-EXP(-LN(2)/2))/(LN(2)/2)*V75*Y75*VLOOKUP('Données projet'!$B$9,Paramètres!$A$1:$I$89,3,0)*0.475*44/12</f>
        <v>0.35692775208117239</v>
      </c>
      <c r="AC75" s="22">
        <f t="shared" si="57"/>
        <v>38.809097525911135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6.8512820512820438</v>
      </c>
      <c r="AI75" s="13">
        <f>IF('Données projet'!$A$62&gt;35,AI74+AH75-AQ74,IF(A75&lt;'Données projet'!$A$62,$AF$205^A75,IF(A75='Données projet'!$A$62,'Données projet'!$B$62,AI74+AH75-AQ74)))</f>
        <v>282.65128205128184</v>
      </c>
      <c r="AJ75" s="13">
        <f>AI75*VLOOKUP('Données projet'!$B$10,Paramètres!$A$1:$I$89,3,0)*VLOOKUP('Données projet'!$B$10,Paramètres!$A$1:$I$89,5,0)</f>
        <v>189.60247999999987</v>
      </c>
      <c r="AK75" s="13">
        <f t="shared" si="89"/>
        <v>47.452056113373317</v>
      </c>
      <c r="AL75" s="20">
        <f t="shared" si="58"/>
        <v>412.8699837307916</v>
      </c>
      <c r="AM75" s="59">
        <f t="shared" si="59"/>
        <v>706.20331706412492</v>
      </c>
      <c r="AN75" s="59">
        <f ca="1">AVERAGE(OFFSET($AM$3,0,0,'Données projet'!$E$10+1,1))-AVERAGE(OFFSET($H$3,0,0,'Données projet'!$E$10+1,1))</f>
        <v>177.71717275462748</v>
      </c>
      <c r="AO75" s="59">
        <f t="shared" si="90"/>
        <v>183.73714278300957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47.206530528964059</v>
      </c>
      <c r="AV75" s="21">
        <f>EXP(-LN(2)/25)*AV74+(1-EXP(-LN(2)/25))/(LN(2)/25)*Calculateur!AQ75*Calculateur!AS75*VLOOKUP('Données projet'!$B$10,Paramètres!$A$1:$I$89,3,0)*0.475*44/12</f>
        <v>3.518121675326555</v>
      </c>
      <c r="AW75" s="21">
        <f>EXP(-LN(2)/2)*AW74+(1-EXP(-LN(2)/2))/(LN(2)/2)*AQ75*AT75*VLOOKUP('Données projet'!$B$10,Paramètres!$A$1:$I$89,3,0)*0.475*44/12</f>
        <v>0.55919711908068992</v>
      </c>
      <c r="AX75" s="21">
        <f t="shared" si="60"/>
        <v>51.283849323371307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-1.7053025658242404E-13</v>
      </c>
      <c r="BE75" s="13">
        <f>BD75*VLOOKUP('Données projet'!$B$11,Paramètres!$A$1:$I$89,3,0)*VLOOKUP('Données projet'!$B$11,Paramètres!$A$1:$I$89,5,0)</f>
        <v>-1.383341441396624E-13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325.66150195494157</v>
      </c>
      <c r="BJ75" s="59">
        <f t="shared" si="92"/>
        <v>429.07526815514467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90.565921434313665</v>
      </c>
      <c r="BQ75" s="21">
        <f>EXP(-LN(2)/25)*BQ74+(1-EXP(-LN(2)/25))/(LN(2)/25)*Calculateur!BL75*Calculateur!BN75*VLOOKUP('Données projet'!$B$11,Paramètres!$A$1:$I$89,3,0)*0.475*44/12</f>
        <v>5.0521082921446663</v>
      </c>
      <c r="BR75" s="21">
        <f>EXP(-LN(2)/2)*BR74+(1-EXP(-LN(2)/2))/(LN(2)/2)*BL75*BO75*VLOOKUP('Données projet'!$B$11,Paramètres!$A$1:$I$89,3,0)*0.475*44/12</f>
        <v>1.1009941853490092E-2</v>
      </c>
      <c r="BS75" s="22">
        <f t="shared" si="63"/>
        <v>95.629039668311819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7">
        <f t="shared" si="56"/>
        <v>435.96109787673976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4.2</v>
      </c>
      <c r="N76" s="13">
        <f>IF('Données projet'!$A$36&gt;35,N75+M76-V75,IF(A76&lt;'Données projet'!$A$36,$K$205^A76,IF(A76='Données projet'!$A$36,'Données projet'!$B$36,N75+M76-V75)))</f>
        <v>315.59999999999991</v>
      </c>
      <c r="O76" s="13">
        <f>N76*VLOOKUP('Données projet'!$B$9,Paramètres!$A$1:$I$89,3,0)*VLOOKUP('Données projet'!$B$9,Paramètres!$A$1:$I$89,5,0)</f>
        <v>251.09135999999995</v>
      </c>
      <c r="P76" s="13">
        <f t="shared" si="87"/>
        <v>60.81957989149403</v>
      </c>
      <c r="Q76" s="20">
        <f t="shared" si="54"/>
        <v>543.24488697768527</v>
      </c>
      <c r="R76" s="59">
        <f t="shared" si="55"/>
        <v>836.57822031101864</v>
      </c>
      <c r="S76" s="59">
        <f ca="1">AVERAGE(OFFSET($R$3,0,0,'Données projet'!$E$9+1,1))-AVERAGE(OFFSET($H$3,0,0,'Données projet'!$E$9+1,1))</f>
        <v>244.71206779102869</v>
      </c>
      <c r="T76" s="59">
        <f t="shared" si="88"/>
        <v>248.77995374147798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33.963526952391696</v>
      </c>
      <c r="AA76" s="21">
        <f>EXP(-LN(2)/25)*AA75+(1-EXP(-LN(2)/25))/(LN(2)/25)*Calculateur!V76*Calculateur!X76*VLOOKUP('Données projet'!$B$9,Paramètres!$A$1:$I$89,3,0)*0.475*44/12</f>
        <v>3.705151630106891</v>
      </c>
      <c r="AB76" s="21">
        <f>EXP(-LN(2)/2)*AB75+(1-EXP(-LN(2)/2))/(LN(2)/2)*V76*Y76*VLOOKUP('Données projet'!$B$9,Paramètres!$A$1:$I$89,3,0)*0.475*44/12</f>
        <v>0.25238603389026787</v>
      </c>
      <c r="AC76" s="22">
        <f t="shared" si="57"/>
        <v>37.921064616388854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6.8512820512820438</v>
      </c>
      <c r="AI76" s="13">
        <f>IF('Données projet'!$A$62&gt;35,AI75+AH76-AQ75,IF(A76&lt;'Données projet'!$A$62,$AF$205^A76,IF(A76='Données projet'!$A$62,'Données projet'!$B$62,AI75+AH76-AQ75)))</f>
        <v>289.50256410256389</v>
      </c>
      <c r="AJ76" s="13">
        <f>AI76*VLOOKUP('Données projet'!$B$10,Paramètres!$A$1:$I$89,3,0)*VLOOKUP('Données projet'!$B$10,Paramètres!$A$1:$I$89,5,0)</f>
        <v>194.19831999999985</v>
      </c>
      <c r="AK76" s="13">
        <f t="shared" si="89"/>
        <v>48.466957834801264</v>
      </c>
      <c r="AL76" s="20">
        <f t="shared" si="58"/>
        <v>422.6420255622786</v>
      </c>
      <c r="AM76" s="59">
        <f t="shared" si="59"/>
        <v>715.97535889561186</v>
      </c>
      <c r="AN76" s="59">
        <f ca="1">AVERAGE(OFFSET($AM$3,0,0,'Données projet'!$E$10+1,1))-AVERAGE(OFFSET($H$3,0,0,'Données projet'!$E$10+1,1))</f>
        <v>177.71717275462748</v>
      </c>
      <c r="AO76" s="59">
        <f t="shared" si="90"/>
        <v>183.73714278300957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46.280839258431612</v>
      </c>
      <c r="AV76" s="21">
        <f>EXP(-LN(2)/25)*AV75+(1-EXP(-LN(2)/25))/(LN(2)/25)*Calculateur!AQ76*Calculateur!AS76*VLOOKUP('Données projet'!$B$10,Paramètres!$A$1:$I$89,3,0)*0.475*44/12</f>
        <v>3.4219184531047722</v>
      </c>
      <c r="AW76" s="21">
        <f>EXP(-LN(2)/2)*AW75+(1-EXP(-LN(2)/2))/(LN(2)/2)*AQ76*AT76*VLOOKUP('Données projet'!$B$10,Paramètres!$A$1:$I$89,3,0)*0.475*44/12</f>
        <v>0.3954120749219372</v>
      </c>
      <c r="AX76" s="21">
        <f t="shared" si="60"/>
        <v>50.098169786458321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-1.7053025658242404E-13</v>
      </c>
      <c r="BE76" s="13">
        <f>BD76*VLOOKUP('Données projet'!$B$11,Paramètres!$A$1:$I$89,3,0)*VLOOKUP('Données projet'!$B$11,Paramètres!$A$1:$I$89,5,0)</f>
        <v>-1.383341441396624E-13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325.66150195494157</v>
      </c>
      <c r="BJ76" s="59">
        <f t="shared" si="92"/>
        <v>429.07526815514467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88.78997895474437</v>
      </c>
      <c r="BQ76" s="21">
        <f>EXP(-LN(2)/25)*BQ75+(1-EXP(-LN(2)/25))/(LN(2)/25)*Calculateur!BL76*Calculateur!BN76*VLOOKUP('Données projet'!$B$11,Paramètres!$A$1:$I$89,3,0)*0.475*44/12</f>
        <v>4.9139581252171425</v>
      </c>
      <c r="BR76" s="21">
        <f>EXP(-LN(2)/2)*BR75+(1-EXP(-LN(2)/2))/(LN(2)/2)*BL76*BO76*VLOOKUP('Données projet'!$B$11,Paramètres!$A$1:$I$89,3,0)*0.475*44/12</f>
        <v>7.7852045450724303E-3</v>
      </c>
      <c r="BS76" s="22">
        <f t="shared" si="63"/>
        <v>93.711722284506592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7">
        <f t="shared" si="56"/>
        <v>437.86428191131836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4.2</v>
      </c>
      <c r="N77" s="13">
        <f>IF('Données projet'!$A$36&gt;35,N76+M77-V76,IF(A77&lt;'Données projet'!$A$36,$K$205^A77,IF(A77='Données projet'!$A$36,'Données projet'!$B$36,N76+M77-V76)))</f>
        <v>319.7999999999999</v>
      </c>
      <c r="O77" s="13">
        <f>N77*VLOOKUP('Données projet'!$B$9,Paramètres!$A$1:$I$89,3,0)*VLOOKUP('Données projet'!$B$9,Paramètres!$A$1:$I$89,5,0)</f>
        <v>254.43287999999995</v>
      </c>
      <c r="P77" s="13">
        <f t="shared" si="87"/>
        <v>61.534202204620392</v>
      </c>
      <c r="Q77" s="20">
        <f t="shared" si="54"/>
        <v>550.30933483971376</v>
      </c>
      <c r="R77" s="59">
        <f t="shared" si="55"/>
        <v>843.64266817304701</v>
      </c>
      <c r="S77" s="59">
        <f ca="1">AVERAGE(OFFSET($R$3,0,0,'Données projet'!$E$9+1,1))-AVERAGE(OFFSET($H$3,0,0,'Données projet'!$E$9+1,1))</f>
        <v>244.71206779102869</v>
      </c>
      <c r="T77" s="59">
        <f t="shared" si="88"/>
        <v>248.77995374147798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33.297522904561227</v>
      </c>
      <c r="AA77" s="21">
        <f>EXP(-LN(2)/25)*AA76+(1-EXP(-LN(2)/25))/(LN(2)/25)*Calculateur!V77*Calculateur!X77*VLOOKUP('Données projet'!$B$9,Paramètres!$A$1:$I$89,3,0)*0.475*44/12</f>
        <v>3.6038340639361621</v>
      </c>
      <c r="AB77" s="21">
        <f>EXP(-LN(2)/2)*AB76+(1-EXP(-LN(2)/2))/(LN(2)/2)*V77*Y77*VLOOKUP('Données projet'!$B$9,Paramètres!$A$1:$I$89,3,0)*0.475*44/12</f>
        <v>0.17846387604058622</v>
      </c>
      <c r="AC77" s="22">
        <f t="shared" si="57"/>
        <v>37.079820844537977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6.8512820512820438</v>
      </c>
      <c r="AI77" s="13">
        <f>IF('Données projet'!$A$62&gt;35,AI76+AH77-AQ76,IF(A77&lt;'Données projet'!$A$62,$AF$205^A77,IF(A77='Données projet'!$A$62,'Données projet'!$B$62,AI76+AH77-AQ76)))</f>
        <v>296.35384615384595</v>
      </c>
      <c r="AJ77" s="13">
        <f>AI77*VLOOKUP('Données projet'!$B$10,Paramètres!$A$1:$I$89,3,0)*VLOOKUP('Données projet'!$B$10,Paramètres!$A$1:$I$89,5,0)</f>
        <v>198.79415999999986</v>
      </c>
      <c r="AK77" s="13">
        <f t="shared" si="89"/>
        <v>49.479067390365714</v>
      </c>
      <c r="AL77" s="20">
        <f t="shared" si="58"/>
        <v>432.40920437155336</v>
      </c>
      <c r="AM77" s="59">
        <f t="shared" si="59"/>
        <v>725.74253770488667</v>
      </c>
      <c r="AN77" s="59">
        <f ca="1">AVERAGE(OFFSET($AM$3,0,0,'Données projet'!$E$10+1,1))-AVERAGE(OFFSET($H$3,0,0,'Données projet'!$E$10+1,1))</f>
        <v>177.71717275462748</v>
      </c>
      <c r="AO77" s="59">
        <f t="shared" si="90"/>
        <v>183.73714278300957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45.373300229098383</v>
      </c>
      <c r="AV77" s="21">
        <f>EXP(-LN(2)/25)*AV76+(1-EXP(-LN(2)/25))/(LN(2)/25)*Calculateur!AQ77*Calculateur!AS77*VLOOKUP('Données projet'!$B$10,Paramètres!$A$1:$I$89,3,0)*0.475*44/12</f>
        <v>3.3283459130537518</v>
      </c>
      <c r="AW77" s="21">
        <f>EXP(-LN(2)/2)*AW76+(1-EXP(-LN(2)/2))/(LN(2)/2)*AQ77*AT77*VLOOKUP('Données projet'!$B$10,Paramètres!$A$1:$I$89,3,0)*0.475*44/12</f>
        <v>0.27959855954034502</v>
      </c>
      <c r="AX77" s="21">
        <f t="shared" si="60"/>
        <v>48.981244701692482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-1.7053025658242404E-13</v>
      </c>
      <c r="BE77" s="13">
        <f>BD77*VLOOKUP('Données projet'!$B$11,Paramètres!$A$1:$I$89,3,0)*VLOOKUP('Données projet'!$B$11,Paramètres!$A$1:$I$89,5,0)</f>
        <v>-1.383341441396624E-13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325.66150195494157</v>
      </c>
      <c r="BJ77" s="59">
        <f t="shared" si="92"/>
        <v>429.07526815514467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87.04886162398148</v>
      </c>
      <c r="BQ77" s="21">
        <f>EXP(-LN(2)/25)*BQ76+(1-EXP(-LN(2)/25))/(LN(2)/25)*Calculateur!BL77*Calculateur!BN77*VLOOKUP('Données projet'!$B$11,Paramètres!$A$1:$I$89,3,0)*0.475*44/12</f>
        <v>4.7795856818692526</v>
      </c>
      <c r="BR77" s="21">
        <f>EXP(-LN(2)/2)*BR76+(1-EXP(-LN(2)/2))/(LN(2)/2)*BL77*BO77*VLOOKUP('Données projet'!$B$11,Paramètres!$A$1:$I$89,3,0)*0.475*44/12</f>
        <v>5.5049709267450467E-3</v>
      </c>
      <c r="BS77" s="22">
        <f t="shared" si="63"/>
        <v>91.833952276777481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7">
        <f t="shared" si="56"/>
        <v>439.76686605129669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324</v>
      </c>
      <c r="L78" s="12">
        <f>VLOOKUP(A78,'Données projet'!$A$35:$I$55,9,0)</f>
        <v>4.2</v>
      </c>
      <c r="M78" s="12">
        <f t="array" ref="M78">INDEX(L:L,MIN(IF(ISNUMBER(L78:L274),ROW(L78:L274),"")))</f>
        <v>4.2</v>
      </c>
      <c r="N78" s="13">
        <f>IF('Données projet'!$A$36&gt;35,N77+M78-V77,IF(A78&lt;'Données projet'!$A$36,$K$205^A78,IF(A78='Données projet'!$A$36,'Données projet'!$B$36,N77+M78-V77)))</f>
        <v>323.99999999999989</v>
      </c>
      <c r="O78" s="13">
        <f>N78*VLOOKUP('Données projet'!$B$9,Paramètres!$A$1:$I$89,3,0)*VLOOKUP('Données projet'!$B$9,Paramètres!$A$1:$I$89,5,0)</f>
        <v>257.77439999999996</v>
      </c>
      <c r="P78" s="13">
        <f t="shared" si="87"/>
        <v>62.247732872134293</v>
      </c>
      <c r="Q78" s="20">
        <f t="shared" si="54"/>
        <v>557.37188141896718</v>
      </c>
      <c r="R78" s="59">
        <f t="shared" si="55"/>
        <v>850.70521475230044</v>
      </c>
      <c r="S78" s="59">
        <f ca="1">AVERAGE(OFFSET($R$3,0,0,'Données projet'!$E$9+1,1))-AVERAGE(OFFSET($H$3,0,0,'Données projet'!$E$9+1,1))</f>
        <v>244.71206779102869</v>
      </c>
      <c r="T78" s="59">
        <f t="shared" si="88"/>
        <v>248.77995374147798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12</v>
      </c>
      <c r="W78" s="16">
        <f>IF(ISNA(VLOOKUP(A78,'Données projet'!$A$35:$I$55,5,0)),0%,VLOOKUP(A78,'Données projet'!$A$35:$I$55,5,0)*VLOOKUP('Données projet'!$B$9,Paramètres!$A$1:$I$89,7,0))</f>
        <v>0.42400000000000004</v>
      </c>
      <c r="X78" s="16">
        <f>IF(ISNA(VLOOKUP(A78,'Données projet'!$A$35:$I$55,6,0)),0%,VLOOKUP(A78,'Données projet'!$A$35:$I$55,6,0)*VLOOKUP('Données projet'!$B$9,Paramètres!$A$1:$I$89,7,0))</f>
        <v>2.12E-2</v>
      </c>
      <c r="Y78" s="16">
        <f>IF(ISNA(VLOOKUP(A78,'Données projet'!$A$35:$I$55,7,0)),0%,VLOOKUP(A78,'Données projet'!$A$35:$I$55,7,0))</f>
        <v>0.06</v>
      </c>
      <c r="Z78" s="21">
        <f>EXP(-LN(2)/35)*Z77+(1-EXP(-LN(2)/35))/(LN(2)/35)*V78*W78*VLOOKUP('Données projet'!$B$9,Paramètres!$A$1:$I$89,3,0)*0.475*44/12</f>
        <v>37.119537036256602</v>
      </c>
      <c r="AA78" s="21">
        <f>EXP(-LN(2)/25)*AA77+(1-EXP(-LN(2)/25))/(LN(2)/25)*Calculateur!V78*Calculateur!X78*VLOOKUP('Données projet'!$B$9,Paramètres!$A$1:$I$89,3,0)*0.475*44/12</f>
        <v>3.728153963473507</v>
      </c>
      <c r="AB78" s="21">
        <f>EXP(-LN(2)/2)*AB77+(1-EXP(-LN(2)/2))/(LN(2)/2)*V78*Y78*VLOOKUP('Données projet'!$B$9,Paramètres!$A$1:$I$89,3,0)*0.475*44/12</f>
        <v>0.66667542649236755</v>
      </c>
      <c r="AC78" s="22">
        <f t="shared" si="57"/>
        <v>41.51436642622248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303.20512820512818</v>
      </c>
      <c r="AG78" s="12">
        <f>VLOOKUP(A78,'Données projet'!$A$61:$I$81,9,0)</f>
        <v>6.8512820512820438</v>
      </c>
      <c r="AH78" s="12">
        <f t="array" ref="AH78">INDEX(AG:AG,MIN(IF(ISNUMBER(AG78:AG274),ROW(AG78:AG274),"")))</f>
        <v>6.8512820512820438</v>
      </c>
      <c r="AI78" s="13">
        <f>IF('Données projet'!$A$62&gt;35,AI77+AH78-AQ77,IF(A78&lt;'Données projet'!$A$62,$AF$205^A78,IF(A78='Données projet'!$A$62,'Données projet'!$B$62,AI77+AH78-AQ77)))</f>
        <v>303.20512820512801</v>
      </c>
      <c r="AJ78" s="13">
        <f>AI78*VLOOKUP('Données projet'!$B$10,Paramètres!$A$1:$I$89,3,0)*VLOOKUP('Données projet'!$B$10,Paramètres!$A$1:$I$89,5,0)</f>
        <v>203.3899999999999</v>
      </c>
      <c r="AK78" s="13">
        <f t="shared" si="89"/>
        <v>50.488456760806621</v>
      </c>
      <c r="AL78" s="20">
        <f t="shared" si="58"/>
        <v>442.17164552507137</v>
      </c>
      <c r="AM78" s="59">
        <f t="shared" si="59"/>
        <v>735.50497885840468</v>
      </c>
      <c r="AN78" s="59">
        <f ca="1">AVERAGE(OFFSET($AM$3,0,0,'Données projet'!$E$10+1,1))-AVERAGE(OFFSET($H$3,0,0,'Données projet'!$E$10+1,1))</f>
        <v>177.71717275462748</v>
      </c>
      <c r="AO78" s="59">
        <f t="shared" si="90"/>
        <v>183.73714278300957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23</v>
      </c>
      <c r="AR78" s="16">
        <f>IF(ISNA(VLOOKUP(A78,'Données projet'!$A$61:$I$81,5,0)),0%,VLOOKUP(A78,'Données projet'!$A$61:$I$81,5,0)*VLOOKUP('Données projet'!$B$10,Paramètres!$A$1:$I$89,7,0))</f>
        <v>0.42400000000000004</v>
      </c>
      <c r="AS78" s="16">
        <f>IF(ISNA(VLOOKUP(A78,'Données projet'!$A$61:$I$81,6,0)),0%,VLOOKUP(A78,'Données projet'!$A$61:$I$81,6,0)*VLOOKUP('Données projet'!$B$10,Paramètres!$A$1:$I$89,7,0))</f>
        <v>2.12E-2</v>
      </c>
      <c r="AT78" s="16">
        <f>IF(ISNA(VLOOKUP(A78,'Données projet'!$A$61:$I$81,7,0)),0%,VLOOKUP(A78,'Données projet'!$A$61:$I$81,7,0))</f>
        <v>0.06</v>
      </c>
      <c r="AU78" s="21">
        <f>EXP(-LN(2)/35)*AU77+(1-EXP(-LN(2)/35))/(LN(2)/35)*AQ78*AR78*VLOOKUP('Données projet'!$B$10,Paramètres!$A$1:$I$89,3,0)*0.475*44/12</f>
        <v>51.715148508906765</v>
      </c>
      <c r="AV78" s="21">
        <f>EXP(-LN(2)/25)*AV77+(1-EXP(-LN(2)/25))/(LN(2)/25)*Calculateur!AQ78*Calculateur!AS78*VLOOKUP('Données projet'!$B$10,Paramètres!$A$1:$I$89,3,0)*0.475*44/12</f>
        <v>3.5974879936818653</v>
      </c>
      <c r="AW78" s="21">
        <f>EXP(-LN(2)/2)*AW77+(1-EXP(-LN(2)/2))/(LN(2)/2)*AQ78*AT78*VLOOKUP('Données projet'!$B$10,Paramètres!$A$1:$I$89,3,0)*0.475*44/12</f>
        <v>1.0711326764188347</v>
      </c>
      <c r="AX78" s="21">
        <f t="shared" si="60"/>
        <v>56.383769179007466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-1.7053025658242404E-13</v>
      </c>
      <c r="BE78" s="13">
        <f>BD78*VLOOKUP('Données projet'!$B$11,Paramètres!$A$1:$I$89,3,0)*VLOOKUP('Données projet'!$B$11,Paramètres!$A$1:$I$89,5,0)</f>
        <v>-1.383341441396624E-13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325.66150195494157</v>
      </c>
      <c r="BJ78" s="59">
        <f t="shared" si="92"/>
        <v>429.07526815514467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85.341886542098138</v>
      </c>
      <c r="BQ78" s="21">
        <f>EXP(-LN(2)/25)*BQ77+(1-EXP(-LN(2)/25))/(LN(2)/25)*Calculateur!BL78*Calculateur!BN78*VLOOKUP('Données projet'!$B$11,Paramètres!$A$1:$I$89,3,0)*0.475*44/12</f>
        <v>4.6488876600510505</v>
      </c>
      <c r="BR78" s="21">
        <f>EXP(-LN(2)/2)*BR77+(1-EXP(-LN(2)/2))/(LN(2)/2)*BL78*BO78*VLOOKUP('Données projet'!$B$11,Paramètres!$A$1:$I$89,3,0)*0.475*44/12</f>
        <v>3.8926022725362156E-3</v>
      </c>
      <c r="BS78" s="22">
        <f t="shared" si="63"/>
        <v>89.994666804421712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7">
        <f t="shared" si="56"/>
        <v>441.66885921991195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3.6</v>
      </c>
      <c r="N79" s="13">
        <f>IF('Données projet'!$A$36&gt;35,N78+M79-V78,IF(A79&lt;'Données projet'!$A$36,$K$205^A79,IF(A79='Données projet'!$A$36,'Données projet'!$B$36,N78+M79-V78)))</f>
        <v>315.59999999999991</v>
      </c>
      <c r="O79" s="13">
        <f>N79*VLOOKUP('Données projet'!$B$9,Paramètres!$A$1:$I$89,3,0)*VLOOKUP('Données projet'!$B$9,Paramètres!$A$1:$I$89,5,0)</f>
        <v>251.09135999999995</v>
      </c>
      <c r="P79" s="13">
        <f t="shared" si="87"/>
        <v>60.81957989149403</v>
      </c>
      <c r="Q79" s="20">
        <f t="shared" si="54"/>
        <v>543.24488697768527</v>
      </c>
      <c r="R79" s="59">
        <f t="shared" si="55"/>
        <v>836.57822031101864</v>
      </c>
      <c r="S79" s="59">
        <f ca="1">AVERAGE(OFFSET($R$3,0,0,'Données projet'!$E$9+1,1))-AVERAGE(OFFSET($H$3,0,0,'Données projet'!$E$9+1,1))</f>
        <v>244.71206779102869</v>
      </c>
      <c r="T79" s="59">
        <f t="shared" si="88"/>
        <v>248.77995374147798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36.391645555657618</v>
      </c>
      <c r="AA79" s="21">
        <f>EXP(-LN(2)/25)*AA78+(1-EXP(-LN(2)/25))/(LN(2)/25)*Calculateur!V79*Calculateur!X79*VLOOKUP('Données projet'!$B$9,Paramètres!$A$1:$I$89,3,0)*0.475*44/12</f>
        <v>3.626207397287228</v>
      </c>
      <c r="AB79" s="21">
        <f>EXP(-LN(2)/2)*AB78+(1-EXP(-LN(2)/2))/(LN(2)/2)*V79*Y79*VLOOKUP('Données projet'!$B$9,Paramètres!$A$1:$I$89,3,0)*0.475*44/12</f>
        <v>0.47141071492318681</v>
      </c>
      <c r="AC79" s="22">
        <f t="shared" si="57"/>
        <v>40.489263667868038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6.3948717948718015</v>
      </c>
      <c r="AI79" s="13">
        <f>IF('Données projet'!$A$62&gt;35,AI78+AH79-AQ78,IF(A79&lt;'Données projet'!$A$62,$AF$205^A79,IF(A79='Données projet'!$A$62,'Données projet'!$B$62,AI78+AH79-AQ78)))</f>
        <v>286.5999999999998</v>
      </c>
      <c r="AJ79" s="13">
        <f>AI79*VLOOKUP('Données projet'!$B$10,Paramètres!$A$1:$I$89,3,0)*VLOOKUP('Données projet'!$B$10,Paramètres!$A$1:$I$89,5,0)</f>
        <v>192.25127999999987</v>
      </c>
      <c r="AK79" s="13">
        <f t="shared" si="89"/>
        <v>48.037337165910067</v>
      </c>
      <c r="AL79" s="20">
        <f t="shared" si="58"/>
        <v>418.50267489729316</v>
      </c>
      <c r="AM79" s="59">
        <f t="shared" si="59"/>
        <v>711.83600823062648</v>
      </c>
      <c r="AN79" s="59">
        <f ca="1">AVERAGE(OFFSET($AM$3,0,0,'Données projet'!$E$10+1,1))-AVERAGE(OFFSET($H$3,0,0,'Données projet'!$E$10+1,1))</f>
        <v>177.71717275462748</v>
      </c>
      <c r="AO79" s="59">
        <f t="shared" si="90"/>
        <v>183.73714278300957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50.701045989773071</v>
      </c>
      <c r="AV79" s="21">
        <f>EXP(-LN(2)/25)*AV78+(1-EXP(-LN(2)/25))/(LN(2)/25)*Calculateur!AQ79*Calculateur!AS79*VLOOKUP('Données projet'!$B$10,Paramètres!$A$1:$I$89,3,0)*0.475*44/12</f>
        <v>3.4991144953109634</v>
      </c>
      <c r="AW79" s="21">
        <f>EXP(-LN(2)/2)*AW78+(1-EXP(-LN(2)/2))/(LN(2)/2)*AQ79*AT79*VLOOKUP('Données projet'!$B$10,Paramètres!$A$1:$I$89,3,0)*0.475*44/12</f>
        <v>0.75740517904625404</v>
      </c>
      <c r="AX79" s="21">
        <f t="shared" si="60"/>
        <v>54.957565664130286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-1.7053025658242404E-13</v>
      </c>
      <c r="BE79" s="13">
        <f>BD79*VLOOKUP('Données projet'!$B$11,Paramètres!$A$1:$I$89,3,0)*VLOOKUP('Données projet'!$B$11,Paramètres!$A$1:$I$89,5,0)</f>
        <v>-1.383341441396624E-13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325.66150195494157</v>
      </c>
      <c r="BJ79" s="59">
        <f t="shared" si="92"/>
        <v>429.07526815514467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83.668384200418529</v>
      </c>
      <c r="BQ79" s="21">
        <f>EXP(-LN(2)/25)*BQ78+(1-EXP(-LN(2)/25))/(LN(2)/25)*Calculateur!BL79*Calculateur!BN79*VLOOKUP('Données projet'!$B$11,Paramètres!$A$1:$I$89,3,0)*0.475*44/12</f>
        <v>4.5217635825125777</v>
      </c>
      <c r="BR79" s="21">
        <f>EXP(-LN(2)/2)*BR78+(1-EXP(-LN(2)/2))/(LN(2)/2)*BL79*BO79*VLOOKUP('Données projet'!$B$11,Paramètres!$A$1:$I$89,3,0)*0.475*44/12</f>
        <v>2.7524854633725238E-3</v>
      </c>
      <c r="BS79" s="22">
        <f t="shared" si="63"/>
        <v>88.192900268394482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7">
        <f t="shared" si="56"/>
        <v>443.57027009208173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3.6</v>
      </c>
      <c r="N80" s="13">
        <f>IF('Données projet'!$A$36&gt;35,N79+M80-V79,IF(A80&lt;'Données projet'!$A$36,$K$205^A80,IF(A80='Données projet'!$A$36,'Données projet'!$B$36,N79+M80-V79)))</f>
        <v>319.19999999999993</v>
      </c>
      <c r="O80" s="13">
        <f>N80*VLOOKUP('Données projet'!$B$9,Paramètres!$A$1:$I$89,3,0)*VLOOKUP('Données projet'!$B$9,Paramètres!$A$1:$I$89,5,0)</f>
        <v>253.95551999999998</v>
      </c>
      <c r="P80" s="13">
        <f t="shared" si="87"/>
        <v>61.432180511879253</v>
      </c>
      <c r="Q80" s="20">
        <f t="shared" si="54"/>
        <v>549.30024505818972</v>
      </c>
      <c r="R80" s="59">
        <f t="shared" si="55"/>
        <v>842.63357839152309</v>
      </c>
      <c r="S80" s="59">
        <f ca="1">AVERAGE(OFFSET($R$3,0,0,'Données projet'!$E$9+1,1))-AVERAGE(OFFSET($H$3,0,0,'Données projet'!$E$9+1,1))</f>
        <v>244.71206779102869</v>
      </c>
      <c r="T80" s="59">
        <f t="shared" si="88"/>
        <v>248.77995374147798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35.678027583023216</v>
      </c>
      <c r="AA80" s="21">
        <f>EXP(-LN(2)/25)*AA79+(1-EXP(-LN(2)/25))/(LN(2)/25)*Calculateur!V80*Calculateur!X80*VLOOKUP('Données projet'!$B$9,Paramètres!$A$1:$I$89,3,0)*0.475*44/12</f>
        <v>3.5270485653144497</v>
      </c>
      <c r="AB80" s="21">
        <f>EXP(-LN(2)/2)*AB79+(1-EXP(-LN(2)/2))/(LN(2)/2)*V80*Y80*VLOOKUP('Données projet'!$B$9,Paramètres!$A$1:$I$89,3,0)*0.475*44/12</f>
        <v>0.33333771324618383</v>
      </c>
      <c r="AC80" s="22">
        <f t="shared" si="57"/>
        <v>39.538413861583848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6.3948717948718015</v>
      </c>
      <c r="AI80" s="13">
        <f>IF('Données projet'!$A$62&gt;35,AI79+AH80-AQ79,IF(A80&lt;'Données projet'!$A$62,$AF$205^A80,IF(A80='Données projet'!$A$62,'Données projet'!$B$62,AI79+AH80-AQ79)))</f>
        <v>292.99487179487159</v>
      </c>
      <c r="AJ80" s="13">
        <f>AI80*VLOOKUP('Données projet'!$B$10,Paramètres!$A$1:$I$89,3,0)*VLOOKUP('Données projet'!$B$10,Paramètres!$A$1:$I$89,5,0)</f>
        <v>196.54095999999987</v>
      </c>
      <c r="AK80" s="13">
        <f t="shared" si="89"/>
        <v>48.983205262815616</v>
      </c>
      <c r="AL80" s="20">
        <f t="shared" si="58"/>
        <v>427.62125449940362</v>
      </c>
      <c r="AM80" s="59">
        <f t="shared" si="59"/>
        <v>720.95458783273693</v>
      </c>
      <c r="AN80" s="59">
        <f ca="1">AVERAGE(OFFSET($AM$3,0,0,'Données projet'!$E$10+1,1))-AVERAGE(OFFSET($H$3,0,0,'Données projet'!$E$10+1,1))</f>
        <v>177.71717275462748</v>
      </c>
      <c r="AO80" s="59">
        <f t="shared" si="90"/>
        <v>183.73714278300957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49.706829402498123</v>
      </c>
      <c r="AV80" s="21">
        <f>EXP(-LN(2)/25)*AV79+(1-EXP(-LN(2)/25))/(LN(2)/25)*Calculateur!AQ80*Calculateur!AS80*VLOOKUP('Données projet'!$B$10,Paramètres!$A$1:$I$89,3,0)*0.475*44/12</f>
        <v>3.4034310254262512</v>
      </c>
      <c r="AW80" s="21">
        <f>EXP(-LN(2)/2)*AW79+(1-EXP(-LN(2)/2))/(LN(2)/2)*AQ80*AT80*VLOOKUP('Données projet'!$B$10,Paramètres!$A$1:$I$89,3,0)*0.475*44/12</f>
        <v>0.53556633820941746</v>
      </c>
      <c r="AX80" s="21">
        <f t="shared" si="60"/>
        <v>53.645826766133794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-1.7053025658242404E-13</v>
      </c>
      <c r="BE80" s="13">
        <f>BD80*VLOOKUP('Données projet'!$B$11,Paramètres!$A$1:$I$89,3,0)*VLOOKUP('Données projet'!$B$11,Paramètres!$A$1:$I$89,5,0)</f>
        <v>-1.383341441396624E-13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325.66150195494157</v>
      </c>
      <c r="BJ80" s="59">
        <f t="shared" si="92"/>
        <v>429.07526815514467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82.027698218923632</v>
      </c>
      <c r="BQ80" s="21">
        <f>EXP(-LN(2)/25)*BQ79+(1-EXP(-LN(2)/25))/(LN(2)/25)*Calculateur!BL80*Calculateur!BN80*VLOOKUP('Données projet'!$B$11,Paramètres!$A$1:$I$89,3,0)*0.475*44/12</f>
        <v>4.3981157195595593</v>
      </c>
      <c r="BR80" s="21">
        <f>EXP(-LN(2)/2)*BR79+(1-EXP(-LN(2)/2))/(LN(2)/2)*BL80*BO80*VLOOKUP('Données projet'!$B$11,Paramètres!$A$1:$I$89,3,0)*0.475*44/12</f>
        <v>1.9463011362681082E-3</v>
      </c>
      <c r="BS80" s="22">
        <f t="shared" si="63"/>
        <v>86.42776023961946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7">
        <f t="shared" si="56"/>
        <v>445.47110710444713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3.6</v>
      </c>
      <c r="N81" s="13">
        <f>IF('Données projet'!$A$36&gt;35,N80+M81-V80,IF(A81&lt;'Données projet'!$A$36,$K$205^A81,IF(A81='Données projet'!$A$36,'Données projet'!$B$36,N80+M81-V80)))</f>
        <v>322.79999999999995</v>
      </c>
      <c r="O81" s="13">
        <f>N81*VLOOKUP('Données projet'!$B$9,Paramètres!$A$1:$I$89,3,0)*VLOOKUP('Données projet'!$B$9,Paramètres!$A$1:$I$89,5,0)</f>
        <v>256.81968000000001</v>
      </c>
      <c r="P81" s="13">
        <f t="shared" si="87"/>
        <v>62.043977430851903</v>
      </c>
      <c r="Q81" s="20">
        <f t="shared" si="54"/>
        <v>555.35420335873368</v>
      </c>
      <c r="R81" s="59">
        <f t="shared" si="55"/>
        <v>848.68753669206694</v>
      </c>
      <c r="S81" s="59">
        <f ca="1">AVERAGE(OFFSET($R$3,0,0,'Données projet'!$E$9+1,1))-AVERAGE(OFFSET($H$3,0,0,'Données projet'!$E$9+1,1))</f>
        <v>244.71206779102869</v>
      </c>
      <c r="T81" s="59">
        <f t="shared" si="88"/>
        <v>248.77995374147798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34.978403223568193</v>
      </c>
      <c r="AA81" s="21">
        <f>EXP(-LN(2)/25)*AA80+(1-EXP(-LN(2)/25))/(LN(2)/25)*Calculateur!V81*Calculateur!X81*VLOOKUP('Données projet'!$B$9,Paramètres!$A$1:$I$89,3,0)*0.475*44/12</f>
        <v>3.4306012368165031</v>
      </c>
      <c r="AB81" s="21">
        <f>EXP(-LN(2)/2)*AB80+(1-EXP(-LN(2)/2))/(LN(2)/2)*V81*Y81*VLOOKUP('Données projet'!$B$9,Paramètres!$A$1:$I$89,3,0)*0.475*44/12</f>
        <v>0.23570535746159346</v>
      </c>
      <c r="AC81" s="22">
        <f t="shared" si="57"/>
        <v>38.644709817846284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6.3948717948718015</v>
      </c>
      <c r="AI81" s="13">
        <f>IF('Données projet'!$A$62&gt;35,AI80+AH81-AQ80,IF(A81&lt;'Données projet'!$A$62,$AF$205^A81,IF(A81='Données projet'!$A$62,'Données projet'!$B$62,AI80+AH81-AQ80)))</f>
        <v>299.38974358974338</v>
      </c>
      <c r="AJ81" s="13">
        <f>AI81*VLOOKUP('Données projet'!$B$10,Paramètres!$A$1:$I$89,3,0)*VLOOKUP('Données projet'!$B$10,Paramètres!$A$1:$I$89,5,0)</f>
        <v>200.83063999999985</v>
      </c>
      <c r="AK81" s="13">
        <f t="shared" si="89"/>
        <v>49.926673199272862</v>
      </c>
      <c r="AL81" s="20">
        <f t="shared" si="58"/>
        <v>436.73565382206658</v>
      </c>
      <c r="AM81" s="59">
        <f t="shared" si="59"/>
        <v>730.0689871553999</v>
      </c>
      <c r="AN81" s="59">
        <f ca="1">AVERAGE(OFFSET($AM$3,0,0,'Données projet'!$E$10+1,1))-AVERAGE(OFFSET($H$3,0,0,'Données projet'!$E$10+1,1))</f>
        <v>177.71717275462748</v>
      </c>
      <c r="AO81" s="59">
        <f t="shared" si="90"/>
        <v>183.73714278300957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48.732108796087402</v>
      </c>
      <c r="AV81" s="21">
        <f>EXP(-LN(2)/25)*AV80+(1-EXP(-LN(2)/25))/(LN(2)/25)*Calculateur!AQ81*Calculateur!AS81*VLOOKUP('Données projet'!$B$10,Paramètres!$A$1:$I$89,3,0)*0.475*44/12</f>
        <v>3.3103640250573112</v>
      </c>
      <c r="AW81" s="21">
        <f>EXP(-LN(2)/2)*AW80+(1-EXP(-LN(2)/2))/(LN(2)/2)*AQ81*AT81*VLOOKUP('Données projet'!$B$10,Paramètres!$A$1:$I$89,3,0)*0.475*44/12</f>
        <v>0.37870258952312708</v>
      </c>
      <c r="AX81" s="21">
        <f t="shared" si="60"/>
        <v>52.421175410667843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-1.7053025658242404E-13</v>
      </c>
      <c r="BE81" s="13">
        <f>BD81*VLOOKUP('Données projet'!$B$11,Paramètres!$A$1:$I$89,3,0)*VLOOKUP('Données projet'!$B$11,Paramètres!$A$1:$I$89,5,0)</f>
        <v>-1.383341441396624E-13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325.66150195494157</v>
      </c>
      <c r="BJ81" s="59">
        <f t="shared" si="92"/>
        <v>429.07526815514467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80.419185088806202</v>
      </c>
      <c r="BQ81" s="21">
        <f>EXP(-LN(2)/25)*BQ80+(1-EXP(-LN(2)/25))/(LN(2)/25)*Calculateur!BL81*Calculateur!BN81*VLOOKUP('Données projet'!$B$11,Paramètres!$A$1:$I$89,3,0)*0.475*44/12</f>
        <v>4.2778490139213492</v>
      </c>
      <c r="BR81" s="21">
        <f>EXP(-LN(2)/2)*BR80+(1-EXP(-LN(2)/2))/(LN(2)/2)*BL81*BO81*VLOOKUP('Données projet'!$B$11,Paramètres!$A$1:$I$89,3,0)*0.475*44/12</f>
        <v>1.3762427316862621E-3</v>
      </c>
      <c r="BS81" s="22">
        <f t="shared" si="63"/>
        <v>84.698410345459237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7">
        <f t="shared" si="56"/>
        <v>447.37137846488741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3.6</v>
      </c>
      <c r="N82" s="13">
        <f>IF('Données projet'!$A$36&gt;35,N81+M82-V81,IF(A82&lt;'Données projet'!$A$36,$K$205^A82,IF(A82='Données projet'!$A$36,'Données projet'!$B$36,N81+M82-V81)))</f>
        <v>326.39999999999998</v>
      </c>
      <c r="O82" s="13">
        <f>N82*VLOOKUP('Données projet'!$B$9,Paramètres!$A$1:$I$89,3,0)*VLOOKUP('Données projet'!$B$9,Paramètres!$A$1:$I$89,5,0)</f>
        <v>259.68384000000003</v>
      </c>
      <c r="P82" s="13">
        <f t="shared" si="87"/>
        <v>62.654980648867358</v>
      </c>
      <c r="Q82" s="20">
        <f t="shared" si="54"/>
        <v>561.40677929677736</v>
      </c>
      <c r="R82" s="59">
        <f t="shared" si="55"/>
        <v>854.74011263011062</v>
      </c>
      <c r="S82" s="59">
        <f ca="1">AVERAGE(OFFSET($R$3,0,0,'Données projet'!$E$9+1,1))-AVERAGE(OFFSET($H$3,0,0,'Données projet'!$E$9+1,1))</f>
        <v>244.71206779102869</v>
      </c>
      <c r="T82" s="59">
        <f t="shared" si="88"/>
        <v>248.77995374147798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34.292498071073361</v>
      </c>
      <c r="AA82" s="21">
        <f>EXP(-LN(2)/25)*AA81+(1-EXP(-LN(2)/25))/(LN(2)/25)*Calculateur!V82*Calculateur!X82*VLOOKUP('Données projet'!$B$9,Paramètres!$A$1:$I$89,3,0)*0.475*44/12</f>
        <v>3.3367912655882774</v>
      </c>
      <c r="AB82" s="21">
        <f>EXP(-LN(2)/2)*AB81+(1-EXP(-LN(2)/2))/(LN(2)/2)*V82*Y82*VLOOKUP('Données projet'!$B$9,Paramètres!$A$1:$I$89,3,0)*0.475*44/12</f>
        <v>0.16666885662309194</v>
      </c>
      <c r="AC82" s="22">
        <f t="shared" si="57"/>
        <v>37.795958193284726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6.3948717948718015</v>
      </c>
      <c r="AI82" s="13">
        <f>IF('Données projet'!$A$62&gt;35,AI81+AH82-AQ81,IF(A82&lt;'Données projet'!$A$62,$AF$205^A82,IF(A82='Données projet'!$A$62,'Données projet'!$B$62,AI81+AH82-AQ81)))</f>
        <v>305.78461538461517</v>
      </c>
      <c r="AJ82" s="13">
        <f>AI82*VLOOKUP('Données projet'!$B$10,Paramètres!$A$1:$I$89,3,0)*VLOOKUP('Données projet'!$B$10,Paramètres!$A$1:$I$89,5,0)</f>
        <v>205.12031999999985</v>
      </c>
      <c r="AK82" s="13">
        <f t="shared" si="89"/>
        <v>50.867798147092891</v>
      </c>
      <c r="AL82" s="20">
        <f t="shared" si="58"/>
        <v>445.84597243951981</v>
      </c>
      <c r="AM82" s="59">
        <f t="shared" si="59"/>
        <v>739.17930577285313</v>
      </c>
      <c r="AN82" s="59">
        <f ca="1">AVERAGE(OFFSET($AM$3,0,0,'Données projet'!$E$10+1,1))-AVERAGE(OFFSET($H$3,0,0,'Données projet'!$E$10+1,1))</f>
        <v>177.71717275462748</v>
      </c>
      <c r="AO82" s="59">
        <f t="shared" si="90"/>
        <v>183.73714278300957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47.776501866247528</v>
      </c>
      <c r="AV82" s="21">
        <f>EXP(-LN(2)/25)*AV81+(1-EXP(-LN(2)/25))/(LN(2)/25)*Calculateur!AQ82*Calculateur!AS82*VLOOKUP('Données projet'!$B$10,Paramètres!$A$1:$I$89,3,0)*0.475*44/12</f>
        <v>3.2198419467076409</v>
      </c>
      <c r="AW82" s="21">
        <f>EXP(-LN(2)/2)*AW81+(1-EXP(-LN(2)/2))/(LN(2)/2)*AQ82*AT82*VLOOKUP('Données projet'!$B$10,Paramètres!$A$1:$I$89,3,0)*0.475*44/12</f>
        <v>0.26778316910470878</v>
      </c>
      <c r="AX82" s="21">
        <f t="shared" si="60"/>
        <v>51.264126982059878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-1.7053025658242404E-13</v>
      </c>
      <c r="BE82" s="13">
        <f>BD82*VLOOKUP('Données projet'!$B$11,Paramètres!$A$1:$I$89,3,0)*VLOOKUP('Données projet'!$B$11,Paramètres!$A$1:$I$89,5,0)</f>
        <v>-1.383341441396624E-13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325.66150195494157</v>
      </c>
      <c r="BJ82" s="59">
        <f t="shared" si="92"/>
        <v>429.07526815514467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78.842213920074244</v>
      </c>
      <c r="BQ82" s="21">
        <f>EXP(-LN(2)/25)*BQ81+(1-EXP(-LN(2)/25))/(LN(2)/25)*Calculateur!BL82*Calculateur!BN82*VLOOKUP('Données projet'!$B$11,Paramètres!$A$1:$I$89,3,0)*0.475*44/12</f>
        <v>4.160871007673367</v>
      </c>
      <c r="BR82" s="21">
        <f>EXP(-LN(2)/2)*BR81+(1-EXP(-LN(2)/2))/(LN(2)/2)*BL82*BO82*VLOOKUP('Données projet'!$B$11,Paramètres!$A$1:$I$89,3,0)*0.475*44/12</f>
        <v>9.7315056813405422E-4</v>
      </c>
      <c r="BS82" s="22">
        <f t="shared" si="63"/>
        <v>83.004058078315737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7">
        <f t="shared" si="56"/>
        <v>449.27109216153804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330</v>
      </c>
      <c r="L83" s="12">
        <f>VLOOKUP(A83,'Données projet'!$A$35:$I$55,9,0)</f>
        <v>3.6</v>
      </c>
      <c r="M83" s="12">
        <f t="array" ref="M83">INDEX(L:L,MIN(IF(ISNUMBER(L83:L279),ROW(L83:L279),"")))</f>
        <v>3.6</v>
      </c>
      <c r="N83" s="13">
        <f>IF('Données projet'!$A$36&gt;35,N82+M83-V82,IF(A83&lt;'Données projet'!$A$36,$K$205^A83,IF(A83='Données projet'!$A$36,'Données projet'!$B$36,N82+M83-V82)))</f>
        <v>330</v>
      </c>
      <c r="O83" s="13">
        <f>N83*VLOOKUP('Données projet'!$B$9,Paramètres!$A$1:$I$89,3,0)*VLOOKUP('Données projet'!$B$9,Paramètres!$A$1:$I$89,5,0)</f>
        <v>262.548</v>
      </c>
      <c r="P83" s="13">
        <f t="shared" si="87"/>
        <v>63.265199933079444</v>
      </c>
      <c r="Q83" s="20">
        <f t="shared" si="54"/>
        <v>567.45798988344666</v>
      </c>
      <c r="R83" s="59">
        <f t="shared" si="55"/>
        <v>860.79132321678003</v>
      </c>
      <c r="S83" s="59">
        <f ca="1">AVERAGE(OFFSET($R$3,0,0,'Données projet'!$E$9+1,1))-AVERAGE(OFFSET($H$3,0,0,'Données projet'!$E$9+1,1))</f>
        <v>244.71206779102869</v>
      </c>
      <c r="T83" s="59">
        <f t="shared" si="88"/>
        <v>248.77995374147798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11</v>
      </c>
      <c r="W83" s="16">
        <f>IF(ISNA(VLOOKUP(A83,'Données projet'!$A$35:$I$55,5,0)),0%,VLOOKUP(A83,'Données projet'!$A$35:$I$55,5,0)*VLOOKUP('Données projet'!$B$9,Paramètres!$A$1:$I$89,7,0))</f>
        <v>0.42400000000000004</v>
      </c>
      <c r="X83" s="16">
        <f>IF(ISNA(VLOOKUP(A83,'Données projet'!$A$35:$I$55,6,0)),0%,VLOOKUP(A83,'Données projet'!$A$35:$I$55,6,0)*VLOOKUP('Données projet'!$B$9,Paramètres!$A$1:$I$89,7,0))</f>
        <v>2.12E-2</v>
      </c>
      <c r="Y83" s="16">
        <f>IF(ISNA(VLOOKUP(A83,'Données projet'!$A$35:$I$55,7,0)),0%,VLOOKUP(A83,'Données projet'!$A$35:$I$55,7,0))</f>
        <v>0.06</v>
      </c>
      <c r="Z83" s="21">
        <f>EXP(-LN(2)/35)*Z82+(1-EXP(-LN(2)/35))/(LN(2)/35)*V83*W83*VLOOKUP('Données projet'!$B$9,Paramètres!$A$1:$I$89,3,0)*0.475*44/12</f>
        <v>37.722088159430839</v>
      </c>
      <c r="AA83" s="21">
        <f>EXP(-LN(2)/25)*AA82+(1-EXP(-LN(2)/25))/(LN(2)/25)*Calculateur!V83*Calculateur!X83*VLOOKUP('Données projet'!$B$9,Paramètres!$A$1:$I$89,3,0)*0.475*44/12</f>
        <v>3.4498412201951925</v>
      </c>
      <c r="AB83" s="21">
        <f>EXP(-LN(2)/2)*AB82+(1-EXP(-LN(2)/2))/(LN(2)/2)*V83*Y83*VLOOKUP('Données projet'!$B$9,Paramètres!$A$1:$I$89,3,0)*0.475*44/12</f>
        <v>0.61329488748242755</v>
      </c>
      <c r="AC83" s="22">
        <f t="shared" si="57"/>
        <v>41.785224267108454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312.17948717948718</v>
      </c>
      <c r="AG83" s="12">
        <f>VLOOKUP(A83,'Données projet'!$A$61:$I$81,9,0)</f>
        <v>6.3948717948718015</v>
      </c>
      <c r="AH83" s="12">
        <f t="array" ref="AH83">INDEX(AG:AG,MIN(IF(ISNUMBER(AG83:AG279),ROW(AG83:AG279),"")))</f>
        <v>6.3948717948718015</v>
      </c>
      <c r="AI83" s="13">
        <f>IF('Données projet'!$A$62&gt;35,AI82+AH83-AQ82,IF(A83&lt;'Données projet'!$A$62,$AF$205^A83,IF(A83='Données projet'!$A$62,'Données projet'!$B$62,AI82+AH83-AQ82)))</f>
        <v>312.17948717948696</v>
      </c>
      <c r="AJ83" s="13">
        <f>AI83*VLOOKUP('Données projet'!$B$10,Paramètres!$A$1:$I$89,3,0)*VLOOKUP('Données projet'!$B$10,Paramètres!$A$1:$I$89,5,0)</f>
        <v>209.40999999999985</v>
      </c>
      <c r="AK83" s="13">
        <f t="shared" si="89"/>
        <v>51.806634750171533</v>
      </c>
      <c r="AL83" s="20">
        <f t="shared" si="58"/>
        <v>454.95230552321522</v>
      </c>
      <c r="AM83" s="59">
        <f t="shared" si="59"/>
        <v>748.28563885654853</v>
      </c>
      <c r="AN83" s="59">
        <f ca="1">AVERAGE(OFFSET($AM$3,0,0,'Données projet'!$E$10+1,1))-AVERAGE(OFFSET($H$3,0,0,'Données projet'!$E$10+1,1))</f>
        <v>177.71717275462748</v>
      </c>
      <c r="AO83" s="59">
        <f t="shared" si="90"/>
        <v>183.73714278300957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22</v>
      </c>
      <c r="AR83" s="16">
        <f>IF(ISNA(VLOOKUP(A83,'Données projet'!$A$61:$I$81,5,0)),0%,VLOOKUP(A83,'Données projet'!$A$61:$I$81,5,0)*VLOOKUP('Données projet'!$B$10,Paramètres!$A$1:$I$89,7,0))</f>
        <v>0.42400000000000004</v>
      </c>
      <c r="AS83" s="16">
        <f>IF(ISNA(VLOOKUP(A83,'Données projet'!$A$61:$I$81,6,0)),0%,VLOOKUP(A83,'Données projet'!$A$61:$I$81,6,0)*VLOOKUP('Données projet'!$B$10,Paramètres!$A$1:$I$89,7,0))</f>
        <v>2.12E-2</v>
      </c>
      <c r="AT83" s="16">
        <f>IF(ISNA(VLOOKUP(A83,'Données projet'!$A$61:$I$81,7,0)),0%,VLOOKUP(A83,'Données projet'!$A$61:$I$81,7,0))</f>
        <v>0.06</v>
      </c>
      <c r="AU83" s="21">
        <f>EXP(-LN(2)/35)*AU82+(1-EXP(-LN(2)/35))/(LN(2)/35)*AQ83*AR83*VLOOKUP('Données projet'!$B$10,Paramètres!$A$1:$I$89,3,0)*0.475*44/12</f>
        <v>53.75680782678922</v>
      </c>
      <c r="AV83" s="21">
        <f>EXP(-LN(2)/25)*AV82+(1-EXP(-LN(2)/25))/(LN(2)/25)*Calculateur!AQ83*Calculateur!AS83*VLOOKUP('Données projet'!$B$10,Paramètres!$A$1:$I$89,3,0)*0.475*44/12</f>
        <v>3.4762921229296957</v>
      </c>
      <c r="AW83" s="21">
        <f>EXP(-LN(2)/2)*AW82+(1-EXP(-LN(2)/2))/(LN(2)/2)*AQ83*AT83*VLOOKUP('Données projet'!$B$10,Paramètres!$A$1:$I$89,3,0)*0.475*44/12</f>
        <v>1.024802862460392</v>
      </c>
      <c r="AX83" s="21">
        <f t="shared" si="60"/>
        <v>58.25790281217931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-1.7053025658242404E-13</v>
      </c>
      <c r="BE83" s="13">
        <f>BD83*VLOOKUP('Données projet'!$B$11,Paramètres!$A$1:$I$89,3,0)*VLOOKUP('Données projet'!$B$11,Paramètres!$A$1:$I$89,5,0)</f>
        <v>-1.383341441396624E-13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325.66150195494157</v>
      </c>
      <c r="BJ83" s="59">
        <f t="shared" si="92"/>
        <v>429.07526815514467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77.296166194103691</v>
      </c>
      <c r="BQ83" s="21">
        <f>EXP(-LN(2)/25)*BQ82+(1-EXP(-LN(2)/25))/(LN(2)/25)*Calculateur!BL83*Calculateur!BN83*VLOOKUP('Données projet'!$B$11,Paramètres!$A$1:$I$89,3,0)*0.475*44/12</f>
        <v>4.0470917711578425</v>
      </c>
      <c r="BR83" s="21">
        <f>EXP(-LN(2)/2)*BR82+(1-EXP(-LN(2)/2))/(LN(2)/2)*BL83*BO83*VLOOKUP('Données projet'!$B$11,Paramètres!$A$1:$I$89,3,0)*0.475*44/12</f>
        <v>6.8812136584313116E-4</v>
      </c>
      <c r="BS83" s="22">
        <f t="shared" si="63"/>
        <v>81.343946086627369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7">
        <f t="shared" si="56"/>
        <v>451.1702559713458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319</v>
      </c>
      <c r="O84" s="13">
        <f>N84*VLOOKUP('Données projet'!$B$9,Paramètres!$A$1:$I$89,3,0)*VLOOKUP('Données projet'!$B$9,Paramètres!$A$1:$I$89,5,0)</f>
        <v>253.79640000000001</v>
      </c>
      <c r="P84" s="13">
        <f t="shared" si="87"/>
        <v>61.39816832228076</v>
      </c>
      <c r="Q84" s="20">
        <f t="shared" si="54"/>
        <v>548.96387316130563</v>
      </c>
      <c r="R84" s="59">
        <f t="shared" si="55"/>
        <v>842.29720649463889</v>
      </c>
      <c r="S84" s="59">
        <f ca="1">AVERAGE(OFFSET($R$3,0,0,'Données projet'!$E$9+1,1))-AVERAGE(OFFSET($H$3,0,0,'Données projet'!$E$9+1,1))</f>
        <v>244.71206779102869</v>
      </c>
      <c r="T84" s="59">
        <f t="shared" si="88"/>
        <v>248.77995374147798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36.98238101882631</v>
      </c>
      <c r="AA84" s="21">
        <f>EXP(-LN(2)/25)*AA83+(1-EXP(-LN(2)/25))/(LN(2)/25)*Calculateur!V84*Calculateur!X84*VLOOKUP('Données projet'!$B$9,Paramètres!$A$1:$I$89,3,0)*0.475*44/12</f>
        <v>3.3555051306096897</v>
      </c>
      <c r="AB84" s="21">
        <f>EXP(-LN(2)/2)*AB83+(1-EXP(-LN(2)/2))/(LN(2)/2)*V84*Y84*VLOOKUP('Données projet'!$B$9,Paramètres!$A$1:$I$89,3,0)*0.475*44/12</f>
        <v>0.43366497380586522</v>
      </c>
      <c r="AC84" s="22">
        <f t="shared" si="57"/>
        <v>40.771551123241871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290.17948717948696</v>
      </c>
      <c r="AJ84" s="13">
        <f>AI84*VLOOKUP('Données projet'!$B$10,Paramètres!$A$1:$I$89,3,0)*VLOOKUP('Données projet'!$B$10,Paramètres!$A$1:$I$89,5,0)</f>
        <v>194.65239999999986</v>
      </c>
      <c r="AK84" s="13">
        <f t="shared" si="89"/>
        <v>48.567079789480402</v>
      </c>
      <c r="AL84" s="20">
        <f t="shared" si="58"/>
        <v>423.60726063334477</v>
      </c>
      <c r="AM84" s="59">
        <f t="shared" si="59"/>
        <v>716.94059396667808</v>
      </c>
      <c r="AN84" s="59">
        <f ca="1">AVERAGE(OFFSET($AM$3,0,0,'Données projet'!$E$10+1,1))-AVERAGE(OFFSET($H$3,0,0,'Données projet'!$E$10+1,1))</f>
        <v>177.71717275462748</v>
      </c>
      <c r="AO84" s="59">
        <f t="shared" si="90"/>
        <v>183.73714278300957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52.702669613721071</v>
      </c>
      <c r="AV84" s="21">
        <f>EXP(-LN(2)/25)*AV83+(1-EXP(-LN(2)/25))/(LN(2)/25)*Calculateur!AQ84*Calculateur!AS84*VLOOKUP('Données projet'!$B$10,Paramètres!$A$1:$I$89,3,0)*0.475*44/12</f>
        <v>3.3812327320179256</v>
      </c>
      <c r="AW84" s="21">
        <f>EXP(-LN(2)/2)*AW83+(1-EXP(-LN(2)/2))/(LN(2)/2)*AQ84*AT84*VLOOKUP('Données projet'!$B$10,Paramètres!$A$1:$I$89,3,0)*0.475*44/12</f>
        <v>0.72464505342512797</v>
      </c>
      <c r="AX84" s="21">
        <f t="shared" si="60"/>
        <v>56.808547399164127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-1.383341441396624E-13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325.66150195494157</v>
      </c>
      <c r="BJ84" s="59">
        <f t="shared" si="92"/>
        <v>429.07526815514467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75.780435521043415</v>
      </c>
      <c r="BQ84" s="21">
        <f>EXP(-LN(2)/25)*BQ83+(1-EXP(-LN(2)/25))/(LN(2)/25)*Calculateur!BL84*Calculateur!BN84*VLOOKUP('Données projet'!$B$11,Paramètres!$A$1:$I$89,3,0)*0.475*44/12</f>
        <v>3.9364238338482247</v>
      </c>
      <c r="BR84" s="21">
        <f>EXP(-LN(2)/2)*BR83+(1-EXP(-LN(2)/2))/(LN(2)/2)*BL84*BO84*VLOOKUP('Données projet'!$B$11,Paramètres!$A$1:$I$89,3,0)*0.475*44/12</f>
        <v>4.8657528406702722E-4</v>
      </c>
      <c r="BS84" s="22">
        <f t="shared" si="63"/>
        <v>79.717345930175711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7">
        <f t="shared" si="56"/>
        <v>453.06887746818882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319</v>
      </c>
      <c r="O85" s="13">
        <f>N85*VLOOKUP('Données projet'!$B$9,Paramètres!$A$1:$I$89,3,0)*VLOOKUP('Données projet'!$B$9,Paramètres!$A$1:$I$89,5,0)</f>
        <v>253.79640000000001</v>
      </c>
      <c r="P85" s="13">
        <f t="shared" si="87"/>
        <v>61.39816832228076</v>
      </c>
      <c r="Q85" s="20">
        <f t="shared" si="54"/>
        <v>548.96387316130563</v>
      </c>
      <c r="R85" s="59">
        <f t="shared" si="55"/>
        <v>842.29720649463889</v>
      </c>
      <c r="S85" s="59">
        <f ca="1">AVERAGE(OFFSET($R$3,0,0,'Données projet'!$E$9+1,1))-AVERAGE(OFFSET($H$3,0,0,'Données projet'!$E$9+1,1))</f>
        <v>244.71206779102869</v>
      </c>
      <c r="T85" s="59">
        <f t="shared" si="88"/>
        <v>248.77995374147798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36.257179084072227</v>
      </c>
      <c r="AA85" s="21">
        <f>EXP(-LN(2)/25)*AA84+(1-EXP(-LN(2)/25))/(LN(2)/25)*Calculateur!V85*Calculateur!X85*VLOOKUP('Données projet'!$B$9,Paramètres!$A$1:$I$89,3,0)*0.475*44/12</f>
        <v>3.2637486663548221</v>
      </c>
      <c r="AB85" s="21">
        <f>EXP(-LN(2)/2)*AB84+(1-EXP(-LN(2)/2))/(LN(2)/2)*V85*Y85*VLOOKUP('Données projet'!$B$9,Paramètres!$A$1:$I$89,3,0)*0.475*44/12</f>
        <v>0.30664744374121383</v>
      </c>
      <c r="AC85" s="22">
        <f t="shared" si="57"/>
        <v>39.827575194168261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290.17948717948696</v>
      </c>
      <c r="AJ85" s="13">
        <f>AI85*VLOOKUP('Données projet'!$B$10,Paramètres!$A$1:$I$89,3,0)*VLOOKUP('Données projet'!$B$10,Paramètres!$A$1:$I$89,5,0)</f>
        <v>194.65239999999986</v>
      </c>
      <c r="AK85" s="13">
        <f t="shared" si="89"/>
        <v>48.567079789480402</v>
      </c>
      <c r="AL85" s="20">
        <f t="shared" si="58"/>
        <v>423.60726063334477</v>
      </c>
      <c r="AM85" s="59">
        <f t="shared" si="59"/>
        <v>716.94059396667808</v>
      </c>
      <c r="AN85" s="59">
        <f ca="1">AVERAGE(OFFSET($AM$3,0,0,'Données projet'!$E$10+1,1))-AVERAGE(OFFSET($H$3,0,0,'Données projet'!$E$10+1,1))</f>
        <v>177.71717275462748</v>
      </c>
      <c r="AO85" s="59">
        <f t="shared" si="90"/>
        <v>183.73714278300957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51.669202408050367</v>
      </c>
      <c r="AV85" s="21">
        <f>EXP(-LN(2)/25)*AV84+(1-EXP(-LN(2)/25))/(LN(2)/25)*Calculateur!AQ85*Calculateur!AS85*VLOOKUP('Données projet'!$B$10,Paramètres!$A$1:$I$89,3,0)*0.475*44/12</f>
        <v>3.2887727451495938</v>
      </c>
      <c r="AW85" s="21">
        <f>EXP(-LN(2)/2)*AW84+(1-EXP(-LN(2)/2))/(LN(2)/2)*AQ85*AT85*VLOOKUP('Données projet'!$B$10,Paramètres!$A$1:$I$89,3,0)*0.475*44/12</f>
        <v>0.51240143123019599</v>
      </c>
      <c r="AX85" s="21">
        <f t="shared" si="60"/>
        <v>55.470376584430156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-1.383341441396624E-13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325.66150195494157</v>
      </c>
      <c r="BJ85" s="59">
        <f t="shared" si="92"/>
        <v>429.07526815514467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74.29442740197743</v>
      </c>
      <c r="BQ85" s="21">
        <f>EXP(-LN(2)/25)*BQ84+(1-EXP(-LN(2)/25))/(LN(2)/25)*Calculateur!BL85*Calculateur!BN85*VLOOKUP('Données projet'!$B$11,Paramètres!$A$1:$I$89,3,0)*0.475*44/12</f>
        <v>3.8287821171041125</v>
      </c>
      <c r="BR85" s="21">
        <f>EXP(-LN(2)/2)*BR84+(1-EXP(-LN(2)/2))/(LN(2)/2)*BL85*BO85*VLOOKUP('Données projet'!$B$11,Paramètres!$A$1:$I$89,3,0)*0.475*44/12</f>
        <v>3.4406068292156563E-4</v>
      </c>
      <c r="BS85" s="22">
        <f t="shared" si="63"/>
        <v>78.123553579764462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7">
        <f t="shared" si="56"/>
        <v>454.96696403058957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319</v>
      </c>
      <c r="O86" s="13">
        <f>N86*VLOOKUP('Données projet'!$B$9,Paramètres!$A$1:$I$89,3,0)*VLOOKUP('Données projet'!$B$9,Paramètres!$A$1:$I$89,5,0)</f>
        <v>253.79640000000001</v>
      </c>
      <c r="P86" s="13">
        <f t="shared" si="87"/>
        <v>61.39816832228076</v>
      </c>
      <c r="Q86" s="20">
        <f t="shared" si="54"/>
        <v>548.96387316130563</v>
      </c>
      <c r="R86" s="59">
        <f t="shared" si="55"/>
        <v>842.29720649463889</v>
      </c>
      <c r="S86" s="59">
        <f ca="1">AVERAGE(OFFSET($R$3,0,0,'Données projet'!$E$9+1,1))-AVERAGE(OFFSET($H$3,0,0,'Données projet'!$E$9+1,1))</f>
        <v>244.71206779102869</v>
      </c>
      <c r="T86" s="59">
        <f t="shared" si="88"/>
        <v>248.77995374147798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35.546197916929167</v>
      </c>
      <c r="AA86" s="21">
        <f>EXP(-LN(2)/25)*AA85+(1-EXP(-LN(2)/25))/(LN(2)/25)*Calculateur!V86*Calculateur!X86*VLOOKUP('Données projet'!$B$9,Paramètres!$A$1:$I$89,3,0)*0.475*44/12</f>
        <v>3.1745012874402665</v>
      </c>
      <c r="AB86" s="21">
        <f>EXP(-LN(2)/2)*AB85+(1-EXP(-LN(2)/2))/(LN(2)/2)*V86*Y86*VLOOKUP('Données projet'!$B$9,Paramètres!$A$1:$I$89,3,0)*0.475*44/12</f>
        <v>0.21683248690293264</v>
      </c>
      <c r="AC86" s="22">
        <f t="shared" si="57"/>
        <v>38.937531691272362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290.17948717948696</v>
      </c>
      <c r="AJ86" s="13">
        <f>AI86*VLOOKUP('Données projet'!$B$10,Paramètres!$A$1:$I$89,3,0)*VLOOKUP('Données projet'!$B$10,Paramètres!$A$1:$I$89,5,0)</f>
        <v>194.65239999999986</v>
      </c>
      <c r="AK86" s="13">
        <f t="shared" si="89"/>
        <v>48.567079789480402</v>
      </c>
      <c r="AL86" s="20">
        <f t="shared" si="58"/>
        <v>423.60726063334477</v>
      </c>
      <c r="AM86" s="59">
        <f t="shared" si="59"/>
        <v>716.94059396667808</v>
      </c>
      <c r="AN86" s="59">
        <f ca="1">AVERAGE(OFFSET($AM$3,0,0,'Données projet'!$E$10+1,1))-AVERAGE(OFFSET($H$3,0,0,'Données projet'!$E$10+1,1))</f>
        <v>177.71717275462748</v>
      </c>
      <c r="AO86" s="59">
        <f t="shared" si="90"/>
        <v>183.73714278300957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50.65600086393011</v>
      </c>
      <c r="AV86" s="21">
        <f>EXP(-LN(2)/25)*AV85+(1-EXP(-LN(2)/25))/(LN(2)/25)*Calculateur!AQ86*Calculateur!AS86*VLOOKUP('Données projet'!$B$10,Paramètres!$A$1:$I$89,3,0)*0.475*44/12</f>
        <v>3.1988410814844359</v>
      </c>
      <c r="AW86" s="21">
        <f>EXP(-LN(2)/2)*AW85+(1-EXP(-LN(2)/2))/(LN(2)/2)*AQ86*AT86*VLOOKUP('Données projet'!$B$10,Paramètres!$A$1:$I$89,3,0)*0.475*44/12</f>
        <v>0.36232252671256399</v>
      </c>
      <c r="AX86" s="21">
        <f t="shared" si="60"/>
        <v>54.217164472127109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-1.383341441396624E-13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325.66150195494157</v>
      </c>
      <c r="BJ86" s="59">
        <f t="shared" si="92"/>
        <v>429.07526815514467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72.837558995750868</v>
      </c>
      <c r="BQ86" s="21">
        <f>EXP(-LN(2)/25)*BQ85+(1-EXP(-LN(2)/25))/(LN(2)/25)*Calculateur!BL86*Calculateur!BN86*VLOOKUP('Données projet'!$B$11,Paramètres!$A$1:$I$89,3,0)*0.475*44/12</f>
        <v>3.7240838687649997</v>
      </c>
      <c r="BR86" s="21">
        <f>EXP(-LN(2)/2)*BR85+(1-EXP(-LN(2)/2))/(LN(2)/2)*BL86*BO86*VLOOKUP('Données projet'!$B$11,Paramètres!$A$1:$I$89,3,0)*0.475*44/12</f>
        <v>2.4328764203351364E-4</v>
      </c>
      <c r="BS86" s="22">
        <f t="shared" si="63"/>
        <v>76.561886152157911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7">
        <f t="shared" si="56"/>
        <v>456.86452284904533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319</v>
      </c>
      <c r="O87" s="13">
        <f>N87*VLOOKUP('Données projet'!$B$9,Paramètres!$A$1:$I$89,3,0)*VLOOKUP('Données projet'!$B$9,Paramètres!$A$1:$I$89,5,0)</f>
        <v>253.79640000000001</v>
      </c>
      <c r="P87" s="13">
        <f t="shared" si="87"/>
        <v>61.39816832228076</v>
      </c>
      <c r="Q87" s="20">
        <f t="shared" si="54"/>
        <v>548.96387316130563</v>
      </c>
      <c r="R87" s="59">
        <f t="shared" si="55"/>
        <v>842.29720649463889</v>
      </c>
      <c r="S87" s="59">
        <f ca="1">AVERAGE(OFFSET($R$3,0,0,'Données projet'!$E$9+1,1))-AVERAGE(OFFSET($H$3,0,0,'Données projet'!$E$9+1,1))</f>
        <v>244.71206779102869</v>
      </c>
      <c r="T87" s="59">
        <f t="shared" si="88"/>
        <v>248.77995374147798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34.849158656818091</v>
      </c>
      <c r="AA87" s="21">
        <f>EXP(-LN(2)/25)*AA86+(1-EXP(-LN(2)/25))/(LN(2)/25)*Calculateur!V87*Calculateur!X87*VLOOKUP('Données projet'!$B$9,Paramètres!$A$1:$I$89,3,0)*0.475*44/12</f>
        <v>3.0876943827954451</v>
      </c>
      <c r="AB87" s="21">
        <f>EXP(-LN(2)/2)*AB86+(1-EXP(-LN(2)/2))/(LN(2)/2)*V87*Y87*VLOOKUP('Données projet'!$B$9,Paramètres!$A$1:$I$89,3,0)*0.475*44/12</f>
        <v>0.15332372187060694</v>
      </c>
      <c r="AC87" s="22">
        <f t="shared" si="57"/>
        <v>38.090176761484145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290.17948717948696</v>
      </c>
      <c r="AJ87" s="13">
        <f>AI87*VLOOKUP('Données projet'!$B$10,Paramètres!$A$1:$I$89,3,0)*VLOOKUP('Données projet'!$B$10,Paramètres!$A$1:$I$89,5,0)</f>
        <v>194.65239999999986</v>
      </c>
      <c r="AK87" s="13">
        <f t="shared" si="89"/>
        <v>48.567079789480402</v>
      </c>
      <c r="AL87" s="20">
        <f t="shared" si="58"/>
        <v>423.60726063334477</v>
      </c>
      <c r="AM87" s="59">
        <f t="shared" si="59"/>
        <v>716.94059396667808</v>
      </c>
      <c r="AN87" s="59">
        <f ca="1">AVERAGE(OFFSET($AM$3,0,0,'Données projet'!$E$10+1,1))-AVERAGE(OFFSET($H$3,0,0,'Données projet'!$E$10+1,1))</f>
        <v>177.71717275462748</v>
      </c>
      <c r="AO87" s="59">
        <f t="shared" si="90"/>
        <v>183.73714278300957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49.662667584098131</v>
      </c>
      <c r="AV87" s="21">
        <f>EXP(-LN(2)/25)*AV86+(1-EXP(-LN(2)/25))/(LN(2)/25)*Calculateur!AQ87*Calculateur!AS87*VLOOKUP('Données projet'!$B$10,Paramètres!$A$1:$I$89,3,0)*0.475*44/12</f>
        <v>3.1113686038915027</v>
      </c>
      <c r="AW87" s="21">
        <f>EXP(-LN(2)/2)*AW86+(1-EXP(-LN(2)/2))/(LN(2)/2)*AQ87*AT87*VLOOKUP('Données projet'!$B$10,Paramètres!$A$1:$I$89,3,0)*0.475*44/12</f>
        <v>0.256200715615098</v>
      </c>
      <c r="AX87" s="21">
        <f t="shared" si="60"/>
        <v>53.030236903604738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-1.383341441396624E-13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325.66150195494157</v>
      </c>
      <c r="BJ87" s="59">
        <f t="shared" si="92"/>
        <v>429.07526815514467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71.40925889036842</v>
      </c>
      <c r="BQ87" s="21">
        <f>EXP(-LN(2)/25)*BQ86+(1-EXP(-LN(2)/25))/(LN(2)/25)*Calculateur!BL87*Calculateur!BN87*VLOOKUP('Données projet'!$B$11,Paramètres!$A$1:$I$89,3,0)*0.475*44/12</f>
        <v>3.6222485995325617</v>
      </c>
      <c r="BR87" s="21">
        <f>EXP(-LN(2)/2)*BR86+(1-EXP(-LN(2)/2))/(LN(2)/2)*BL87*BO87*VLOOKUP('Données projet'!$B$11,Paramètres!$A$1:$I$89,3,0)*0.475*44/12</f>
        <v>1.7203034146078284E-4</v>
      </c>
      <c r="BS87" s="22">
        <f t="shared" si="63"/>
        <v>75.031679520242449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7">
        <f t="shared" si="56"/>
        <v>458.76156093300006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319</v>
      </c>
      <c r="O88" s="13">
        <f>N88*VLOOKUP('Données projet'!$B$9,Paramètres!$A$1:$I$89,3,0)*VLOOKUP('Données projet'!$B$9,Paramètres!$A$1:$I$89,5,0)</f>
        <v>253.79640000000001</v>
      </c>
      <c r="P88" s="13">
        <f t="shared" si="87"/>
        <v>61.39816832228076</v>
      </c>
      <c r="Q88" s="20">
        <f t="shared" si="54"/>
        <v>548.96387316130563</v>
      </c>
      <c r="R88" s="59">
        <f t="shared" si="55"/>
        <v>842.29720649463889</v>
      </c>
      <c r="S88" s="59">
        <f ca="1">AVERAGE(OFFSET($R$3,0,0,'Données projet'!$E$9+1,1))-AVERAGE(OFFSET($H$3,0,0,'Données projet'!$E$9+1,1))</f>
        <v>244.71206779102869</v>
      </c>
      <c r="T88" s="59">
        <f t="shared" si="88"/>
        <v>248.77995374147798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34.165787911445825</v>
      </c>
      <c r="AA88" s="21">
        <f>EXP(-LN(2)/25)*AA87+(1-EXP(-LN(2)/25))/(LN(2)/25)*Calculateur!V88*Calculateur!X88*VLOOKUP('Données projet'!$B$9,Paramètres!$A$1:$I$89,3,0)*0.475*44/12</f>
        <v>3.003261217523113</v>
      </c>
      <c r="AB88" s="21">
        <f>EXP(-LN(2)/2)*AB87+(1-EXP(-LN(2)/2))/(LN(2)/2)*V88*Y88*VLOOKUP('Données projet'!$B$9,Paramètres!$A$1:$I$89,3,0)*0.475*44/12</f>
        <v>0.10841624345146635</v>
      </c>
      <c r="AC88" s="22">
        <f t="shared" si="57"/>
        <v>37.277465372420401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290.17948717948696</v>
      </c>
      <c r="AJ88" s="13">
        <f>AI88*VLOOKUP('Données projet'!$B$10,Paramètres!$A$1:$I$89,3,0)*VLOOKUP('Données projet'!$B$10,Paramètres!$A$1:$I$89,5,0)</f>
        <v>194.65239999999986</v>
      </c>
      <c r="AK88" s="13">
        <f t="shared" si="89"/>
        <v>48.567079789480402</v>
      </c>
      <c r="AL88" s="20">
        <f t="shared" si="58"/>
        <v>423.60726063334477</v>
      </c>
      <c r="AM88" s="59">
        <f t="shared" si="59"/>
        <v>716.94059396667808</v>
      </c>
      <c r="AN88" s="59">
        <f ca="1">AVERAGE(OFFSET($AM$3,0,0,'Données projet'!$E$10+1,1))-AVERAGE(OFFSET($H$3,0,0,'Données projet'!$E$10+1,1))</f>
        <v>177.71717275462748</v>
      </c>
      <c r="AO88" s="59">
        <f t="shared" si="90"/>
        <v>183.73714278300957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48.688812964010182</v>
      </c>
      <c r="AV88" s="21">
        <f>EXP(-LN(2)/25)*AV87+(1-EXP(-LN(2)/25))/(LN(2)/25)*Calculateur!AQ88*Calculateur!AS88*VLOOKUP('Données projet'!$B$10,Paramètres!$A$1:$I$89,3,0)*0.475*44/12</f>
        <v>3.026288065798326</v>
      </c>
      <c r="AW88" s="21">
        <f>EXP(-LN(2)/2)*AW87+(1-EXP(-LN(2)/2))/(LN(2)/2)*AQ88*AT88*VLOOKUP('Données projet'!$B$10,Paramètres!$A$1:$I$89,3,0)*0.475*44/12</f>
        <v>0.18116126335628199</v>
      </c>
      <c r="AX88" s="21">
        <f t="shared" si="60"/>
        <v>51.896262293164789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-1.383341441396624E-13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325.66150195494157</v>
      </c>
      <c r="BJ88" s="59">
        <f t="shared" si="92"/>
        <v>429.07526815514467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70.008966878875484</v>
      </c>
      <c r="BQ88" s="21">
        <f>EXP(-LN(2)/25)*BQ87+(1-EXP(-LN(2)/25))/(LN(2)/25)*Calculateur!BL88*Calculateur!BN88*VLOOKUP('Données projet'!$B$11,Paramètres!$A$1:$I$89,3,0)*0.475*44/12</f>
        <v>3.5231980210925689</v>
      </c>
      <c r="BR88" s="21">
        <f>EXP(-LN(2)/2)*BR87+(1-EXP(-LN(2)/2))/(LN(2)/2)*BL88*BO88*VLOOKUP('Données projet'!$B$11,Paramètres!$A$1:$I$89,3,0)*0.475*44/12</f>
        <v>1.2164382101675683E-4</v>
      </c>
      <c r="BS88" s="22">
        <f t="shared" si="63"/>
        <v>73.53228654378907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7">
        <f t="shared" si="56"/>
        <v>460.65808511747798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319</v>
      </c>
      <c r="O89" s="13">
        <f>N89*VLOOKUP('Données projet'!$B$9,Paramètres!$A$1:$I$89,3,0)*VLOOKUP('Données projet'!$B$9,Paramètres!$A$1:$I$89,5,0)</f>
        <v>253.79640000000001</v>
      </c>
      <c r="P89" s="13">
        <f t="shared" si="87"/>
        <v>61.39816832228076</v>
      </c>
      <c r="Q89" s="20">
        <f t="shared" si="54"/>
        <v>548.96387316130563</v>
      </c>
      <c r="R89" s="59">
        <f t="shared" si="55"/>
        <v>842.29720649463889</v>
      </c>
      <c r="S89" s="59">
        <f ca="1">AVERAGE(OFFSET($R$3,0,0,'Données projet'!$E$9+1,1))-AVERAGE(OFFSET($H$3,0,0,'Données projet'!$E$9+1,1))</f>
        <v>244.71206779102869</v>
      </c>
      <c r="T89" s="59">
        <f t="shared" si="88"/>
        <v>248.77995374147798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33.495817649575308</v>
      </c>
      <c r="AA89" s="21">
        <f>EXP(-LN(2)/25)*AA88+(1-EXP(-LN(2)/25))/(LN(2)/25)*Calculateur!V89*Calculateur!X89*VLOOKUP('Données projet'!$B$9,Paramètres!$A$1:$I$89,3,0)*0.475*44/12</f>
        <v>2.9211368815953</v>
      </c>
      <c r="AB89" s="21">
        <f>EXP(-LN(2)/2)*AB88+(1-EXP(-LN(2)/2))/(LN(2)/2)*V89*Y89*VLOOKUP('Données projet'!$B$9,Paramètres!$A$1:$I$89,3,0)*0.475*44/12</f>
        <v>7.6661860935303486E-2</v>
      </c>
      <c r="AC89" s="22">
        <f t="shared" si="57"/>
        <v>36.493616392105913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290.17948717948696</v>
      </c>
      <c r="AJ89" s="13">
        <f>AI89*VLOOKUP('Données projet'!$B$10,Paramètres!$A$1:$I$89,3,0)*VLOOKUP('Données projet'!$B$10,Paramètres!$A$1:$I$89,5,0)</f>
        <v>194.65239999999986</v>
      </c>
      <c r="AK89" s="13">
        <f t="shared" si="89"/>
        <v>48.567079789480402</v>
      </c>
      <c r="AL89" s="20">
        <f t="shared" si="58"/>
        <v>423.60726063334477</v>
      </c>
      <c r="AM89" s="59">
        <f t="shared" si="59"/>
        <v>716.94059396667808</v>
      </c>
      <c r="AN89" s="59">
        <f ca="1">AVERAGE(OFFSET($AM$3,0,0,'Données projet'!$E$10+1,1))-AVERAGE(OFFSET($H$3,0,0,'Données projet'!$E$10+1,1))</f>
        <v>177.71717275462748</v>
      </c>
      <c r="AO89" s="59">
        <f t="shared" si="90"/>
        <v>183.73714278300957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47.734055039029492</v>
      </c>
      <c r="AV89" s="21">
        <f>EXP(-LN(2)/25)*AV88+(1-EXP(-LN(2)/25))/(LN(2)/25)*Calculateur!AQ89*Calculateur!AS89*VLOOKUP('Données projet'!$B$10,Paramètres!$A$1:$I$89,3,0)*0.475*44/12</f>
        <v>2.9435340594934982</v>
      </c>
      <c r="AW89" s="21">
        <f>EXP(-LN(2)/2)*AW88+(1-EXP(-LN(2)/2))/(LN(2)/2)*AQ89*AT89*VLOOKUP('Données projet'!$B$10,Paramètres!$A$1:$I$89,3,0)*0.475*44/12</f>
        <v>0.128100357807549</v>
      </c>
      <c r="AX89" s="21">
        <f t="shared" si="60"/>
        <v>50.805689456330541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-1.383341441396624E-13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325.66150195494157</v>
      </c>
      <c r="BJ89" s="59">
        <f t="shared" si="92"/>
        <v>429.07526815514467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68.636133739634133</v>
      </c>
      <c r="BQ89" s="21">
        <f>EXP(-LN(2)/25)*BQ88+(1-EXP(-LN(2)/25))/(LN(2)/25)*Calculateur!BL89*Calculateur!BN89*VLOOKUP('Données projet'!$B$11,Paramètres!$A$1:$I$89,3,0)*0.475*44/12</f>
        <v>3.426855985928861</v>
      </c>
      <c r="BR89" s="21">
        <f>EXP(-LN(2)/2)*BR88+(1-EXP(-LN(2)/2))/(LN(2)/2)*BL89*BO89*VLOOKUP('Données projet'!$B$11,Paramètres!$A$1:$I$89,3,0)*0.475*44/12</f>
        <v>8.6015170730391436E-5</v>
      </c>
      <c r="BS89" s="22">
        <f t="shared" si="63"/>
        <v>72.063075740733737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7">
        <f t="shared" si="56"/>
        <v>462.55410206940087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319</v>
      </c>
      <c r="O90" s="13">
        <f>N90*VLOOKUP('Données projet'!$B$9,Paramètres!$A$1:$I$89,3,0)*VLOOKUP('Données projet'!$B$9,Paramètres!$A$1:$I$89,5,0)</f>
        <v>253.79640000000001</v>
      </c>
      <c r="P90" s="13">
        <f t="shared" si="87"/>
        <v>61.39816832228076</v>
      </c>
      <c r="Q90" s="20">
        <f t="shared" si="54"/>
        <v>548.96387316130563</v>
      </c>
      <c r="R90" s="59">
        <f t="shared" si="55"/>
        <v>842.29720649463889</v>
      </c>
      <c r="S90" s="59">
        <f ca="1">AVERAGE(OFFSET($R$3,0,0,'Données projet'!$E$9+1,1))-AVERAGE(OFFSET($H$3,0,0,'Données projet'!$E$9+1,1))</f>
        <v>244.71206779102869</v>
      </c>
      <c r="T90" s="59">
        <f t="shared" si="88"/>
        <v>248.77995374147798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32.838985095898565</v>
      </c>
      <c r="AA90" s="21">
        <f>EXP(-LN(2)/25)*AA89+(1-EXP(-LN(2)/25))/(LN(2)/25)*Calculateur!V90*Calculateur!X90*VLOOKUP('Données projet'!$B$9,Paramètres!$A$1:$I$89,3,0)*0.475*44/12</f>
        <v>2.8412582399521642</v>
      </c>
      <c r="AB90" s="21">
        <f>EXP(-LN(2)/2)*AB89+(1-EXP(-LN(2)/2))/(LN(2)/2)*V90*Y90*VLOOKUP('Données projet'!$B$9,Paramètres!$A$1:$I$89,3,0)*0.475*44/12</f>
        <v>5.420812172573318E-2</v>
      </c>
      <c r="AC90" s="22">
        <f t="shared" si="57"/>
        <v>35.734451457576462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290.17948717948696</v>
      </c>
      <c r="AJ90" s="13">
        <f>AI90*VLOOKUP('Données projet'!$B$10,Paramètres!$A$1:$I$89,3,0)*VLOOKUP('Données projet'!$B$10,Paramètres!$A$1:$I$89,5,0)</f>
        <v>194.65239999999986</v>
      </c>
      <c r="AK90" s="13">
        <f t="shared" si="89"/>
        <v>48.567079789480402</v>
      </c>
      <c r="AL90" s="20">
        <f t="shared" si="58"/>
        <v>423.60726063334477</v>
      </c>
      <c r="AM90" s="59">
        <f t="shared" si="59"/>
        <v>716.94059396667808</v>
      </c>
      <c r="AN90" s="59">
        <f ca="1">AVERAGE(OFFSET($AM$3,0,0,'Données projet'!$E$10+1,1))-AVERAGE(OFFSET($H$3,0,0,'Données projet'!$E$10+1,1))</f>
        <v>177.71717275462748</v>
      </c>
      <c r="AO90" s="59">
        <f t="shared" si="90"/>
        <v>183.73714278300957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46.798019334612839</v>
      </c>
      <c r="AV90" s="21">
        <f>EXP(-LN(2)/25)*AV89+(1-EXP(-LN(2)/25))/(LN(2)/25)*Calculateur!AQ90*Calculateur!AS90*VLOOKUP('Données projet'!$B$10,Paramètres!$A$1:$I$89,3,0)*0.475*44/12</f>
        <v>2.86304296584292</v>
      </c>
      <c r="AW90" s="21">
        <f>EXP(-LN(2)/2)*AW89+(1-EXP(-LN(2)/2))/(LN(2)/2)*AQ90*AT90*VLOOKUP('Données projet'!$B$10,Paramètres!$A$1:$I$89,3,0)*0.475*44/12</f>
        <v>9.0580631678140996E-2</v>
      </c>
      <c r="AX90" s="21">
        <f t="shared" si="60"/>
        <v>49.751642932133905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-1.383341441396624E-13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325.66150195494157</v>
      </c>
      <c r="BJ90" s="59">
        <f t="shared" si="92"/>
        <v>429.07526815514467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67.290221020907765</v>
      </c>
      <c r="BQ90" s="21">
        <f>EXP(-LN(2)/25)*BQ89+(1-EXP(-LN(2)/25))/(LN(2)/25)*Calculateur!BL90*Calculateur!BN90*VLOOKUP('Données projet'!$B$11,Paramètres!$A$1:$I$89,3,0)*0.475*44/12</f>
        <v>3.3331484287831121</v>
      </c>
      <c r="BR90" s="21">
        <f>EXP(-LN(2)/2)*BR89+(1-EXP(-LN(2)/2))/(LN(2)/2)*BL90*BO90*VLOOKUP('Données projet'!$B$11,Paramètres!$A$1:$I$89,3,0)*0.475*44/12</f>
        <v>6.082191050837843E-5</v>
      </c>
      <c r="BS90" s="22">
        <f t="shared" si="63"/>
        <v>70.623430271601393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7">
        <f t="shared" si="56"/>
        <v>464.44961829360585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319</v>
      </c>
      <c r="O91" s="13">
        <f>N91*VLOOKUP('Données projet'!$B$9,Paramètres!$A$1:$I$89,3,0)*VLOOKUP('Données projet'!$B$9,Paramètres!$A$1:$I$89,5,0)</f>
        <v>253.79640000000001</v>
      </c>
      <c r="P91" s="13">
        <f t="shared" si="87"/>
        <v>61.39816832228076</v>
      </c>
      <c r="Q91" s="20">
        <f t="shared" si="54"/>
        <v>548.96387316130563</v>
      </c>
      <c r="R91" s="59">
        <f t="shared" si="55"/>
        <v>842.29720649463889</v>
      </c>
      <c r="S91" s="59">
        <f ca="1">AVERAGE(OFFSET($R$3,0,0,'Données projet'!$E$9+1,1))-AVERAGE(OFFSET($H$3,0,0,'Données projet'!$E$9+1,1))</f>
        <v>244.71206779102869</v>
      </c>
      <c r="T91" s="59">
        <f t="shared" si="88"/>
        <v>248.77995374147798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32.195032627971123</v>
      </c>
      <c r="AA91" s="21">
        <f>EXP(-LN(2)/25)*AA90+(1-EXP(-LN(2)/25))/(LN(2)/25)*Calculateur!V91*Calculateur!X91*VLOOKUP('Données projet'!$B$9,Paramètres!$A$1:$I$89,3,0)*0.475*44/12</f>
        <v>2.7635638839653951</v>
      </c>
      <c r="AB91" s="21">
        <f>EXP(-LN(2)/2)*AB90+(1-EXP(-LN(2)/2))/(LN(2)/2)*V91*Y91*VLOOKUP('Données projet'!$B$9,Paramètres!$A$1:$I$89,3,0)*0.475*44/12</f>
        <v>3.833093046765175E-2</v>
      </c>
      <c r="AC91" s="22">
        <f t="shared" si="57"/>
        <v>34.996927442404171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290.17948717948696</v>
      </c>
      <c r="AJ91" s="13">
        <f>AI91*VLOOKUP('Données projet'!$B$10,Paramètres!$A$1:$I$89,3,0)*VLOOKUP('Données projet'!$B$10,Paramètres!$A$1:$I$89,5,0)</f>
        <v>194.65239999999986</v>
      </c>
      <c r="AK91" s="13">
        <f t="shared" si="89"/>
        <v>48.567079789480402</v>
      </c>
      <c r="AL91" s="20">
        <f t="shared" si="58"/>
        <v>423.60726063334477</v>
      </c>
      <c r="AM91" s="59">
        <f t="shared" si="59"/>
        <v>716.94059396667808</v>
      </c>
      <c r="AN91" s="59">
        <f ca="1">AVERAGE(OFFSET($AM$3,0,0,'Données projet'!$E$10+1,1))-AVERAGE(OFFSET($H$3,0,0,'Données projet'!$E$10+1,1))</f>
        <v>177.71717275462748</v>
      </c>
      <c r="AO91" s="59">
        <f t="shared" si="90"/>
        <v>183.73714278300957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45.880338719434391</v>
      </c>
      <c r="AV91" s="21">
        <f>EXP(-LN(2)/25)*AV90+(1-EXP(-LN(2)/25))/(LN(2)/25)*Calculateur!AQ91*Calculateur!AS91*VLOOKUP('Données projet'!$B$10,Paramètres!$A$1:$I$89,3,0)*0.475*44/12</f>
        <v>2.7847529053810591</v>
      </c>
      <c r="AW91" s="21">
        <f>EXP(-LN(2)/2)*AW90+(1-EXP(-LN(2)/2))/(LN(2)/2)*AQ91*AT91*VLOOKUP('Données projet'!$B$10,Paramètres!$A$1:$I$89,3,0)*0.475*44/12</f>
        <v>6.4050178903774499E-2</v>
      </c>
      <c r="AX91" s="21">
        <f t="shared" si="60"/>
        <v>48.72914180371923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-1.383341441396624E-13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325.66150195494157</v>
      </c>
      <c r="BJ91" s="59">
        <f t="shared" si="92"/>
        <v>429.07526815514467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65.970700829669923</v>
      </c>
      <c r="BQ91" s="21">
        <f>EXP(-LN(2)/25)*BQ90+(1-EXP(-LN(2)/25))/(LN(2)/25)*Calculateur!BL91*Calculateur!BN91*VLOOKUP('Données projet'!$B$11,Paramètres!$A$1:$I$89,3,0)*0.475*44/12</f>
        <v>3.24200330971538</v>
      </c>
      <c r="BR91" s="21">
        <f>EXP(-LN(2)/2)*BR90+(1-EXP(-LN(2)/2))/(LN(2)/2)*BL91*BO91*VLOOKUP('Données projet'!$B$11,Paramètres!$A$1:$I$89,3,0)*0.475*44/12</f>
        <v>4.3007585365195725E-5</v>
      </c>
      <c r="BS91" s="22">
        <f t="shared" si="63"/>
        <v>69.212747146970671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7">
        <f t="shared" si="56"/>
        <v>466.34464013858201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319</v>
      </c>
      <c r="O92" s="13">
        <f>N92*VLOOKUP('Données projet'!$B$9,Paramètres!$A$1:$I$89,3,0)*VLOOKUP('Données projet'!$B$9,Paramètres!$A$1:$I$89,5,0)</f>
        <v>253.79640000000001</v>
      </c>
      <c r="P92" s="13">
        <f t="shared" si="87"/>
        <v>61.39816832228076</v>
      </c>
      <c r="Q92" s="20">
        <f t="shared" si="54"/>
        <v>548.96387316130563</v>
      </c>
      <c r="R92" s="59">
        <f t="shared" si="55"/>
        <v>842.29720649463889</v>
      </c>
      <c r="S92" s="59">
        <f ca="1">AVERAGE(OFFSET($R$3,0,0,'Données projet'!$E$9+1,1))-AVERAGE(OFFSET($H$3,0,0,'Données projet'!$E$9+1,1))</f>
        <v>244.71206779102869</v>
      </c>
      <c r="T92" s="59">
        <f t="shared" si="88"/>
        <v>248.77995374147798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31.563707675167517</v>
      </c>
      <c r="AA92" s="21">
        <f>EXP(-LN(2)/25)*AA91+(1-EXP(-LN(2)/25))/(LN(2)/25)*Calculateur!V92*Calculateur!X92*VLOOKUP('Données projet'!$B$9,Paramètres!$A$1:$I$89,3,0)*0.475*44/12</f>
        <v>2.687994084228853</v>
      </c>
      <c r="AB92" s="21">
        <f>EXP(-LN(2)/2)*AB91+(1-EXP(-LN(2)/2))/(LN(2)/2)*V92*Y92*VLOOKUP('Données projet'!$B$9,Paramètres!$A$1:$I$89,3,0)*0.475*44/12</f>
        <v>2.7104060862866597E-2</v>
      </c>
      <c r="AC92" s="22">
        <f t="shared" si="57"/>
        <v>34.278805820259237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290.17948717948696</v>
      </c>
      <c r="AJ92" s="13">
        <f>AI92*VLOOKUP('Données projet'!$B$10,Paramètres!$A$1:$I$89,3,0)*VLOOKUP('Données projet'!$B$10,Paramètres!$A$1:$I$89,5,0)</f>
        <v>194.65239999999986</v>
      </c>
      <c r="AK92" s="13">
        <f t="shared" si="89"/>
        <v>48.567079789480402</v>
      </c>
      <c r="AL92" s="20">
        <f t="shared" si="58"/>
        <v>423.60726063334477</v>
      </c>
      <c r="AM92" s="59">
        <f t="shared" si="59"/>
        <v>716.94059396667808</v>
      </c>
      <c r="AN92" s="59">
        <f ca="1">AVERAGE(OFFSET($AM$3,0,0,'Données projet'!$E$10+1,1))-AVERAGE(OFFSET($H$3,0,0,'Données projet'!$E$10+1,1))</f>
        <v>177.71717275462748</v>
      </c>
      <c r="AO92" s="59">
        <f t="shared" si="90"/>
        <v>183.73714278300957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44.980653261389691</v>
      </c>
      <c r="AV92" s="21">
        <f>EXP(-LN(2)/25)*AV91+(1-EXP(-LN(2)/25))/(LN(2)/25)*Calculateur!AQ92*Calculateur!AS92*VLOOKUP('Données projet'!$B$10,Paramètres!$A$1:$I$89,3,0)*0.475*44/12</f>
        <v>2.7086036907396234</v>
      </c>
      <c r="AW92" s="21">
        <f>EXP(-LN(2)/2)*AW91+(1-EXP(-LN(2)/2))/(LN(2)/2)*AQ92*AT92*VLOOKUP('Données projet'!$B$10,Paramètres!$A$1:$I$89,3,0)*0.475*44/12</f>
        <v>4.5290315839070498E-2</v>
      </c>
      <c r="AX92" s="21">
        <f t="shared" si="60"/>
        <v>47.734547267968381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-1.383341441396624E-13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325.66150195494157</v>
      </c>
      <c r="BJ92" s="59">
        <f t="shared" si="92"/>
        <v>429.07526815514467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64.677055624554413</v>
      </c>
      <c r="BQ92" s="21">
        <f>EXP(-LN(2)/25)*BQ91+(1-EXP(-LN(2)/25))/(LN(2)/25)*Calculateur!BL92*Calculateur!BN92*VLOOKUP('Données projet'!$B$11,Paramètres!$A$1:$I$89,3,0)*0.475*44/12</f>
        <v>3.1533505587216686</v>
      </c>
      <c r="BR92" s="21">
        <f>EXP(-LN(2)/2)*BR91+(1-EXP(-LN(2)/2))/(LN(2)/2)*BL92*BO92*VLOOKUP('Données projet'!$B$11,Paramètres!$A$1:$I$89,3,0)*0.475*44/12</f>
        <v>3.0410955254189218E-5</v>
      </c>
      <c r="BS92" s="22">
        <f t="shared" si="63"/>
        <v>67.83043659423133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7">
        <f t="shared" si="56"/>
        <v>468.23917380194217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319</v>
      </c>
      <c r="O93" s="13">
        <f>N93*VLOOKUP('Données projet'!$B$9,Paramètres!$A$1:$I$89,3,0)*VLOOKUP('Données projet'!$B$9,Paramètres!$A$1:$I$89,5,0)</f>
        <v>253.79640000000001</v>
      </c>
      <c r="P93" s="13">
        <f t="shared" si="87"/>
        <v>61.39816832228076</v>
      </c>
      <c r="Q93" s="20">
        <f t="shared" si="54"/>
        <v>548.96387316130563</v>
      </c>
      <c r="R93" s="59">
        <f t="shared" si="55"/>
        <v>842.29720649463889</v>
      </c>
      <c r="S93" s="59">
        <f ca="1">AVERAGE(OFFSET($R$3,0,0,'Données projet'!$E$9+1,1))-AVERAGE(OFFSET($H$3,0,0,'Données projet'!$E$9+1,1))</f>
        <v>244.71206779102869</v>
      </c>
      <c r="T93" s="59">
        <f t="shared" si="88"/>
        <v>248.77995374147798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30.944762619618192</v>
      </c>
      <c r="AA93" s="21">
        <f>EXP(-LN(2)/25)*AA92+(1-EXP(-LN(2)/25))/(LN(2)/25)*Calculateur!V93*Calculateur!X93*VLOOKUP('Données projet'!$B$9,Paramètres!$A$1:$I$89,3,0)*0.475*44/12</f>
        <v>2.6144907446401495</v>
      </c>
      <c r="AB93" s="21">
        <f>EXP(-LN(2)/2)*AB92+(1-EXP(-LN(2)/2))/(LN(2)/2)*V93*Y93*VLOOKUP('Données projet'!$B$9,Paramètres!$A$1:$I$89,3,0)*0.475*44/12</f>
        <v>1.9165465233825878E-2</v>
      </c>
      <c r="AC93" s="22">
        <f t="shared" si="57"/>
        <v>33.578418829492165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290.17948717948696</v>
      </c>
      <c r="AJ93" s="13">
        <f>AI93*VLOOKUP('Données projet'!$B$10,Paramètres!$A$1:$I$89,3,0)*VLOOKUP('Données projet'!$B$10,Paramètres!$A$1:$I$89,5,0)</f>
        <v>194.65239999999986</v>
      </c>
      <c r="AK93" s="13">
        <f t="shared" si="89"/>
        <v>48.567079789480402</v>
      </c>
      <c r="AL93" s="20">
        <f t="shared" si="58"/>
        <v>423.60726063334477</v>
      </c>
      <c r="AM93" s="59">
        <f t="shared" si="59"/>
        <v>716.94059396667808</v>
      </c>
      <c r="AN93" s="59">
        <f ca="1">AVERAGE(OFFSET($AM$3,0,0,'Données projet'!$E$10+1,1))-AVERAGE(OFFSET($H$3,0,0,'Données projet'!$E$10+1,1))</f>
        <v>177.71717275462748</v>
      </c>
      <c r="AO93" s="59">
        <f t="shared" si="90"/>
        <v>183.73714278300957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44.098610086423299</v>
      </c>
      <c r="AV93" s="21">
        <f>EXP(-LN(2)/25)*AV92+(1-EXP(-LN(2)/25))/(LN(2)/25)*Calculateur!AQ93*Calculateur!AS93*VLOOKUP('Données projet'!$B$10,Paramètres!$A$1:$I$89,3,0)*0.475*44/12</f>
        <v>2.6345367803770707</v>
      </c>
      <c r="AW93" s="21">
        <f>EXP(-LN(2)/2)*AW92+(1-EXP(-LN(2)/2))/(LN(2)/2)*AQ93*AT93*VLOOKUP('Données projet'!$B$10,Paramètres!$A$1:$I$89,3,0)*0.475*44/12</f>
        <v>3.2025089451887249E-2</v>
      </c>
      <c r="AX93" s="21">
        <f t="shared" si="60"/>
        <v>46.765171956252253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-1.383341441396624E-13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325.66150195494157</v>
      </c>
      <c r="BJ93" s="59">
        <f t="shared" si="92"/>
        <v>429.07526815514467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63.408778012865554</v>
      </c>
      <c r="BQ93" s="21">
        <f>EXP(-LN(2)/25)*BQ92+(1-EXP(-LN(2)/25))/(LN(2)/25)*Calculateur!BL93*Calculateur!BN93*VLOOKUP('Données projet'!$B$11,Paramètres!$A$1:$I$89,3,0)*0.475*44/12</f>
        <v>3.0671220218659259</v>
      </c>
      <c r="BR93" s="21">
        <f>EXP(-LN(2)/2)*BR92+(1-EXP(-LN(2)/2))/(LN(2)/2)*BL93*BO93*VLOOKUP('Données projet'!$B$11,Paramètres!$A$1:$I$89,3,0)*0.475*44/12</f>
        <v>2.1503792682597866E-5</v>
      </c>
      <c r="BS93" s="22">
        <f t="shared" si="63"/>
        <v>66.475921538524162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7">
        <f t="shared" si="56"/>
        <v>470.13322533564406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319</v>
      </c>
      <c r="O94" s="13">
        <f>N94*VLOOKUP('Données projet'!$B$9,Paramètres!$A$1:$I$89,3,0)*VLOOKUP('Données projet'!$B$9,Paramètres!$A$1:$I$89,5,0)</f>
        <v>253.79640000000001</v>
      </c>
      <c r="P94" s="13">
        <f t="shared" si="87"/>
        <v>61.39816832228076</v>
      </c>
      <c r="Q94" s="20">
        <f t="shared" si="54"/>
        <v>548.96387316130563</v>
      </c>
      <c r="R94" s="59">
        <f t="shared" si="55"/>
        <v>842.29720649463889</v>
      </c>
      <c r="S94" s="59">
        <f ca="1">AVERAGE(OFFSET($R$3,0,0,'Données projet'!$E$9+1,1))-AVERAGE(OFFSET($H$3,0,0,'Données projet'!$E$9+1,1))</f>
        <v>244.71206779102869</v>
      </c>
      <c r="T94" s="59">
        <f t="shared" si="88"/>
        <v>248.77995374147798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30.337954699088982</v>
      </c>
      <c r="AA94" s="21">
        <f>EXP(-LN(2)/25)*AA93+(1-EXP(-LN(2)/25))/(LN(2)/25)*Calculateur!V94*Calculateur!X94*VLOOKUP('Données projet'!$B$9,Paramètres!$A$1:$I$89,3,0)*0.475*44/12</f>
        <v>2.5429973577378719</v>
      </c>
      <c r="AB94" s="21">
        <f>EXP(-LN(2)/2)*AB93+(1-EXP(-LN(2)/2))/(LN(2)/2)*V94*Y94*VLOOKUP('Données projet'!$B$9,Paramètres!$A$1:$I$89,3,0)*0.475*44/12</f>
        <v>1.35520304314333E-2</v>
      </c>
      <c r="AC94" s="22">
        <f t="shared" si="57"/>
        <v>32.894504087258291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290.17948717948696</v>
      </c>
      <c r="AJ94" s="13">
        <f>AI94*VLOOKUP('Données projet'!$B$10,Paramètres!$A$1:$I$89,3,0)*VLOOKUP('Données projet'!$B$10,Paramètres!$A$1:$I$89,5,0)</f>
        <v>194.65239999999986</v>
      </c>
      <c r="AK94" s="13">
        <f t="shared" si="89"/>
        <v>48.567079789480402</v>
      </c>
      <c r="AL94" s="20">
        <f t="shared" si="58"/>
        <v>423.60726063334477</v>
      </c>
      <c r="AM94" s="59">
        <f t="shared" si="59"/>
        <v>716.94059396667808</v>
      </c>
      <c r="AN94" s="59">
        <f ca="1">AVERAGE(OFFSET($AM$3,0,0,'Données projet'!$E$10+1,1))-AVERAGE(OFFSET($H$3,0,0,'Données projet'!$E$10+1,1))</f>
        <v>177.71717275462748</v>
      </c>
      <c r="AO94" s="59">
        <f t="shared" si="90"/>
        <v>183.73714278300957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43.233863240124784</v>
      </c>
      <c r="AV94" s="21">
        <f>EXP(-LN(2)/25)*AV93+(1-EXP(-LN(2)/25))/(LN(2)/25)*Calculateur!AQ94*Calculateur!AS94*VLOOKUP('Données projet'!$B$10,Paramètres!$A$1:$I$89,3,0)*0.475*44/12</f>
        <v>2.5624952335733919</v>
      </c>
      <c r="AW94" s="21">
        <f>EXP(-LN(2)/2)*AW93+(1-EXP(-LN(2)/2))/(LN(2)/2)*AQ94*AT94*VLOOKUP('Données projet'!$B$10,Paramètres!$A$1:$I$89,3,0)*0.475*44/12</f>
        <v>2.2645157919535249E-2</v>
      </c>
      <c r="AX94" s="21">
        <f t="shared" si="60"/>
        <v>45.819003631617711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-1.383341441396624E-13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325.66150195494157</v>
      </c>
      <c r="BJ94" s="59">
        <f t="shared" si="92"/>
        <v>429.07526815514467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62.165370551568955</v>
      </c>
      <c r="BQ94" s="21">
        <f>EXP(-LN(2)/25)*BQ93+(1-EXP(-LN(2)/25))/(LN(2)/25)*Calculateur!BL94*Calculateur!BN94*VLOOKUP('Données projet'!$B$11,Paramètres!$A$1:$I$89,3,0)*0.475*44/12</f>
        <v>2.983251408885065</v>
      </c>
      <c r="BR94" s="21">
        <f>EXP(-LN(2)/2)*BR93+(1-EXP(-LN(2)/2))/(LN(2)/2)*BL94*BO94*VLOOKUP('Données projet'!$B$11,Paramètres!$A$1:$I$89,3,0)*0.475*44/12</f>
        <v>1.5205477627094613E-5</v>
      </c>
      <c r="BS94" s="22">
        <f t="shared" si="63"/>
        <v>65.148637165931646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7">
        <f t="shared" si="56"/>
        <v>472.0268006509757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319</v>
      </c>
      <c r="O95" s="13">
        <f>N95*VLOOKUP('Données projet'!$B$9,Paramètres!$A$1:$I$89,3,0)*VLOOKUP('Données projet'!$B$9,Paramètres!$A$1:$I$89,5,0)</f>
        <v>253.79640000000001</v>
      </c>
      <c r="P95" s="13">
        <f t="shared" si="87"/>
        <v>61.39816832228076</v>
      </c>
      <c r="Q95" s="20">
        <f t="shared" si="54"/>
        <v>548.96387316130563</v>
      </c>
      <c r="R95" s="59">
        <f t="shared" si="55"/>
        <v>842.29720649463889</v>
      </c>
      <c r="S95" s="59">
        <f ca="1">AVERAGE(OFFSET($R$3,0,0,'Données projet'!$E$9+1,1))-AVERAGE(OFFSET($H$3,0,0,'Données projet'!$E$9+1,1))</f>
        <v>244.71206779102869</v>
      </c>
      <c r="T95" s="59">
        <f t="shared" si="88"/>
        <v>248.77995374147798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29.743045911765062</v>
      </c>
      <c r="AA95" s="21">
        <f>EXP(-LN(2)/25)*AA94+(1-EXP(-LN(2)/25))/(LN(2)/25)*Calculateur!V95*Calculateur!X95*VLOOKUP('Données projet'!$B$9,Paramètres!$A$1:$I$89,3,0)*0.475*44/12</f>
        <v>2.473458961260111</v>
      </c>
      <c r="AB95" s="21">
        <f>EXP(-LN(2)/2)*AB94+(1-EXP(-LN(2)/2))/(LN(2)/2)*V95*Y95*VLOOKUP('Données projet'!$B$9,Paramètres!$A$1:$I$89,3,0)*0.475*44/12</f>
        <v>9.5827326169129409E-3</v>
      </c>
      <c r="AC95" s="22">
        <f t="shared" si="57"/>
        <v>32.226087605642086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290.17948717948696</v>
      </c>
      <c r="AJ95" s="13">
        <f>AI95*VLOOKUP('Données projet'!$B$10,Paramètres!$A$1:$I$89,3,0)*VLOOKUP('Données projet'!$B$10,Paramètres!$A$1:$I$89,5,0)</f>
        <v>194.65239999999986</v>
      </c>
      <c r="AK95" s="13">
        <f t="shared" si="89"/>
        <v>48.567079789480402</v>
      </c>
      <c r="AL95" s="20">
        <f t="shared" si="58"/>
        <v>423.60726063334477</v>
      </c>
      <c r="AM95" s="59">
        <f t="shared" si="59"/>
        <v>716.94059396667808</v>
      </c>
      <c r="AN95" s="59">
        <f ca="1">AVERAGE(OFFSET($AM$3,0,0,'Données projet'!$E$10+1,1))-AVERAGE(OFFSET($H$3,0,0,'Données projet'!$E$10+1,1))</f>
        <v>177.71717275462748</v>
      </c>
      <c r="AO95" s="59">
        <f t="shared" si="90"/>
        <v>183.73714278300957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42.386073552038688</v>
      </c>
      <c r="AV95" s="21">
        <f>EXP(-LN(2)/25)*AV94+(1-EXP(-LN(2)/25))/(LN(2)/25)*Calculateur!AQ95*Calculateur!AS95*VLOOKUP('Données projet'!$B$10,Paramètres!$A$1:$I$89,3,0)*0.475*44/12</f>
        <v>2.4924236666555597</v>
      </c>
      <c r="AW95" s="21">
        <f>EXP(-LN(2)/2)*AW94+(1-EXP(-LN(2)/2))/(LN(2)/2)*AQ95*AT95*VLOOKUP('Données projet'!$B$10,Paramètres!$A$1:$I$89,3,0)*0.475*44/12</f>
        <v>1.6012544725943625E-2</v>
      </c>
      <c r="AX95" s="21">
        <f t="shared" si="60"/>
        <v>44.894509763420196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-1.383341441396624E-13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325.66150195494157</v>
      </c>
      <c r="BJ95" s="59">
        <f t="shared" si="92"/>
        <v>429.07526815514467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60.946345552184717</v>
      </c>
      <c r="BQ95" s="21">
        <f>EXP(-LN(2)/25)*BQ94+(1-EXP(-LN(2)/25))/(LN(2)/25)*Calculateur!BL95*Calculateur!BN95*VLOOKUP('Données projet'!$B$11,Paramètres!$A$1:$I$89,3,0)*0.475*44/12</f>
        <v>2.9016742422267296</v>
      </c>
      <c r="BR95" s="21">
        <f>EXP(-LN(2)/2)*BR94+(1-EXP(-LN(2)/2))/(LN(2)/2)*BL95*BO95*VLOOKUP('Données projet'!$B$11,Paramètres!$A$1:$I$89,3,0)*0.475*44/12</f>
        <v>1.0751896341298935E-5</v>
      </c>
      <c r="BS95" s="22">
        <f t="shared" si="63"/>
        <v>63.84803054630779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7">
        <f t="shared" si="56"/>
        <v>473.91990552331799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319</v>
      </c>
      <c r="O96" s="13">
        <f>N96*VLOOKUP('Données projet'!$B$9,Paramètres!$A$1:$I$89,3,0)*VLOOKUP('Données projet'!$B$9,Paramètres!$A$1:$I$89,5,0)</f>
        <v>253.79640000000001</v>
      </c>
      <c r="P96" s="13">
        <f t="shared" si="87"/>
        <v>61.39816832228076</v>
      </c>
      <c r="Q96" s="20">
        <f t="shared" si="54"/>
        <v>548.96387316130563</v>
      </c>
      <c r="R96" s="59">
        <f t="shared" si="55"/>
        <v>842.29720649463889</v>
      </c>
      <c r="S96" s="59">
        <f ca="1">AVERAGE(OFFSET($R$3,0,0,'Données projet'!$E$9+1,1))-AVERAGE(OFFSET($H$3,0,0,'Données projet'!$E$9+1,1))</f>
        <v>244.71206779102869</v>
      </c>
      <c r="T96" s="59">
        <f t="shared" si="88"/>
        <v>248.77995374147798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29.159802922902035</v>
      </c>
      <c r="AA96" s="21">
        <f>EXP(-LN(2)/25)*AA95+(1-EXP(-LN(2)/25))/(LN(2)/25)*Calculateur!V96*Calculateur!X96*VLOOKUP('Données projet'!$B$9,Paramètres!$A$1:$I$89,3,0)*0.475*44/12</f>
        <v>2.4058220958908998</v>
      </c>
      <c r="AB96" s="21">
        <f>EXP(-LN(2)/2)*AB95+(1-EXP(-LN(2)/2))/(LN(2)/2)*V96*Y96*VLOOKUP('Données projet'!$B$9,Paramètres!$A$1:$I$89,3,0)*0.475*44/12</f>
        <v>6.776015215716651E-3</v>
      </c>
      <c r="AC96" s="22">
        <f t="shared" si="57"/>
        <v>31.572401034008653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290.17948717948696</v>
      </c>
      <c r="AJ96" s="13">
        <f>AI96*VLOOKUP('Données projet'!$B$10,Paramètres!$A$1:$I$89,3,0)*VLOOKUP('Données projet'!$B$10,Paramètres!$A$1:$I$89,5,0)</f>
        <v>194.65239999999986</v>
      </c>
      <c r="AK96" s="13">
        <f t="shared" si="89"/>
        <v>48.567079789480402</v>
      </c>
      <c r="AL96" s="20">
        <f t="shared" si="58"/>
        <v>423.60726063334477</v>
      </c>
      <c r="AM96" s="59">
        <f t="shared" si="59"/>
        <v>716.94059396667808</v>
      </c>
      <c r="AN96" s="59">
        <f ca="1">AVERAGE(OFFSET($AM$3,0,0,'Données projet'!$E$10+1,1))-AVERAGE(OFFSET($H$3,0,0,'Données projet'!$E$10+1,1))</f>
        <v>177.71717275462748</v>
      </c>
      <c r="AO96" s="59">
        <f t="shared" si="90"/>
        <v>183.73714278300957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41.554908502635307</v>
      </c>
      <c r="AV96" s="21">
        <f>EXP(-LN(2)/25)*AV95+(1-EXP(-LN(2)/25))/(LN(2)/25)*Calculateur!AQ96*Calculateur!AS96*VLOOKUP('Données projet'!$B$10,Paramètres!$A$1:$I$89,3,0)*0.475*44/12</f>
        <v>2.4242682104199993</v>
      </c>
      <c r="AW96" s="21">
        <f>EXP(-LN(2)/2)*AW95+(1-EXP(-LN(2)/2))/(LN(2)/2)*AQ96*AT96*VLOOKUP('Données projet'!$B$10,Paramètres!$A$1:$I$89,3,0)*0.475*44/12</f>
        <v>1.1322578959767625E-2</v>
      </c>
      <c r="AX96" s="21">
        <f t="shared" si="60"/>
        <v>43.99049929201508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-1.383341441396624E-13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325.66150195494157</v>
      </c>
      <c r="BJ96" s="59">
        <f t="shared" si="92"/>
        <v>429.07526815514467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59.751224889506574</v>
      </c>
      <c r="BQ96" s="21">
        <f>EXP(-LN(2)/25)*BQ95+(1-EXP(-LN(2)/25))/(LN(2)/25)*Calculateur!BL96*Calculateur!BN96*VLOOKUP('Données projet'!$B$11,Paramètres!$A$1:$I$89,3,0)*0.475*44/12</f>
        <v>2.8223278074806233</v>
      </c>
      <c r="BR96" s="21">
        <f>EXP(-LN(2)/2)*BR95+(1-EXP(-LN(2)/2))/(LN(2)/2)*BL96*BO96*VLOOKUP('Données projet'!$B$11,Paramètres!$A$1:$I$89,3,0)*0.475*44/12</f>
        <v>7.6027388135473071E-6</v>
      </c>
      <c r="BS96" s="22">
        <f t="shared" si="63"/>
        <v>62.573560299726012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7">
        <f t="shared" si="56"/>
        <v>475.81254559669605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319</v>
      </c>
      <c r="O97" s="13">
        <f>N97*VLOOKUP('Données projet'!$B$9,Paramètres!$A$1:$I$89,3,0)*VLOOKUP('Données projet'!$B$9,Paramètres!$A$1:$I$89,5,0)</f>
        <v>253.79640000000001</v>
      </c>
      <c r="P97" s="13">
        <f t="shared" si="87"/>
        <v>61.39816832228076</v>
      </c>
      <c r="Q97" s="20">
        <f t="shared" si="54"/>
        <v>548.96387316130563</v>
      </c>
      <c r="R97" s="59">
        <f t="shared" si="55"/>
        <v>842.29720649463889</v>
      </c>
      <c r="S97" s="59">
        <f ca="1">AVERAGE(OFFSET($R$3,0,0,'Données projet'!$E$9+1,1))-AVERAGE(OFFSET($H$3,0,0,'Données projet'!$E$9+1,1))</f>
        <v>244.71206779102869</v>
      </c>
      <c r="T97" s="59">
        <f t="shared" si="88"/>
        <v>248.77995374147798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28.587996973307515</v>
      </c>
      <c r="AA97" s="21">
        <f>EXP(-LN(2)/25)*AA96+(1-EXP(-LN(2)/25))/(LN(2)/25)*Calculateur!V97*Calculateur!X97*VLOOKUP('Données projet'!$B$9,Paramètres!$A$1:$I$89,3,0)*0.475*44/12</f>
        <v>2.3400347641620778</v>
      </c>
      <c r="AB97" s="21">
        <f>EXP(-LN(2)/2)*AB96+(1-EXP(-LN(2)/2))/(LN(2)/2)*V97*Y97*VLOOKUP('Données projet'!$B$9,Paramètres!$A$1:$I$89,3,0)*0.475*44/12</f>
        <v>4.7913663084564705E-3</v>
      </c>
      <c r="AC97" s="22">
        <f t="shared" si="57"/>
        <v>30.932823103778048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290.17948717948696</v>
      </c>
      <c r="AJ97" s="13">
        <f>AI97*VLOOKUP('Données projet'!$B$10,Paramètres!$A$1:$I$89,3,0)*VLOOKUP('Données projet'!$B$10,Paramètres!$A$1:$I$89,5,0)</f>
        <v>194.65239999999986</v>
      </c>
      <c r="AK97" s="13">
        <f t="shared" si="89"/>
        <v>48.567079789480402</v>
      </c>
      <c r="AL97" s="20">
        <f t="shared" si="58"/>
        <v>423.60726063334477</v>
      </c>
      <c r="AM97" s="59">
        <f t="shared" si="59"/>
        <v>716.94059396667808</v>
      </c>
      <c r="AN97" s="59">
        <f ca="1">AVERAGE(OFFSET($AM$3,0,0,'Données projet'!$E$10+1,1))-AVERAGE(OFFSET($H$3,0,0,'Données projet'!$E$10+1,1))</f>
        <v>177.71717275462748</v>
      </c>
      <c r="AO97" s="59">
        <f t="shared" si="90"/>
        <v>183.73714278300957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40.740042092890107</v>
      </c>
      <c r="AV97" s="21">
        <f>EXP(-LN(2)/25)*AV96+(1-EXP(-LN(2)/25))/(LN(2)/25)*Calculateur!AQ97*Calculateur!AS97*VLOOKUP('Données projet'!$B$10,Paramètres!$A$1:$I$89,3,0)*0.475*44/12</f>
        <v>2.3579764687193401</v>
      </c>
      <c r="AW97" s="21">
        <f>EXP(-LN(2)/2)*AW96+(1-EXP(-LN(2)/2))/(LN(2)/2)*AQ97*AT97*VLOOKUP('Données projet'!$B$10,Paramètres!$A$1:$I$89,3,0)*0.475*44/12</f>
        <v>8.0062723629718124E-3</v>
      </c>
      <c r="AX97" s="21">
        <f t="shared" si="60"/>
        <v>43.10602483397242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-1.383341441396624E-13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325.66150195494157</v>
      </c>
      <c r="BJ97" s="59">
        <f t="shared" si="92"/>
        <v>429.07526815514467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58.579539814071921</v>
      </c>
      <c r="BQ97" s="21">
        <f>EXP(-LN(2)/25)*BQ96+(1-EXP(-LN(2)/25))/(LN(2)/25)*Calculateur!BL97*Calculateur!BN97*VLOOKUP('Données projet'!$B$11,Paramètres!$A$1:$I$89,3,0)*0.475*44/12</f>
        <v>2.7451511051652968</v>
      </c>
      <c r="BR97" s="21">
        <f>EXP(-LN(2)/2)*BR96+(1-EXP(-LN(2)/2))/(LN(2)/2)*BL97*BO97*VLOOKUP('Données projet'!$B$11,Paramètres!$A$1:$I$89,3,0)*0.475*44/12</f>
        <v>5.3759481706494681E-6</v>
      </c>
      <c r="BS97" s="22">
        <f t="shared" si="63"/>
        <v>61.32469629518539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7">
        <f t="shared" si="56"/>
        <v>477.70472638813186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319</v>
      </c>
      <c r="O98" s="13">
        <f>N98*VLOOKUP('Données projet'!$B$9,Paramètres!$A$1:$I$89,3,0)*VLOOKUP('Données projet'!$B$9,Paramètres!$A$1:$I$89,5,0)</f>
        <v>253.79640000000001</v>
      </c>
      <c r="P98" s="13">
        <f t="shared" si="87"/>
        <v>61.39816832228076</v>
      </c>
      <c r="Q98" s="20">
        <f t="shared" si="54"/>
        <v>548.96387316130563</v>
      </c>
      <c r="R98" s="59">
        <f t="shared" si="55"/>
        <v>842.29720649463889</v>
      </c>
      <c r="S98" s="59">
        <f ca="1">AVERAGE(OFFSET($R$3,0,0,'Données projet'!$E$9+1,1))-AVERAGE(OFFSET($H$3,0,0,'Données projet'!$E$9+1,1))</f>
        <v>244.71206779102869</v>
      </c>
      <c r="T98" s="59">
        <f t="shared" si="88"/>
        <v>248.77995374147798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28.027403789617352</v>
      </c>
      <c r="AA98" s="21">
        <f>EXP(-LN(2)/25)*AA97+(1-EXP(-LN(2)/25))/(LN(2)/25)*Calculateur!V98*Calculateur!X98*VLOOKUP('Données projet'!$B$9,Paramètres!$A$1:$I$89,3,0)*0.475*44/12</f>
        <v>2.2760463904789856</v>
      </c>
      <c r="AB98" s="21">
        <f>EXP(-LN(2)/2)*AB97+(1-EXP(-LN(2)/2))/(LN(2)/2)*V98*Y98*VLOOKUP('Données projet'!$B$9,Paramètres!$A$1:$I$89,3,0)*0.475*44/12</f>
        <v>3.3880076078583255E-3</v>
      </c>
      <c r="AC98" s="22">
        <f t="shared" si="57"/>
        <v>30.306838187704194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290.17948717948696</v>
      </c>
      <c r="AJ98" s="13">
        <f>AI98*VLOOKUP('Données projet'!$B$10,Paramètres!$A$1:$I$89,3,0)*VLOOKUP('Données projet'!$B$10,Paramètres!$A$1:$I$89,5,0)</f>
        <v>194.65239999999986</v>
      </c>
      <c r="AK98" s="13">
        <f t="shared" si="89"/>
        <v>48.567079789480402</v>
      </c>
      <c r="AL98" s="20">
        <f t="shared" si="58"/>
        <v>423.60726063334477</v>
      </c>
      <c r="AM98" s="59">
        <f t="shared" si="59"/>
        <v>716.94059396667808</v>
      </c>
      <c r="AN98" s="59">
        <f ca="1">AVERAGE(OFFSET($AM$3,0,0,'Données projet'!$E$10+1,1))-AVERAGE(OFFSET($H$3,0,0,'Données projet'!$E$10+1,1))</f>
        <v>177.71717275462748</v>
      </c>
      <c r="AO98" s="59">
        <f t="shared" si="90"/>
        <v>183.73714278300957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39.941154716420577</v>
      </c>
      <c r="AV98" s="21">
        <f>EXP(-LN(2)/25)*AV97+(1-EXP(-LN(2)/25))/(LN(2)/25)*Calculateur!AQ98*Calculateur!AS98*VLOOKUP('Données projet'!$B$10,Paramètres!$A$1:$I$89,3,0)*0.475*44/12</f>
        <v>2.2934974781816164</v>
      </c>
      <c r="AW98" s="21">
        <f>EXP(-LN(2)/2)*AW97+(1-EXP(-LN(2)/2))/(LN(2)/2)*AQ98*AT98*VLOOKUP('Données projet'!$B$10,Paramètres!$A$1:$I$89,3,0)*0.475*44/12</f>
        <v>5.6612894798838123E-3</v>
      </c>
      <c r="AX98" s="21">
        <f t="shared" si="60"/>
        <v>42.240313484082073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-1.383341441396624E-13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325.66150195494157</v>
      </c>
      <c r="BJ98" s="59">
        <f t="shared" si="92"/>
        <v>429.07526815514467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57.430830768309214</v>
      </c>
      <c r="BQ98" s="21">
        <f>EXP(-LN(2)/25)*BQ97+(1-EXP(-LN(2)/25))/(LN(2)/25)*Calculateur!BL98*Calculateur!BN98*VLOOKUP('Données projet'!$B$11,Paramètres!$A$1:$I$89,3,0)*0.475*44/12</f>
        <v>2.6700848038333294</v>
      </c>
      <c r="BR98" s="21">
        <f>EXP(-LN(2)/2)*BR97+(1-EXP(-LN(2)/2))/(LN(2)/2)*BL98*BO98*VLOOKUP('Données projet'!$B$11,Paramètres!$A$1:$I$89,3,0)*0.475*44/12</f>
        <v>3.801369406773654E-6</v>
      </c>
      <c r="BS98" s="22">
        <f t="shared" si="63"/>
        <v>60.10091937351195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7">
        <f t="shared" si="56"/>
        <v>479.59645329180853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319</v>
      </c>
      <c r="O99" s="13">
        <f>N99*VLOOKUP('Données projet'!$B$9,Paramètres!$A$1:$I$89,3,0)*VLOOKUP('Données projet'!$B$9,Paramètres!$A$1:$I$89,5,0)</f>
        <v>253.79640000000001</v>
      </c>
      <c r="P99" s="13">
        <f t="shared" si="87"/>
        <v>61.39816832228076</v>
      </c>
      <c r="Q99" s="20">
        <f t="shared" ref="Q99:Q130" si="107">(O99+P99)*0.475*44/12</f>
        <v>548.96387316130563</v>
      </c>
      <c r="R99" s="59">
        <f t="shared" si="55"/>
        <v>842.29720649463889</v>
      </c>
      <c r="S99" s="59">
        <f ca="1">AVERAGE(OFFSET($R$3,0,0,'Données projet'!$E$9+1,1))-AVERAGE(OFFSET($H$3,0,0,'Données projet'!$E$9+1,1))</f>
        <v>244.71206779102869</v>
      </c>
      <c r="T99" s="59">
        <f t="shared" si="88"/>
        <v>248.77995374147798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27.477803496331273</v>
      </c>
      <c r="AA99" s="21">
        <f>EXP(-LN(2)/25)*AA98+(1-EXP(-LN(2)/25))/(LN(2)/25)*Calculateur!V99*Calculateur!X99*VLOOKUP('Données projet'!$B$9,Paramètres!$A$1:$I$89,3,0)*0.475*44/12</f>
        <v>2.2138077822392601</v>
      </c>
      <c r="AB99" s="21">
        <f>EXP(-LN(2)/2)*AB98+(1-EXP(-LN(2)/2))/(LN(2)/2)*V99*Y99*VLOOKUP('Données projet'!$B$9,Paramètres!$A$1:$I$89,3,0)*0.475*44/12</f>
        <v>2.3956831542282352E-3</v>
      </c>
      <c r="AC99" s="22">
        <f t="shared" si="57"/>
        <v>29.694006961724764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290.17948717948696</v>
      </c>
      <c r="AJ99" s="13">
        <f>AI99*VLOOKUP('Données projet'!$B$10,Paramètres!$A$1:$I$89,3,0)*VLOOKUP('Données projet'!$B$10,Paramètres!$A$1:$I$89,5,0)</f>
        <v>194.65239999999986</v>
      </c>
      <c r="AK99" s="13">
        <f t="shared" si="89"/>
        <v>48.567079789480402</v>
      </c>
      <c r="AL99" s="20">
        <f t="shared" si="58"/>
        <v>423.60726063334477</v>
      </c>
      <c r="AM99" s="59">
        <f t="shared" si="59"/>
        <v>716.94059396667808</v>
      </c>
      <c r="AN99" s="59">
        <f ca="1">AVERAGE(OFFSET($AM$3,0,0,'Données projet'!$E$10+1,1))-AVERAGE(OFFSET($H$3,0,0,'Données projet'!$E$10+1,1))</f>
        <v>177.71717275462748</v>
      </c>
      <c r="AO99" s="59">
        <f t="shared" si="90"/>
        <v>183.73714278300957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39.15793303413043</v>
      </c>
      <c r="AV99" s="21">
        <f>EXP(-LN(2)/25)*AV98+(1-EXP(-LN(2)/25))/(LN(2)/25)*Calculateur!AQ99*Calculateur!AS99*VLOOKUP('Données projet'!$B$10,Paramètres!$A$1:$I$89,3,0)*0.475*44/12</f>
        <v>2.2307816690309497</v>
      </c>
      <c r="AW99" s="21">
        <f>EXP(-LN(2)/2)*AW98+(1-EXP(-LN(2)/2))/(LN(2)/2)*AQ99*AT99*VLOOKUP('Données projet'!$B$10,Paramètres!$A$1:$I$89,3,0)*0.475*44/12</f>
        <v>4.0031361814859062E-3</v>
      </c>
      <c r="AX99" s="21">
        <f t="shared" si="60"/>
        <v>41.392717839342865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-1.383341441396624E-13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325.66150195494157</v>
      </c>
      <c r="BJ99" s="59">
        <f t="shared" si="92"/>
        <v>429.07526815514467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56.304647206290575</v>
      </c>
      <c r="BQ99" s="21">
        <f>EXP(-LN(2)/25)*BQ98+(1-EXP(-LN(2)/25))/(LN(2)/25)*Calculateur!BL99*Calculateur!BN99*VLOOKUP('Données projet'!$B$11,Paramètres!$A$1:$I$89,3,0)*0.475*44/12</f>
        <v>2.5970711944588496</v>
      </c>
      <c r="BR99" s="21">
        <f>EXP(-LN(2)/2)*BR98+(1-EXP(-LN(2)/2))/(LN(2)/2)*BL99*BO99*VLOOKUP('Données projet'!$B$11,Paramètres!$A$1:$I$89,3,0)*0.475*44/12</f>
        <v>2.6879740853247345E-6</v>
      </c>
      <c r="BS99" s="22">
        <f t="shared" si="63"/>
        <v>58.901721088723512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7">
        <f t="shared" si="56"/>
        <v>481.48773158305545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319</v>
      </c>
      <c r="O100" s="13">
        <f>N100*VLOOKUP('Données projet'!$B$9,Paramètres!$A$1:$I$89,3,0)*VLOOKUP('Données projet'!$B$9,Paramètres!$A$1:$I$89,5,0)</f>
        <v>253.79640000000001</v>
      </c>
      <c r="P100" s="13">
        <f t="shared" si="87"/>
        <v>61.39816832228076</v>
      </c>
      <c r="Q100" s="20">
        <f t="shared" si="107"/>
        <v>548.96387316130563</v>
      </c>
      <c r="R100" s="59">
        <f t="shared" si="55"/>
        <v>842.29720649463889</v>
      </c>
      <c r="S100" s="59">
        <f ca="1">AVERAGE(OFFSET($R$3,0,0,'Données projet'!$E$9+1,1))-AVERAGE(OFFSET($H$3,0,0,'Données projet'!$E$9+1,1))</f>
        <v>244.71206779102869</v>
      </c>
      <c r="T100" s="59">
        <f t="shared" si="88"/>
        <v>248.77995374147798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26.938980529573456</v>
      </c>
      <c r="AA100" s="21">
        <f>EXP(-LN(2)/25)*AA99+(1-EXP(-LN(2)/25))/(LN(2)/25)*Calculateur!V100*Calculateur!X100*VLOOKUP('Données projet'!$B$9,Paramètres!$A$1:$I$89,3,0)*0.475*44/12</f>
        <v>2.1532710920148359</v>
      </c>
      <c r="AB100" s="21">
        <f>EXP(-LN(2)/2)*AB99+(1-EXP(-LN(2)/2))/(LN(2)/2)*V100*Y100*VLOOKUP('Données projet'!$B$9,Paramètres!$A$1:$I$89,3,0)*0.475*44/12</f>
        <v>1.6940038039291627E-3</v>
      </c>
      <c r="AC100" s="22">
        <f t="shared" si="57"/>
        <v>29.093945625392223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290.17948717948696</v>
      </c>
      <c r="AJ100" s="13">
        <f>AI100*VLOOKUP('Données projet'!$B$10,Paramètres!$A$1:$I$89,3,0)*VLOOKUP('Données projet'!$B$10,Paramètres!$A$1:$I$89,5,0)</f>
        <v>194.65239999999986</v>
      </c>
      <c r="AK100" s="13">
        <f t="shared" si="89"/>
        <v>48.567079789480402</v>
      </c>
      <c r="AL100" s="20">
        <f t="shared" si="58"/>
        <v>423.60726063334477</v>
      </c>
      <c r="AM100" s="59">
        <f t="shared" si="59"/>
        <v>716.94059396667808</v>
      </c>
      <c r="AN100" s="59">
        <f ca="1">AVERAGE(OFFSET($AM$3,0,0,'Données projet'!$E$10+1,1))-AVERAGE(OFFSET($H$3,0,0,'Données projet'!$E$10+1,1))</f>
        <v>177.71717275462748</v>
      </c>
      <c r="AO100" s="59">
        <f t="shared" si="90"/>
        <v>183.73714278300957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38.390069851311935</v>
      </c>
      <c r="AV100" s="21">
        <f>EXP(-LN(2)/25)*AV99+(1-EXP(-LN(2)/25))/(LN(2)/25)*Calculateur!AQ100*Calculateur!AS100*VLOOKUP('Données projet'!$B$10,Paramètres!$A$1:$I$89,3,0)*0.475*44/12</f>
        <v>2.1697808269795891</v>
      </c>
      <c r="AW100" s="21">
        <f>EXP(-LN(2)/2)*AW99+(1-EXP(-LN(2)/2))/(LN(2)/2)*AQ100*AT100*VLOOKUP('Données projet'!$B$10,Paramètres!$A$1:$I$89,3,0)*0.475*44/12</f>
        <v>2.8306447399419061E-3</v>
      </c>
      <c r="AX100" s="21">
        <f t="shared" si="60"/>
        <v>40.56268132303147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-1.383341441396624E-13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325.66150195494157</v>
      </c>
      <c r="BJ100" s="59">
        <f t="shared" si="92"/>
        <v>429.07526815514467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55.200547417018981</v>
      </c>
      <c r="BQ100" s="21">
        <f>EXP(-LN(2)/25)*BQ99+(1-EXP(-LN(2)/25))/(LN(2)/25)*Calculateur!BL100*Calculateur!BN100*VLOOKUP('Données projet'!$B$11,Paramètres!$A$1:$I$89,3,0)*0.475*44/12</f>
        <v>2.526054146072334</v>
      </c>
      <c r="BR100" s="21">
        <f>EXP(-LN(2)/2)*BR99+(1-EXP(-LN(2)/2))/(LN(2)/2)*BL100*BO100*VLOOKUP('Données projet'!$B$11,Paramètres!$A$1:$I$89,3,0)*0.475*44/12</f>
        <v>1.9006847033868274E-6</v>
      </c>
      <c r="BS100" s="22">
        <f t="shared" si="63"/>
        <v>57.726603463776016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7">
        <f t="shared" si="56"/>
        <v>483.37856642216479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319</v>
      </c>
      <c r="O101" s="13">
        <f>N101*VLOOKUP('Données projet'!$B$9,Paramètres!$A$1:$I$89,3,0)*VLOOKUP('Données projet'!$B$9,Paramètres!$A$1:$I$89,5,0)</f>
        <v>253.79640000000001</v>
      </c>
      <c r="P101" s="13">
        <f t="shared" si="87"/>
        <v>61.39816832228076</v>
      </c>
      <c r="Q101" s="20">
        <f t="shared" si="107"/>
        <v>548.96387316130563</v>
      </c>
      <c r="R101" s="59">
        <f t="shared" si="55"/>
        <v>842.29720649463889</v>
      </c>
      <c r="S101" s="59">
        <f ca="1">AVERAGE(OFFSET($R$3,0,0,'Données projet'!$E$9+1,1))-AVERAGE(OFFSET($H$3,0,0,'Données projet'!$E$9+1,1))</f>
        <v>244.71206779102869</v>
      </c>
      <c r="T101" s="59">
        <f t="shared" si="88"/>
        <v>248.77995374147798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26.410723552544201</v>
      </c>
      <c r="AA101" s="21">
        <f>EXP(-LN(2)/25)*AA100+(1-EXP(-LN(2)/25))/(LN(2)/25)*Calculateur!V101*Calculateur!X101*VLOOKUP('Données projet'!$B$9,Paramètres!$A$1:$I$89,3,0)*0.475*44/12</f>
        <v>2.0943897807680849</v>
      </c>
      <c r="AB101" s="21">
        <f>EXP(-LN(2)/2)*AB100+(1-EXP(-LN(2)/2))/(LN(2)/2)*V101*Y101*VLOOKUP('Données projet'!$B$9,Paramètres!$A$1:$I$89,3,0)*0.475*44/12</f>
        <v>1.1978415771141176E-3</v>
      </c>
      <c r="AC101" s="22">
        <f t="shared" si="57"/>
        <v>28.506311174889401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290.17948717948696</v>
      </c>
      <c r="AJ101" s="13">
        <f>AI101*VLOOKUP('Données projet'!$B$10,Paramètres!$A$1:$I$89,3,0)*VLOOKUP('Données projet'!$B$10,Paramètres!$A$1:$I$89,5,0)</f>
        <v>194.65239999999986</v>
      </c>
      <c r="AK101" s="13">
        <f t="shared" si="89"/>
        <v>48.567079789480402</v>
      </c>
      <c r="AL101" s="20">
        <f t="shared" si="58"/>
        <v>423.60726063334477</v>
      </c>
      <c r="AM101" s="59">
        <f t="shared" si="59"/>
        <v>716.94059396667808</v>
      </c>
      <c r="AN101" s="59">
        <f ca="1">AVERAGE(OFFSET($AM$3,0,0,'Données projet'!$E$10+1,1))-AVERAGE(OFFSET($H$3,0,0,'Données projet'!$E$10+1,1))</f>
        <v>177.71717275462748</v>
      </c>
      <c r="AO101" s="59">
        <f t="shared" si="90"/>
        <v>183.73714278300957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37.637263997158215</v>
      </c>
      <c r="AV101" s="21">
        <f>EXP(-LN(2)/25)*AV100+(1-EXP(-LN(2)/25))/(LN(2)/25)*Calculateur!AQ101*Calculateur!AS101*VLOOKUP('Données projet'!$B$10,Paramètres!$A$1:$I$89,3,0)*0.475*44/12</f>
        <v>2.1104480561620176</v>
      </c>
      <c r="AW101" s="21">
        <f>EXP(-LN(2)/2)*AW100+(1-EXP(-LN(2)/2))/(LN(2)/2)*AQ101*AT101*VLOOKUP('Données projet'!$B$10,Paramètres!$A$1:$I$89,3,0)*0.475*44/12</f>
        <v>2.0015680907429531E-3</v>
      </c>
      <c r="AX101" s="21">
        <f t="shared" si="60"/>
        <v>39.749713621410976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-1.383341441396624E-13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325.66150195494157</v>
      </c>
      <c r="BJ101" s="59">
        <f t="shared" si="92"/>
        <v>429.07526815514467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54.118098351180628</v>
      </c>
      <c r="BQ101" s="21">
        <f>EXP(-LN(2)/25)*BQ100+(1-EXP(-LN(2)/25))/(LN(2)/25)*Calculateur!BL101*Calculateur!BN101*VLOOKUP('Données projet'!$B$11,Paramètres!$A$1:$I$89,3,0)*0.475*44/12</f>
        <v>2.4569790626085717</v>
      </c>
      <c r="BR101" s="21">
        <f>EXP(-LN(2)/2)*BR100+(1-EXP(-LN(2)/2))/(LN(2)/2)*BL101*BO101*VLOOKUP('Données projet'!$B$11,Paramètres!$A$1:$I$89,3,0)*0.475*44/12</f>
        <v>1.3439870426623675E-6</v>
      </c>
      <c r="BS101" s="22">
        <f t="shared" si="63"/>
        <v>56.575078757776247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7">
        <f t="shared" si="56"/>
        <v>485.26896285804821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319</v>
      </c>
      <c r="O102" s="13">
        <f>N102*VLOOKUP('Données projet'!$B$9,Paramètres!$A$1:$I$89,3,0)*VLOOKUP('Données projet'!$B$9,Paramètres!$A$1:$I$89,5,0)</f>
        <v>253.79640000000001</v>
      </c>
      <c r="P102" s="13">
        <f t="shared" si="87"/>
        <v>61.39816832228076</v>
      </c>
      <c r="Q102" s="20">
        <f t="shared" si="107"/>
        <v>548.96387316130563</v>
      </c>
      <c r="R102" s="59">
        <f t="shared" si="55"/>
        <v>842.29720649463889</v>
      </c>
      <c r="S102" s="59">
        <f ca="1">AVERAGE(OFFSET($R$3,0,0,'Données projet'!$E$9+1,1))-AVERAGE(OFFSET($H$3,0,0,'Données projet'!$E$9+1,1))</f>
        <v>244.71206779102869</v>
      </c>
      <c r="T102" s="59">
        <f t="shared" si="88"/>
        <v>248.77995374147798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25.892825372629549</v>
      </c>
      <c r="AA102" s="21">
        <f>EXP(-LN(2)/25)*AA101+(1-EXP(-LN(2)/25))/(LN(2)/25)*Calculateur!V102*Calculateur!X102*VLOOKUP('Données projet'!$B$9,Paramètres!$A$1:$I$89,3,0)*0.475*44/12</f>
        <v>2.03711858207381</v>
      </c>
      <c r="AB102" s="21">
        <f>EXP(-LN(2)/2)*AB101+(1-EXP(-LN(2)/2))/(LN(2)/2)*V102*Y102*VLOOKUP('Données projet'!$B$9,Paramètres!$A$1:$I$89,3,0)*0.475*44/12</f>
        <v>8.4700190196458137E-4</v>
      </c>
      <c r="AC102" s="22">
        <f t="shared" si="57"/>
        <v>27.930790956605321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290.17948717948696</v>
      </c>
      <c r="AJ102" s="13">
        <f>AI102*VLOOKUP('Données projet'!$B$10,Paramètres!$A$1:$I$89,3,0)*VLOOKUP('Données projet'!$B$10,Paramètres!$A$1:$I$89,5,0)</f>
        <v>194.65239999999986</v>
      </c>
      <c r="AK102" s="13">
        <f t="shared" si="89"/>
        <v>48.567079789480402</v>
      </c>
      <c r="AL102" s="20">
        <f t="shared" si="58"/>
        <v>423.60726063334477</v>
      </c>
      <c r="AM102" s="59">
        <f t="shared" si="59"/>
        <v>716.94059396667808</v>
      </c>
      <c r="AN102" s="59">
        <f ca="1">AVERAGE(OFFSET($AM$3,0,0,'Données projet'!$E$10+1,1))-AVERAGE(OFFSET($H$3,0,0,'Données projet'!$E$10+1,1))</f>
        <v>177.71717275462748</v>
      </c>
      <c r="AO102" s="59">
        <f t="shared" si="90"/>
        <v>183.73714278300957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36.899220206638219</v>
      </c>
      <c r="AV102" s="21">
        <f>EXP(-LN(2)/25)*AV101+(1-EXP(-LN(2)/25))/(LN(2)/25)*Calculateur!AQ102*Calculateur!AS102*VLOOKUP('Données projet'!$B$10,Paramètres!$A$1:$I$89,3,0)*0.475*44/12</f>
        <v>2.0527377430826275</v>
      </c>
      <c r="AW102" s="21">
        <f>EXP(-LN(2)/2)*AW101+(1-EXP(-LN(2)/2))/(LN(2)/2)*AQ102*AT102*VLOOKUP('Données projet'!$B$10,Paramètres!$A$1:$I$89,3,0)*0.475*44/12</f>
        <v>1.4153223699709531E-3</v>
      </c>
      <c r="AX102" s="21">
        <f t="shared" si="60"/>
        <v>38.953373272090822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-1.383341441396624E-13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325.66150195494157</v>
      </c>
      <c r="BJ102" s="59">
        <f t="shared" si="92"/>
        <v>429.07526815514467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53.056875451294623</v>
      </c>
      <c r="BQ102" s="21">
        <f>EXP(-LN(2)/25)*BQ101+(1-EXP(-LN(2)/25))/(LN(2)/25)*Calculateur!BL102*Calculateur!BN102*VLOOKUP('Données projet'!$B$11,Paramètres!$A$1:$I$89,3,0)*0.475*44/12</f>
        <v>2.3897928409346267</v>
      </c>
      <c r="BR102" s="21">
        <f>EXP(-LN(2)/2)*BR101+(1-EXP(-LN(2)/2))/(LN(2)/2)*BL102*BO102*VLOOKUP('Données projet'!$B$11,Paramètres!$A$1:$I$89,3,0)*0.475*44/12</f>
        <v>9.5034235169341381E-7</v>
      </c>
      <c r="BS102" s="22">
        <f t="shared" si="63"/>
        <v>55.446669242571602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7">
        <f t="shared" si="56"/>
        <v>487.15892583174048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319</v>
      </c>
      <c r="O103" s="13">
        <f>N103*VLOOKUP('Données projet'!$B$9,Paramètres!$A$1:$I$89,3,0)*VLOOKUP('Données projet'!$B$9,Paramètres!$A$1:$I$89,5,0)</f>
        <v>253.79640000000001</v>
      </c>
      <c r="P103" s="13">
        <f t="shared" si="87"/>
        <v>61.39816832228076</v>
      </c>
      <c r="Q103" s="20">
        <f t="shared" si="107"/>
        <v>548.96387316130563</v>
      </c>
      <c r="R103" s="59">
        <f t="shared" si="55"/>
        <v>842.29720649463889</v>
      </c>
      <c r="S103" s="59">
        <f ca="1">AVERAGE(OFFSET($R$3,0,0,'Données projet'!$E$9+1,1))-AVERAGE(OFFSET($H$3,0,0,'Données projet'!$E$9+1,1))</f>
        <v>244.71206779102869</v>
      </c>
      <c r="T103" s="59">
        <f t="shared" si="88"/>
        <v>248.77995374147798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25.385082860136325</v>
      </c>
      <c r="AA103" s="21">
        <f>EXP(-LN(2)/25)*AA102+(1-EXP(-LN(2)/25))/(LN(2)/25)*Calculateur!V103*Calculateur!X103*VLOOKUP('Données projet'!$B$9,Paramètres!$A$1:$I$89,3,0)*0.475*44/12</f>
        <v>1.9814134673195913</v>
      </c>
      <c r="AB103" s="21">
        <f>EXP(-LN(2)/2)*AB102+(1-EXP(-LN(2)/2))/(LN(2)/2)*V103*Y103*VLOOKUP('Données projet'!$B$9,Paramètres!$A$1:$I$89,3,0)*0.475*44/12</f>
        <v>5.9892078855705881E-4</v>
      </c>
      <c r="AC103" s="22">
        <f t="shared" si="57"/>
        <v>27.367095248244475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290.17948717948696</v>
      </c>
      <c r="AJ103" s="13">
        <f>AI103*VLOOKUP('Données projet'!$B$10,Paramètres!$A$1:$I$89,3,0)*VLOOKUP('Données projet'!$B$10,Paramètres!$A$1:$I$89,5,0)</f>
        <v>194.65239999999986</v>
      </c>
      <c r="AK103" s="13">
        <f t="shared" si="89"/>
        <v>48.567079789480402</v>
      </c>
      <c r="AL103" s="20">
        <f t="shared" si="58"/>
        <v>423.60726063334477</v>
      </c>
      <c r="AM103" s="59">
        <f t="shared" si="59"/>
        <v>716.94059396667808</v>
      </c>
      <c r="AN103" s="59">
        <f ca="1">AVERAGE(OFFSET($AM$3,0,0,'Données projet'!$E$10+1,1))-AVERAGE(OFFSET($H$3,0,0,'Données projet'!$E$10+1,1))</f>
        <v>177.71717275462748</v>
      </c>
      <c r="AO103" s="59">
        <f t="shared" si="90"/>
        <v>183.73714278300957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36.175649004688054</v>
      </c>
      <c r="AV103" s="21">
        <f>EXP(-LN(2)/25)*AV102+(1-EXP(-LN(2)/25))/(LN(2)/25)*Calculateur!AQ103*Calculateur!AS103*VLOOKUP('Données projet'!$B$10,Paramètres!$A$1:$I$89,3,0)*0.475*44/12</f>
        <v>1.9966055215492466</v>
      </c>
      <c r="AW103" s="21">
        <f>EXP(-LN(2)/2)*AW102+(1-EXP(-LN(2)/2))/(LN(2)/2)*AQ103*AT103*VLOOKUP('Données projet'!$B$10,Paramètres!$A$1:$I$89,3,0)*0.475*44/12</f>
        <v>1.0007840453714765E-3</v>
      </c>
      <c r="AX103" s="21">
        <f t="shared" si="60"/>
        <v>38.173255310282677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-1.383341441396624E-13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325.66150195494157</v>
      </c>
      <c r="BJ103" s="59">
        <f t="shared" si="92"/>
        <v>429.07526815514467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52.01646248519333</v>
      </c>
      <c r="BQ103" s="21">
        <f>EXP(-LN(2)/25)*BQ102+(1-EXP(-LN(2)/25))/(LN(2)/25)*Calculateur!BL103*Calculateur!BN103*VLOOKUP('Données projet'!$B$11,Paramètres!$A$1:$I$89,3,0)*0.475*44/12</f>
        <v>2.3244438300255257</v>
      </c>
      <c r="BR103" s="21">
        <f>EXP(-LN(2)/2)*BR102+(1-EXP(-LN(2)/2))/(LN(2)/2)*BL103*BO103*VLOOKUP('Données projet'!$B$11,Paramètres!$A$1:$I$89,3,0)*0.475*44/12</f>
        <v>6.7199352133118383E-7</v>
      </c>
      <c r="BS103" s="22">
        <f t="shared" si="63"/>
        <v>54.340906987212371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7">
        <f t="shared" si="56"/>
        <v>489.04846017976024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319</v>
      </c>
      <c r="O104" s="13">
        <f>N104*VLOOKUP('Données projet'!$B$9,Paramètres!$A$1:$I$89,3,0)*VLOOKUP('Données projet'!$B$9,Paramètres!$A$1:$I$89,5,0)</f>
        <v>253.79640000000001</v>
      </c>
      <c r="P104" s="13">
        <f t="shared" si="87"/>
        <v>61.39816832228076</v>
      </c>
      <c r="Q104" s="20">
        <f t="shared" si="107"/>
        <v>548.96387316130563</v>
      </c>
      <c r="R104" s="59">
        <f t="shared" si="55"/>
        <v>842.29720649463889</v>
      </c>
      <c r="S104" s="59">
        <f ca="1">AVERAGE(OFFSET($R$3,0,0,'Données projet'!$E$9+1,1))-AVERAGE(OFFSET($H$3,0,0,'Données projet'!$E$9+1,1))</f>
        <v>244.71206779102869</v>
      </c>
      <c r="T104" s="59">
        <f t="shared" si="88"/>
        <v>248.77995374147798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24.887296868620741</v>
      </c>
      <c r="AA104" s="21">
        <f>EXP(-LN(2)/25)*AA103+(1-EXP(-LN(2)/25))/(LN(2)/25)*Calculateur!V104*Calculateur!X104*VLOOKUP('Données projet'!$B$9,Paramètres!$A$1:$I$89,3,0)*0.475*44/12</f>
        <v>1.9272316118577315</v>
      </c>
      <c r="AB104" s="21">
        <f>EXP(-LN(2)/2)*AB103+(1-EXP(-LN(2)/2))/(LN(2)/2)*V104*Y104*VLOOKUP('Données projet'!$B$9,Paramètres!$A$1:$I$89,3,0)*0.475*44/12</f>
        <v>4.2350095098229068E-4</v>
      </c>
      <c r="AC104" s="22">
        <f t="shared" si="57"/>
        <v>26.814951981429456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290.17948717948696</v>
      </c>
      <c r="AJ104" s="13">
        <f>AI104*VLOOKUP('Données projet'!$B$10,Paramètres!$A$1:$I$89,3,0)*VLOOKUP('Données projet'!$B$10,Paramètres!$A$1:$I$89,5,0)</f>
        <v>194.65239999999986</v>
      </c>
      <c r="AK104" s="13">
        <f t="shared" si="89"/>
        <v>48.567079789480402</v>
      </c>
      <c r="AL104" s="20">
        <f t="shared" si="58"/>
        <v>423.60726063334477</v>
      </c>
      <c r="AM104" s="59">
        <f t="shared" si="59"/>
        <v>716.94059396667808</v>
      </c>
      <c r="AN104" s="59">
        <f ca="1">AVERAGE(OFFSET($AM$3,0,0,'Données projet'!$E$10+1,1))-AVERAGE(OFFSET($H$3,0,0,'Données projet'!$E$10+1,1))</f>
        <v>177.71717275462748</v>
      </c>
      <c r="AO104" s="59">
        <f t="shared" si="90"/>
        <v>183.73714278300957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35.466266592673279</v>
      </c>
      <c r="AV104" s="21">
        <f>EXP(-LN(2)/25)*AV103+(1-EXP(-LN(2)/25))/(LN(2)/25)*Calculateur!AQ104*Calculateur!AS104*VLOOKUP('Données projet'!$B$10,Paramètres!$A$1:$I$89,3,0)*0.475*44/12</f>
        <v>1.9420082385655615</v>
      </c>
      <c r="AW104" s="21">
        <f>EXP(-LN(2)/2)*AW103+(1-EXP(-LN(2)/2))/(LN(2)/2)*AQ104*AT104*VLOOKUP('Données projet'!$B$10,Paramètres!$A$1:$I$89,3,0)*0.475*44/12</f>
        <v>7.0766118498547653E-4</v>
      </c>
      <c r="AX104" s="21">
        <f t="shared" si="60"/>
        <v>37.408982492423824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-1.383341441396624E-13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325.66150195494157</v>
      </c>
      <c r="BJ104" s="59">
        <f t="shared" si="92"/>
        <v>429.07526815514467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50.996451382768029</v>
      </c>
      <c r="BQ104" s="21">
        <f>EXP(-LN(2)/25)*BQ103+(1-EXP(-LN(2)/25))/(LN(2)/25)*Calculateur!BL104*Calculateur!BN104*VLOOKUP('Données projet'!$B$11,Paramètres!$A$1:$I$89,3,0)*0.475*44/12</f>
        <v>2.2608817912562893</v>
      </c>
      <c r="BR104" s="21">
        <f>EXP(-LN(2)/2)*BR103+(1-EXP(-LN(2)/2))/(LN(2)/2)*BL104*BO104*VLOOKUP('Données projet'!$B$11,Paramètres!$A$1:$I$89,3,0)*0.475*44/12</f>
        <v>4.7517117584670701E-7</v>
      </c>
      <c r="BS104" s="22">
        <f t="shared" si="63"/>
        <v>53.257333649195495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7">
        <f t="shared" si="56"/>
        <v>490.93757063733278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319</v>
      </c>
      <c r="O105" s="13">
        <f>N105*VLOOKUP('Données projet'!$B$9,Paramètres!$A$1:$I$89,3,0)*VLOOKUP('Données projet'!$B$9,Paramètres!$A$1:$I$89,5,0)</f>
        <v>253.79640000000001</v>
      </c>
      <c r="P105" s="13">
        <f t="shared" si="87"/>
        <v>61.39816832228076</v>
      </c>
      <c r="Q105" s="20">
        <f t="shared" si="107"/>
        <v>548.96387316130563</v>
      </c>
      <c r="R105" s="59">
        <f t="shared" si="55"/>
        <v>842.29720649463889</v>
      </c>
      <c r="S105" s="59">
        <f ca="1">AVERAGE(OFFSET($R$3,0,0,'Données projet'!$E$9+1,1))-AVERAGE(OFFSET($H$3,0,0,'Données projet'!$E$9+1,1))</f>
        <v>244.71206779102869</v>
      </c>
      <c r="T105" s="59">
        <f t="shared" si="88"/>
        <v>248.77995374147798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24.399272156779301</v>
      </c>
      <c r="AA105" s="21">
        <f>EXP(-LN(2)/25)*AA104+(1-EXP(-LN(2)/25))/(LN(2)/25)*Calculateur!V105*Calculateur!X105*VLOOKUP('Données projet'!$B$9,Paramètres!$A$1:$I$89,3,0)*0.475*44/12</f>
        <v>1.8745313620827762</v>
      </c>
      <c r="AB105" s="21">
        <f>EXP(-LN(2)/2)*AB104+(1-EXP(-LN(2)/2))/(LN(2)/2)*V105*Y105*VLOOKUP('Données projet'!$B$9,Paramètres!$A$1:$I$89,3,0)*0.475*44/12</f>
        <v>2.994603942785294E-4</v>
      </c>
      <c r="AC105" s="22">
        <f t="shared" si="57"/>
        <v>26.274102979256355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290.17948717948696</v>
      </c>
      <c r="AJ105" s="13">
        <f>AI105*VLOOKUP('Données projet'!$B$10,Paramètres!$A$1:$I$89,3,0)*VLOOKUP('Données projet'!$B$10,Paramètres!$A$1:$I$89,5,0)</f>
        <v>194.65239999999986</v>
      </c>
      <c r="AK105" s="13">
        <f t="shared" si="89"/>
        <v>48.567079789480402</v>
      </c>
      <c r="AL105" s="20">
        <f t="shared" si="58"/>
        <v>423.60726063334477</v>
      </c>
      <c r="AM105" s="59">
        <f t="shared" si="59"/>
        <v>716.94059396667808</v>
      </c>
      <c r="AN105" s="59">
        <f ca="1">AVERAGE(OFFSET($AM$3,0,0,'Données projet'!$E$10+1,1))-AVERAGE(OFFSET($H$3,0,0,'Données projet'!$E$10+1,1))</f>
        <v>177.71717275462748</v>
      </c>
      <c r="AO105" s="59">
        <f t="shared" si="90"/>
        <v>183.73714278300957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34.770794737077566</v>
      </c>
      <c r="AV105" s="21">
        <f>EXP(-LN(2)/25)*AV104+(1-EXP(-LN(2)/25))/(LN(2)/25)*Calculateur!AQ105*Calculateur!AS105*VLOOKUP('Données projet'!$B$10,Paramètres!$A$1:$I$89,3,0)*0.475*44/12</f>
        <v>1.8889039211562115</v>
      </c>
      <c r="AW105" s="21">
        <f>EXP(-LN(2)/2)*AW104+(1-EXP(-LN(2)/2))/(LN(2)/2)*AQ105*AT105*VLOOKUP('Données projet'!$B$10,Paramètres!$A$1:$I$89,3,0)*0.475*44/12</f>
        <v>5.0039202268573827E-4</v>
      </c>
      <c r="AX105" s="21">
        <f t="shared" si="60"/>
        <v>36.660199050256466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-1.383341441396624E-13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325.66150195494157</v>
      </c>
      <c r="BJ105" s="59">
        <f t="shared" si="92"/>
        <v>429.07526815514467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49.996442075915951</v>
      </c>
      <c r="BQ105" s="21">
        <f>EXP(-LN(2)/25)*BQ104+(1-EXP(-LN(2)/25))/(LN(2)/25)*Calculateur!BL105*Calculateur!BN105*VLOOKUP('Données projet'!$B$11,Paramètres!$A$1:$I$89,3,0)*0.475*44/12</f>
        <v>2.1990578597797801</v>
      </c>
      <c r="BR105" s="21">
        <f>EXP(-LN(2)/2)*BR104+(1-EXP(-LN(2)/2))/(LN(2)/2)*BL105*BO105*VLOOKUP('Données projet'!$B$11,Paramètres!$A$1:$I$89,3,0)*0.475*44/12</f>
        <v>3.3599676066559197E-7</v>
      </c>
      <c r="BS105" s="22">
        <f t="shared" si="63"/>
        <v>52.195500271692488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7">
        <f t="shared" si="56"/>
        <v>492.82626184148364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319</v>
      </c>
      <c r="O106" s="13">
        <f>N106*VLOOKUP('Données projet'!$B$9,Paramètres!$A$1:$I$89,3,0)*VLOOKUP('Données projet'!$B$9,Paramètres!$A$1:$I$89,5,0)</f>
        <v>253.79640000000001</v>
      </c>
      <c r="P106" s="13">
        <f t="shared" si="87"/>
        <v>61.39816832228076</v>
      </c>
      <c r="Q106" s="20">
        <f t="shared" si="107"/>
        <v>548.96387316130563</v>
      </c>
      <c r="R106" s="59">
        <f t="shared" si="55"/>
        <v>842.29720649463889</v>
      </c>
      <c r="S106" s="59">
        <f ca="1">AVERAGE(OFFSET($R$3,0,0,'Données projet'!$E$9+1,1))-AVERAGE(OFFSET($H$3,0,0,'Données projet'!$E$9+1,1))</f>
        <v>244.71206779102869</v>
      </c>
      <c r="T106" s="59">
        <f t="shared" si="88"/>
        <v>248.77995374147798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23.920817311871389</v>
      </c>
      <c r="AA106" s="21">
        <f>EXP(-LN(2)/25)*AA105+(1-EXP(-LN(2)/25))/(LN(2)/25)*Calculateur!V106*Calculateur!X106*VLOOKUP('Données projet'!$B$9,Paramètres!$A$1:$I$89,3,0)*0.475*44/12</f>
        <v>1.8232722034093025</v>
      </c>
      <c r="AB106" s="21">
        <f>EXP(-LN(2)/2)*AB105+(1-EXP(-LN(2)/2))/(LN(2)/2)*V106*Y106*VLOOKUP('Données projet'!$B$9,Paramètres!$A$1:$I$89,3,0)*0.475*44/12</f>
        <v>2.1175047549114534E-4</v>
      </c>
      <c r="AC106" s="22">
        <f t="shared" si="57"/>
        <v>25.744301265756182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290.17948717948696</v>
      </c>
      <c r="AJ106" s="13">
        <f>AI106*VLOOKUP('Données projet'!$B$10,Paramètres!$A$1:$I$89,3,0)*VLOOKUP('Données projet'!$B$10,Paramètres!$A$1:$I$89,5,0)</f>
        <v>194.65239999999986</v>
      </c>
      <c r="AK106" s="13">
        <f t="shared" si="89"/>
        <v>48.567079789480402</v>
      </c>
      <c r="AL106" s="20">
        <f t="shared" si="58"/>
        <v>423.60726063334477</v>
      </c>
      <c r="AM106" s="59">
        <f t="shared" si="59"/>
        <v>716.94059396667808</v>
      </c>
      <c r="AN106" s="59">
        <f ca="1">AVERAGE(OFFSET($AM$3,0,0,'Données projet'!$E$10+1,1))-AVERAGE(OFFSET($H$3,0,0,'Données projet'!$E$10+1,1))</f>
        <v>177.71717275462748</v>
      </c>
      <c r="AO106" s="59">
        <f t="shared" si="90"/>
        <v>183.73714278300957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34.088960660374141</v>
      </c>
      <c r="AV106" s="21">
        <f>EXP(-LN(2)/25)*AV105+(1-EXP(-LN(2)/25))/(LN(2)/25)*Calculateur!AQ106*Calculateur!AS106*VLOOKUP('Données projet'!$B$10,Paramètres!$A$1:$I$89,3,0)*0.475*44/12</f>
        <v>1.8372517440990548</v>
      </c>
      <c r="AW106" s="21">
        <f>EXP(-LN(2)/2)*AW105+(1-EXP(-LN(2)/2))/(LN(2)/2)*AQ106*AT106*VLOOKUP('Données projet'!$B$10,Paramètres!$A$1:$I$89,3,0)*0.475*44/12</f>
        <v>3.5383059249273827E-4</v>
      </c>
      <c r="AX106" s="21">
        <f t="shared" si="60"/>
        <v>35.926566235065692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-1.383341441396624E-13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325.66150195494157</v>
      </c>
      <c r="BJ106" s="59">
        <f t="shared" si="92"/>
        <v>429.07526815514467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49.016042341625791</v>
      </c>
      <c r="BQ106" s="21">
        <f>EXP(-LN(2)/25)*BQ105+(1-EXP(-LN(2)/25))/(LN(2)/25)*Calculateur!BL106*Calculateur!BN106*VLOOKUP('Données projet'!$B$11,Paramètres!$A$1:$I$89,3,0)*0.475*44/12</f>
        <v>2.138924506960675</v>
      </c>
      <c r="BR106" s="21">
        <f>EXP(-LN(2)/2)*BR105+(1-EXP(-LN(2)/2))/(LN(2)/2)*BL106*BO106*VLOOKUP('Données projet'!$B$11,Paramètres!$A$1:$I$89,3,0)*0.475*44/12</f>
        <v>2.3758558792335353E-7</v>
      </c>
      <c r="BS106" s="22">
        <f t="shared" si="63"/>
        <v>51.154967086172057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7">
        <f t="shared" si="56"/>
        <v>494.71453833400813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319</v>
      </c>
      <c r="O107" s="13">
        <f>N107*VLOOKUP('Données projet'!$B$9,Paramètres!$A$1:$I$89,3,0)*VLOOKUP('Données projet'!$B$9,Paramètres!$A$1:$I$89,5,0)</f>
        <v>253.79640000000001</v>
      </c>
      <c r="P107" s="13">
        <f t="shared" si="87"/>
        <v>61.39816832228076</v>
      </c>
      <c r="Q107" s="20">
        <f t="shared" si="107"/>
        <v>548.96387316130563</v>
      </c>
      <c r="R107" s="59">
        <f t="shared" si="55"/>
        <v>842.29720649463889</v>
      </c>
      <c r="S107" s="59">
        <f ca="1">AVERAGE(OFFSET($R$3,0,0,'Données projet'!$E$9+1,1))-AVERAGE(OFFSET($H$3,0,0,'Données projet'!$E$9+1,1))</f>
        <v>244.71206779102869</v>
      </c>
      <c r="T107" s="59">
        <f t="shared" si="88"/>
        <v>248.77995374147798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23.451744674643482</v>
      </c>
      <c r="AA107" s="21">
        <f>EXP(-LN(2)/25)*AA106+(1-EXP(-LN(2)/25))/(LN(2)/25)*Calculateur!V107*Calculateur!X107*VLOOKUP('Données projet'!$B$9,Paramètres!$A$1:$I$89,3,0)*0.475*44/12</f>
        <v>1.773414729125357</v>
      </c>
      <c r="AB107" s="21">
        <f>EXP(-LN(2)/2)*AB106+(1-EXP(-LN(2)/2))/(LN(2)/2)*V107*Y107*VLOOKUP('Données projet'!$B$9,Paramètres!$A$1:$I$89,3,0)*0.475*44/12</f>
        <v>1.497301971392647E-4</v>
      </c>
      <c r="AC107" s="22">
        <f t="shared" si="57"/>
        <v>25.225309133965979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290.17948717948696</v>
      </c>
      <c r="AJ107" s="13">
        <f>AI107*VLOOKUP('Données projet'!$B$10,Paramètres!$A$1:$I$89,3,0)*VLOOKUP('Données projet'!$B$10,Paramètres!$A$1:$I$89,5,0)</f>
        <v>194.65239999999986</v>
      </c>
      <c r="AK107" s="13">
        <f t="shared" si="89"/>
        <v>48.567079789480402</v>
      </c>
      <c r="AL107" s="20">
        <f t="shared" si="58"/>
        <v>423.60726063334477</v>
      </c>
      <c r="AM107" s="59">
        <f t="shared" si="59"/>
        <v>716.94059396667808</v>
      </c>
      <c r="AN107" s="59">
        <f ca="1">AVERAGE(OFFSET($AM$3,0,0,'Données projet'!$E$10+1,1))-AVERAGE(OFFSET($H$3,0,0,'Données projet'!$E$10+1,1))</f>
        <v>177.71717275462748</v>
      </c>
      <c r="AO107" s="59">
        <f t="shared" si="90"/>
        <v>183.73714278300957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33.420496934037146</v>
      </c>
      <c r="AV107" s="21">
        <f>EXP(-LN(2)/25)*AV106+(1-EXP(-LN(2)/25))/(LN(2)/25)*Calculateur!AQ107*Calculateur!AS107*VLOOKUP('Données projet'!$B$10,Paramètres!$A$1:$I$89,3,0)*0.475*44/12</f>
        <v>1.7870119985397961</v>
      </c>
      <c r="AW107" s="21">
        <f>EXP(-LN(2)/2)*AW106+(1-EXP(-LN(2)/2))/(LN(2)/2)*AQ107*AT107*VLOOKUP('Données projet'!$B$10,Paramètres!$A$1:$I$89,3,0)*0.475*44/12</f>
        <v>2.5019601134286914E-4</v>
      </c>
      <c r="AX107" s="21">
        <f t="shared" si="60"/>
        <v>35.207759128588286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-1.383341441396624E-13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325.66150195494157</v>
      </c>
      <c r="BJ107" s="59">
        <f t="shared" si="92"/>
        <v>429.07526815514467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48.054867648140274</v>
      </c>
      <c r="BQ107" s="21">
        <f>EXP(-LN(2)/25)*BQ106+(1-EXP(-LN(2)/25))/(LN(2)/25)*Calculateur!BL107*Calculateur!BN107*VLOOKUP('Données projet'!$B$11,Paramètres!$A$1:$I$89,3,0)*0.475*44/12</f>
        <v>2.080435503836684</v>
      </c>
      <c r="BR107" s="21">
        <f>EXP(-LN(2)/2)*BR106+(1-EXP(-LN(2)/2))/(LN(2)/2)*BL107*BO107*VLOOKUP('Données projet'!$B$11,Paramètres!$A$1:$I$89,3,0)*0.475*44/12</f>
        <v>1.6799838033279601E-7</v>
      </c>
      <c r="BS107" s="22">
        <f t="shared" si="63"/>
        <v>50.135303319975336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7">
        <f t="shared" si="56"/>
        <v>496.60240456432325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319</v>
      </c>
      <c r="O108" s="13">
        <f>N108*VLOOKUP('Données projet'!$B$9,Paramètres!$A$1:$I$89,3,0)*VLOOKUP('Données projet'!$B$9,Paramètres!$A$1:$I$89,5,0)</f>
        <v>253.79640000000001</v>
      </c>
      <c r="P108" s="13">
        <f t="shared" si="87"/>
        <v>61.39816832228076</v>
      </c>
      <c r="Q108" s="20">
        <f t="shared" si="107"/>
        <v>548.96387316130563</v>
      </c>
      <c r="R108" s="59">
        <f t="shared" si="55"/>
        <v>842.29720649463889</v>
      </c>
      <c r="S108" s="59">
        <f ca="1">AVERAGE(OFFSET($R$3,0,0,'Données projet'!$E$9+1,1))-AVERAGE(OFFSET($H$3,0,0,'Données projet'!$E$9+1,1))</f>
        <v>244.71206779102869</v>
      </c>
      <c r="T108" s="59">
        <f t="shared" si="88"/>
        <v>248.77995374147798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22.991870265725556</v>
      </c>
      <c r="AA108" s="21">
        <f>EXP(-LN(2)/25)*AA107+(1-EXP(-LN(2)/25))/(LN(2)/25)*Calculateur!V108*Calculateur!X108*VLOOKUP('Données projet'!$B$9,Paramètres!$A$1:$I$89,3,0)*0.475*44/12</f>
        <v>1.7249206100975967</v>
      </c>
      <c r="AB108" s="21">
        <f>EXP(-LN(2)/2)*AB107+(1-EXP(-LN(2)/2))/(LN(2)/2)*V108*Y108*VLOOKUP('Données projet'!$B$9,Paramètres!$A$1:$I$89,3,0)*0.475*44/12</f>
        <v>1.0587523774557267E-4</v>
      </c>
      <c r="AC108" s="22">
        <f t="shared" si="57"/>
        <v>24.716896751060901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290.17948717948696</v>
      </c>
      <c r="AJ108" s="13">
        <f>AI108*VLOOKUP('Données projet'!$B$10,Paramètres!$A$1:$I$89,3,0)*VLOOKUP('Données projet'!$B$10,Paramètres!$A$1:$I$89,5,0)</f>
        <v>194.65239999999986</v>
      </c>
      <c r="AK108" s="13">
        <f t="shared" si="89"/>
        <v>48.567079789480402</v>
      </c>
      <c r="AL108" s="20">
        <f t="shared" si="58"/>
        <v>423.60726063334477</v>
      </c>
      <c r="AM108" s="59">
        <f t="shared" si="59"/>
        <v>716.94059396667808</v>
      </c>
      <c r="AN108" s="59">
        <f ca="1">AVERAGE(OFFSET($AM$3,0,0,'Données projet'!$E$10+1,1))-AVERAGE(OFFSET($H$3,0,0,'Données projet'!$E$10+1,1))</f>
        <v>177.71717275462748</v>
      </c>
      <c r="AO108" s="59">
        <f t="shared" si="90"/>
        <v>183.73714278300957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32.765141373651005</v>
      </c>
      <c r="AV108" s="21">
        <f>EXP(-LN(2)/25)*AV107+(1-EXP(-LN(2)/25))/(LN(2)/25)*Calculateur!AQ108*Calculateur!AS108*VLOOKUP('Données projet'!$B$10,Paramètres!$A$1:$I$89,3,0)*0.475*44/12</f>
        <v>1.7381460614648487</v>
      </c>
      <c r="AW108" s="21">
        <f>EXP(-LN(2)/2)*AW107+(1-EXP(-LN(2)/2))/(LN(2)/2)*AQ108*AT108*VLOOKUP('Données projet'!$B$10,Paramètres!$A$1:$I$89,3,0)*0.475*44/12</f>
        <v>1.7691529624636913E-4</v>
      </c>
      <c r="AX108" s="21">
        <f t="shared" si="60"/>
        <v>34.503464350412095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-1.383341441396624E-13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325.66150195494157</v>
      </c>
      <c r="BJ108" s="59">
        <f t="shared" si="92"/>
        <v>429.07526815514467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47.112541004135331</v>
      </c>
      <c r="BQ108" s="21">
        <f>EXP(-LN(2)/25)*BQ107+(1-EXP(-LN(2)/25))/(LN(2)/25)*Calculateur!BL108*Calculateur!BN108*VLOOKUP('Données projet'!$B$11,Paramètres!$A$1:$I$89,3,0)*0.475*44/12</f>
        <v>2.0235458855789217</v>
      </c>
      <c r="BR108" s="21">
        <f>EXP(-LN(2)/2)*BR107+(1-EXP(-LN(2)/2))/(LN(2)/2)*BL108*BO108*VLOOKUP('Données projet'!$B$11,Paramètres!$A$1:$I$89,3,0)*0.475*44/12</f>
        <v>1.1879279396167679E-7</v>
      </c>
      <c r="BS108" s="22">
        <f t="shared" si="63"/>
        <v>49.13608700850704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7">
        <f t="shared" si="56"/>
        <v>498.48986489220857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319</v>
      </c>
      <c r="O109" s="13">
        <f>N109*VLOOKUP('Données projet'!$B$9,Paramètres!$A$1:$I$89,3,0)*VLOOKUP('Données projet'!$B$9,Paramètres!$A$1:$I$89,5,0)</f>
        <v>253.79640000000001</v>
      </c>
      <c r="P109" s="13">
        <f t="shared" si="87"/>
        <v>61.39816832228076</v>
      </c>
      <c r="Q109" s="20">
        <f t="shared" si="107"/>
        <v>548.96387316130563</v>
      </c>
      <c r="R109" s="59">
        <f t="shared" si="55"/>
        <v>842.29720649463889</v>
      </c>
      <c r="S109" s="59">
        <f ca="1">AVERAGE(OFFSET($R$3,0,0,'Données projet'!$E$9+1,1))-AVERAGE(OFFSET($H$3,0,0,'Données projet'!$E$9+1,1))</f>
        <v>244.71206779102869</v>
      </c>
      <c r="T109" s="59">
        <f t="shared" si="88"/>
        <v>248.77995374147798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22.541013713470818</v>
      </c>
      <c r="AA109" s="21">
        <f>EXP(-LN(2)/25)*AA108+(1-EXP(-LN(2)/25))/(LN(2)/25)*Calculateur!V109*Calculateur!X109*VLOOKUP('Données projet'!$B$9,Paramètres!$A$1:$I$89,3,0)*0.475*44/12</f>
        <v>1.6777525653048453</v>
      </c>
      <c r="AB109" s="21">
        <f>EXP(-LN(2)/2)*AB108+(1-EXP(-LN(2)/2))/(LN(2)/2)*V109*Y109*VLOOKUP('Données projet'!$B$9,Paramètres!$A$1:$I$89,3,0)*0.475*44/12</f>
        <v>7.4865098569632351E-5</v>
      </c>
      <c r="AC109" s="22">
        <f t="shared" si="57"/>
        <v>24.218841143874233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290.17948717948696</v>
      </c>
      <c r="AJ109" s="13">
        <f>AI109*VLOOKUP('Données projet'!$B$10,Paramètres!$A$1:$I$89,3,0)*VLOOKUP('Données projet'!$B$10,Paramètres!$A$1:$I$89,5,0)</f>
        <v>194.65239999999986</v>
      </c>
      <c r="AK109" s="13">
        <f t="shared" si="89"/>
        <v>48.567079789480402</v>
      </c>
      <c r="AL109" s="20">
        <f t="shared" si="58"/>
        <v>423.60726063334477</v>
      </c>
      <c r="AM109" s="59">
        <f t="shared" si="59"/>
        <v>716.94059396667808</v>
      </c>
      <c r="AN109" s="59">
        <f ca="1">AVERAGE(OFFSET($AM$3,0,0,'Données projet'!$E$10+1,1))-AVERAGE(OFFSET($H$3,0,0,'Données projet'!$E$10+1,1))</f>
        <v>177.71717275462748</v>
      </c>
      <c r="AO109" s="59">
        <f t="shared" si="90"/>
        <v>183.73714278300957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32.122636936076617</v>
      </c>
      <c r="AV109" s="21">
        <f>EXP(-LN(2)/25)*AV108+(1-EXP(-LN(2)/25))/(LN(2)/25)*Calculateur!AQ109*Calculateur!AS109*VLOOKUP('Données projet'!$B$10,Paramètres!$A$1:$I$89,3,0)*0.475*44/12</f>
        <v>1.6906163660089637</v>
      </c>
      <c r="AW109" s="21">
        <f>EXP(-LN(2)/2)*AW108+(1-EXP(-LN(2)/2))/(LN(2)/2)*AQ109*AT109*VLOOKUP('Données projet'!$B$10,Paramètres!$A$1:$I$89,3,0)*0.475*44/12</f>
        <v>1.2509800567143457E-4</v>
      </c>
      <c r="AX109" s="21">
        <f t="shared" si="60"/>
        <v>33.813378400091246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-1.383341441396624E-13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325.66150195494157</v>
      </c>
      <c r="BJ109" s="59">
        <f t="shared" si="92"/>
        <v>429.07526815514467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46.188692810856821</v>
      </c>
      <c r="BQ109" s="21">
        <f>EXP(-LN(2)/25)*BQ108+(1-EXP(-LN(2)/25))/(LN(2)/25)*Calculateur!BL109*Calculateur!BN109*VLOOKUP('Données projet'!$B$11,Paramètres!$A$1:$I$89,3,0)*0.475*44/12</f>
        <v>1.9682119169241128</v>
      </c>
      <c r="BR109" s="21">
        <f>EXP(-LN(2)/2)*BR108+(1-EXP(-LN(2)/2))/(LN(2)/2)*BL109*BO109*VLOOKUP('Données projet'!$B$11,Paramètres!$A$1:$I$89,3,0)*0.475*44/12</f>
        <v>8.3999190166398019E-8</v>
      </c>
      <c r="BS109" s="22">
        <f t="shared" si="63"/>
        <v>48.156904811780123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7">
        <f t="shared" si="56"/>
        <v>500.37692359044013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319</v>
      </c>
      <c r="O110" s="13">
        <f>N110*VLOOKUP('Données projet'!$B$9,Paramètres!$A$1:$I$89,3,0)*VLOOKUP('Données projet'!$B$9,Paramètres!$A$1:$I$89,5,0)</f>
        <v>253.79640000000001</v>
      </c>
      <c r="P110" s="13">
        <f t="shared" si="87"/>
        <v>61.39816832228076</v>
      </c>
      <c r="Q110" s="20">
        <f t="shared" si="107"/>
        <v>548.96387316130563</v>
      </c>
      <c r="R110" s="59">
        <f t="shared" si="55"/>
        <v>842.29720649463889</v>
      </c>
      <c r="S110" s="59">
        <f ca="1">AVERAGE(OFFSET($R$3,0,0,'Données projet'!$E$9+1,1))-AVERAGE(OFFSET($H$3,0,0,'Données projet'!$E$9+1,1))</f>
        <v>244.71206779102869</v>
      </c>
      <c r="T110" s="59">
        <f t="shared" si="88"/>
        <v>248.77995374147798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22.098998183210451</v>
      </c>
      <c r="AA110" s="21">
        <f>EXP(-LN(2)/25)*AA109+(1-EXP(-LN(2)/25))/(LN(2)/25)*Calculateur!V110*Calculateur!X110*VLOOKUP('Données projet'!$B$9,Paramètres!$A$1:$I$89,3,0)*0.475*44/12</f>
        <v>1.6318743331774115</v>
      </c>
      <c r="AB110" s="21">
        <f>EXP(-LN(2)/2)*AB109+(1-EXP(-LN(2)/2))/(LN(2)/2)*V110*Y110*VLOOKUP('Données projet'!$B$9,Paramètres!$A$1:$I$89,3,0)*0.475*44/12</f>
        <v>5.2937618872786336E-5</v>
      </c>
      <c r="AC110" s="22">
        <f t="shared" si="57"/>
        <v>23.730925454006734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290.17948717948696</v>
      </c>
      <c r="AJ110" s="13">
        <f>AI110*VLOOKUP('Données projet'!$B$10,Paramètres!$A$1:$I$89,3,0)*VLOOKUP('Données projet'!$B$10,Paramètres!$A$1:$I$89,5,0)</f>
        <v>194.65239999999986</v>
      </c>
      <c r="AK110" s="13">
        <f t="shared" si="89"/>
        <v>48.567079789480402</v>
      </c>
      <c r="AL110" s="20">
        <f t="shared" si="58"/>
        <v>423.60726063334477</v>
      </c>
      <c r="AM110" s="59">
        <f t="shared" si="59"/>
        <v>716.94059396667808</v>
      </c>
      <c r="AN110" s="59">
        <f ca="1">AVERAGE(OFFSET($AM$3,0,0,'Données projet'!$E$10+1,1))-AVERAGE(OFFSET($H$3,0,0,'Données projet'!$E$10+1,1))</f>
        <v>177.71717275462748</v>
      </c>
      <c r="AO110" s="59">
        <f t="shared" si="90"/>
        <v>183.73714278300957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31.49273161863405</v>
      </c>
      <c r="AV110" s="21">
        <f>EXP(-LN(2)/25)*AV109+(1-EXP(-LN(2)/25))/(LN(2)/25)*Calculateur!AQ110*Calculateur!AS110*VLOOKUP('Données projet'!$B$10,Paramètres!$A$1:$I$89,3,0)*0.475*44/12</f>
        <v>1.6443863725747978</v>
      </c>
      <c r="AW110" s="21">
        <f>EXP(-LN(2)/2)*AW109+(1-EXP(-LN(2)/2))/(LN(2)/2)*AQ110*AT110*VLOOKUP('Données projet'!$B$10,Paramètres!$A$1:$I$89,3,0)*0.475*44/12</f>
        <v>8.8457648123184567E-5</v>
      </c>
      <c r="AX110" s="21">
        <f t="shared" si="60"/>
        <v>33.137206448856972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-1.383341441396624E-13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325.66150195494157</v>
      </c>
      <c r="BJ110" s="59">
        <f t="shared" si="92"/>
        <v>429.07526815514467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45.282960717156747</v>
      </c>
      <c r="BQ110" s="21">
        <f>EXP(-LN(2)/25)*BQ109+(1-EXP(-LN(2)/25))/(LN(2)/25)*Calculateur!BL110*Calculateur!BN110*VLOOKUP('Données projet'!$B$11,Paramètres!$A$1:$I$89,3,0)*0.475*44/12</f>
        <v>1.9143910585520567</v>
      </c>
      <c r="BR110" s="21">
        <f>EXP(-LN(2)/2)*BR109+(1-EXP(-LN(2)/2))/(LN(2)/2)*BL110*BO110*VLOOKUP('Données projet'!$B$11,Paramètres!$A$1:$I$89,3,0)*0.475*44/12</f>
        <v>5.9396396980838403E-8</v>
      </c>
      <c r="BS110" s="22">
        <f t="shared" si="63"/>
        <v>47.197351835105202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7">
        <f t="shared" si="56"/>
        <v>502.26358484732305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319</v>
      </c>
      <c r="O111" s="13">
        <f>N111*VLOOKUP('Données projet'!$B$9,Paramètres!$A$1:$I$89,3,0)*VLOOKUP('Données projet'!$B$9,Paramètres!$A$1:$I$89,5,0)</f>
        <v>253.79640000000001</v>
      </c>
      <c r="P111" s="13">
        <f t="shared" si="87"/>
        <v>61.39816832228076</v>
      </c>
      <c r="Q111" s="20">
        <f t="shared" si="107"/>
        <v>548.96387316130563</v>
      </c>
      <c r="R111" s="59">
        <f t="shared" si="55"/>
        <v>842.29720649463889</v>
      </c>
      <c r="S111" s="59">
        <f ca="1">AVERAGE(OFFSET($R$3,0,0,'Données projet'!$E$9+1,1))-AVERAGE(OFFSET($H$3,0,0,'Données projet'!$E$9+1,1))</f>
        <v>244.71206779102869</v>
      </c>
      <c r="T111" s="59">
        <f t="shared" si="88"/>
        <v>248.77995374147798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21.665650307895639</v>
      </c>
      <c r="AA111" s="21">
        <f>EXP(-LN(2)/25)*AA110+(1-EXP(-LN(2)/25))/(LN(2)/25)*Calculateur!V111*Calculateur!X111*VLOOKUP('Données projet'!$B$9,Paramètres!$A$1:$I$89,3,0)*0.475*44/12</f>
        <v>1.5872506437201337</v>
      </c>
      <c r="AB111" s="21">
        <f>EXP(-LN(2)/2)*AB110+(1-EXP(-LN(2)/2))/(LN(2)/2)*V111*Y111*VLOOKUP('Données projet'!$B$9,Paramètres!$A$1:$I$89,3,0)*0.475*44/12</f>
        <v>3.7432549284816175E-5</v>
      </c>
      <c r="AC111" s="22">
        <f t="shared" si="57"/>
        <v>23.252938384165056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290.17948717948696</v>
      </c>
      <c r="AJ111" s="13">
        <f>AI111*VLOOKUP('Données projet'!$B$10,Paramètres!$A$1:$I$89,3,0)*VLOOKUP('Données projet'!$B$10,Paramètres!$A$1:$I$89,5,0)</f>
        <v>194.65239999999986</v>
      </c>
      <c r="AK111" s="13">
        <f t="shared" si="89"/>
        <v>48.567079789480402</v>
      </c>
      <c r="AL111" s="20">
        <f t="shared" si="58"/>
        <v>423.60726063334477</v>
      </c>
      <c r="AM111" s="59">
        <f t="shared" si="59"/>
        <v>716.94059396667808</v>
      </c>
      <c r="AN111" s="59">
        <f ca="1">AVERAGE(OFFSET($AM$3,0,0,'Données projet'!$E$10+1,1))-AVERAGE(OFFSET($H$3,0,0,'Données projet'!$E$10+1,1))</f>
        <v>177.71717275462748</v>
      </c>
      <c r="AO111" s="59">
        <f t="shared" si="90"/>
        <v>183.73714278300957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30.875178360262225</v>
      </c>
      <c r="AV111" s="21">
        <f>EXP(-LN(2)/25)*AV110+(1-EXP(-LN(2)/25))/(LN(2)/25)*Calculateur!AQ111*Calculateur!AS111*VLOOKUP('Données projet'!$B$10,Paramètres!$A$1:$I$89,3,0)*0.475*44/12</f>
        <v>1.5994205407422188</v>
      </c>
      <c r="AW111" s="21">
        <f>EXP(-LN(2)/2)*AW110+(1-EXP(-LN(2)/2))/(LN(2)/2)*AQ111*AT111*VLOOKUP('Données projet'!$B$10,Paramètres!$A$1:$I$89,3,0)*0.475*44/12</f>
        <v>6.2549002835717284E-5</v>
      </c>
      <c r="AX111" s="21">
        <f t="shared" si="60"/>
        <v>32.474661450007275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-1.383341441396624E-13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325.66150195494157</v>
      </c>
      <c r="BJ111" s="59">
        <f t="shared" si="92"/>
        <v>429.07526815514467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44.394989477372107</v>
      </c>
      <c r="BQ111" s="21">
        <f>EXP(-LN(2)/25)*BQ110+(1-EXP(-LN(2)/25))/(LN(2)/25)*Calculateur!BL111*Calculateur!BN111*VLOOKUP('Données projet'!$B$11,Paramètres!$A$1:$I$89,3,0)*0.475*44/12</f>
        <v>1.8620419343825003</v>
      </c>
      <c r="BR111" s="21">
        <f>EXP(-LN(2)/2)*BR110+(1-EXP(-LN(2)/2))/(LN(2)/2)*BL111*BO111*VLOOKUP('Données projet'!$B$11,Paramètres!$A$1:$I$89,3,0)*0.475*44/12</f>
        <v>4.1999595083199016E-8</v>
      </c>
      <c r="BS111" s="22">
        <f t="shared" si="63"/>
        <v>46.257031453754209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7">
        <f t="shared" si="56"/>
        <v>504.1498527691279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319</v>
      </c>
      <c r="O112" s="13">
        <f>N112*VLOOKUP('Données projet'!$B$9,Paramètres!$A$1:$I$89,3,0)*VLOOKUP('Données projet'!$B$9,Paramètres!$A$1:$I$89,5,0)</f>
        <v>253.79640000000001</v>
      </c>
      <c r="P112" s="13">
        <f t="shared" si="87"/>
        <v>61.39816832228076</v>
      </c>
      <c r="Q112" s="20">
        <f t="shared" si="107"/>
        <v>548.96387316130563</v>
      </c>
      <c r="R112" s="59">
        <f t="shared" si="55"/>
        <v>842.29720649463889</v>
      </c>
      <c r="S112" s="59">
        <f ca="1">AVERAGE(OFFSET($R$3,0,0,'Données projet'!$E$9+1,1))-AVERAGE(OFFSET($H$3,0,0,'Données projet'!$E$9+1,1))</f>
        <v>244.71206779102869</v>
      </c>
      <c r="T112" s="59">
        <f t="shared" si="88"/>
        <v>248.77995374147798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21.240800120099646</v>
      </c>
      <c r="AA112" s="21">
        <f>EXP(-LN(2)/25)*AA111+(1-EXP(-LN(2)/25))/(LN(2)/25)*Calculateur!V112*Calculateur!X112*VLOOKUP('Données projet'!$B$9,Paramètres!$A$1:$I$89,3,0)*0.475*44/12</f>
        <v>1.543847191397723</v>
      </c>
      <c r="AB112" s="21">
        <f>EXP(-LN(2)/2)*AB111+(1-EXP(-LN(2)/2))/(LN(2)/2)*V112*Y112*VLOOKUP('Données projet'!$B$9,Paramètres!$A$1:$I$89,3,0)*0.475*44/12</f>
        <v>2.6468809436393168E-5</v>
      </c>
      <c r="AC112" s="22">
        <f t="shared" si="57"/>
        <v>22.784673780306807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290.17948717948696</v>
      </c>
      <c r="AJ112" s="13">
        <f>AI112*VLOOKUP('Données projet'!$B$10,Paramètres!$A$1:$I$89,3,0)*VLOOKUP('Données projet'!$B$10,Paramètres!$A$1:$I$89,5,0)</f>
        <v>194.65239999999986</v>
      </c>
      <c r="AK112" s="13">
        <f t="shared" si="89"/>
        <v>48.567079789480402</v>
      </c>
      <c r="AL112" s="20">
        <f t="shared" si="58"/>
        <v>423.60726063334477</v>
      </c>
      <c r="AM112" s="59">
        <f t="shared" si="59"/>
        <v>716.94059396667808</v>
      </c>
      <c r="AN112" s="59">
        <f ca="1">AVERAGE(OFFSET($AM$3,0,0,'Données projet'!$E$10+1,1))-AVERAGE(OFFSET($H$3,0,0,'Données projet'!$E$10+1,1))</f>
        <v>177.71717275462748</v>
      </c>
      <c r="AO112" s="59">
        <f t="shared" si="90"/>
        <v>183.73714278300957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30.269734944616779</v>
      </c>
      <c r="AV112" s="21">
        <f>EXP(-LN(2)/25)*AV111+(1-EXP(-LN(2)/25))/(LN(2)/25)*Calculateur!AQ112*Calculateur!AS112*VLOOKUP('Données projet'!$B$10,Paramètres!$A$1:$I$89,3,0)*0.475*44/12</f>
        <v>1.5556843019457522</v>
      </c>
      <c r="AW112" s="21">
        <f>EXP(-LN(2)/2)*AW111+(1-EXP(-LN(2)/2))/(LN(2)/2)*AQ112*AT112*VLOOKUP('Données projet'!$B$10,Paramètres!$A$1:$I$89,3,0)*0.475*44/12</f>
        <v>4.4228824061592283E-5</v>
      </c>
      <c r="AX112" s="21">
        <f t="shared" si="60"/>
        <v>31.825463475386595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-1.383341441396624E-13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325.66150195494157</v>
      </c>
      <c r="BJ112" s="59">
        <f t="shared" si="92"/>
        <v>429.07526815514467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43.524430811990662</v>
      </c>
      <c r="BQ112" s="21">
        <f>EXP(-LN(2)/25)*BQ111+(1-EXP(-LN(2)/25))/(LN(2)/25)*Calculateur!BL112*Calculateur!BN112*VLOOKUP('Données projet'!$B$11,Paramètres!$A$1:$I$89,3,0)*0.475*44/12</f>
        <v>1.8111242997662813</v>
      </c>
      <c r="BR112" s="21">
        <f>EXP(-LN(2)/2)*BR111+(1-EXP(-LN(2)/2))/(LN(2)/2)*BL112*BO112*VLOOKUP('Données projet'!$B$11,Paramètres!$A$1:$I$89,3,0)*0.475*44/12</f>
        <v>2.9698198490419205E-8</v>
      </c>
      <c r="BS112" s="22">
        <f t="shared" si="63"/>
        <v>45.335555141455146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7">
        <f t="shared" si="56"/>
        <v>506.03573138243519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319</v>
      </c>
      <c r="O113" s="13">
        <f>N113*VLOOKUP('Données projet'!$B$9,Paramètres!$A$1:$I$89,3,0)*VLOOKUP('Données projet'!$B$9,Paramètres!$A$1:$I$89,5,0)</f>
        <v>253.79640000000001</v>
      </c>
      <c r="P113" s="13">
        <f t="shared" si="87"/>
        <v>61.39816832228076</v>
      </c>
      <c r="Q113" s="20">
        <f t="shared" si="107"/>
        <v>548.96387316130563</v>
      </c>
      <c r="R113" s="59">
        <f t="shared" si="55"/>
        <v>842.29720649463889</v>
      </c>
      <c r="S113" s="59">
        <f ca="1">AVERAGE(OFFSET($R$3,0,0,'Données projet'!$E$9+1,1))-AVERAGE(OFFSET($H$3,0,0,'Données projet'!$E$9+1,1))</f>
        <v>244.71206779102869</v>
      </c>
      <c r="T113" s="59">
        <f t="shared" si="88"/>
        <v>248.77995374147798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20.824280985353305</v>
      </c>
      <c r="AA113" s="21">
        <f>EXP(-LN(2)/25)*AA112+(1-EXP(-LN(2)/25))/(LN(2)/25)*Calculateur!V113*Calculateur!X113*VLOOKUP('Données projet'!$B$9,Paramètres!$A$1:$I$89,3,0)*0.475*44/12</f>
        <v>1.501630608761557</v>
      </c>
      <c r="AB113" s="21">
        <f>EXP(-LN(2)/2)*AB112+(1-EXP(-LN(2)/2))/(LN(2)/2)*V113*Y113*VLOOKUP('Données projet'!$B$9,Paramètres!$A$1:$I$89,3,0)*0.475*44/12</f>
        <v>1.8716274642408088E-5</v>
      </c>
      <c r="AC113" s="22">
        <f t="shared" si="57"/>
        <v>22.325930310389502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290.17948717948696</v>
      </c>
      <c r="AJ113" s="13">
        <f>AI113*VLOOKUP('Données projet'!$B$10,Paramètres!$A$1:$I$89,3,0)*VLOOKUP('Données projet'!$B$10,Paramètres!$A$1:$I$89,5,0)</f>
        <v>194.65239999999986</v>
      </c>
      <c r="AK113" s="13">
        <f t="shared" si="89"/>
        <v>48.567079789480402</v>
      </c>
      <c r="AL113" s="20">
        <f t="shared" si="58"/>
        <v>423.60726063334477</v>
      </c>
      <c r="AM113" s="59">
        <f t="shared" si="59"/>
        <v>716.94059396667808</v>
      </c>
      <c r="AN113" s="59">
        <f ca="1">AVERAGE(OFFSET($AM$3,0,0,'Données projet'!$E$10+1,1))-AVERAGE(OFFSET($H$3,0,0,'Données projet'!$E$10+1,1))</f>
        <v>177.71717275462748</v>
      </c>
      <c r="AO113" s="59">
        <f t="shared" si="90"/>
        <v>183.73714278300957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29.676163905068119</v>
      </c>
      <c r="AV113" s="21">
        <f>EXP(-LN(2)/25)*AV112+(1-EXP(-LN(2)/25))/(LN(2)/25)*Calculateur!AQ113*Calculateur!AS113*VLOOKUP('Données projet'!$B$10,Paramètres!$A$1:$I$89,3,0)*0.475*44/12</f>
        <v>1.5131440328991639</v>
      </c>
      <c r="AW113" s="21">
        <f>EXP(-LN(2)/2)*AW112+(1-EXP(-LN(2)/2))/(LN(2)/2)*AQ113*AT113*VLOOKUP('Données projet'!$B$10,Paramètres!$A$1:$I$89,3,0)*0.475*44/12</f>
        <v>3.1274501417858642E-5</v>
      </c>
      <c r="AX113" s="21">
        <f t="shared" si="60"/>
        <v>31.189339212468699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-1.383341441396624E-13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325.66150195494157</v>
      </c>
      <c r="BJ113" s="59">
        <f t="shared" si="92"/>
        <v>429.07526815514467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42.670943271048991</v>
      </c>
      <c r="BQ113" s="21">
        <f>EXP(-LN(2)/25)*BQ112+(1-EXP(-LN(2)/25))/(LN(2)/25)*Calculateur!BL113*Calculateur!BN113*VLOOKUP('Données projet'!$B$11,Paramètres!$A$1:$I$89,3,0)*0.475*44/12</f>
        <v>1.7615990105462849</v>
      </c>
      <c r="BR113" s="21">
        <f>EXP(-LN(2)/2)*BR112+(1-EXP(-LN(2)/2))/(LN(2)/2)*BL113*BO113*VLOOKUP('Données projet'!$B$11,Paramètres!$A$1:$I$89,3,0)*0.475*44/12</f>
        <v>2.0999797541599511E-8</v>
      </c>
      <c r="BS113" s="22">
        <f t="shared" si="63"/>
        <v>44.432542302595074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7">
        <f t="shared" si="56"/>
        <v>507.92122463639157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319</v>
      </c>
      <c r="O114" s="13">
        <f>N114*VLOOKUP('Données projet'!$B$9,Paramètres!$A$1:$I$89,3,0)*VLOOKUP('Données projet'!$B$9,Paramètres!$A$1:$I$89,5,0)</f>
        <v>253.79640000000001</v>
      </c>
      <c r="P114" s="13">
        <f t="shared" si="87"/>
        <v>61.39816832228076</v>
      </c>
      <c r="Q114" s="20">
        <f t="shared" si="107"/>
        <v>548.96387316130563</v>
      </c>
      <c r="R114" s="59">
        <f t="shared" si="55"/>
        <v>842.29720649463889</v>
      </c>
      <c r="S114" s="59">
        <f ca="1">AVERAGE(OFFSET($R$3,0,0,'Données projet'!$E$9+1,1))-AVERAGE(OFFSET($H$3,0,0,'Données projet'!$E$9+1,1))</f>
        <v>244.71206779102869</v>
      </c>
      <c r="T114" s="59">
        <f t="shared" si="88"/>
        <v>248.77995374147798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20.415929536787754</v>
      </c>
      <c r="AA114" s="21">
        <f>EXP(-LN(2)/25)*AA113+(1-EXP(-LN(2)/25))/(LN(2)/25)*Calculateur!V114*Calculateur!X114*VLOOKUP('Données projet'!$B$9,Paramètres!$A$1:$I$89,3,0)*0.475*44/12</f>
        <v>1.4605684407976505</v>
      </c>
      <c r="AB114" s="21">
        <f>EXP(-LN(2)/2)*AB113+(1-EXP(-LN(2)/2))/(LN(2)/2)*V114*Y114*VLOOKUP('Données projet'!$B$9,Paramètres!$A$1:$I$89,3,0)*0.475*44/12</f>
        <v>1.3234404718196584E-5</v>
      </c>
      <c r="AC114" s="22">
        <f t="shared" si="57"/>
        <v>21.876511211990124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290.17948717948696</v>
      </c>
      <c r="AJ114" s="13">
        <f>AI114*VLOOKUP('Données projet'!$B$10,Paramètres!$A$1:$I$89,3,0)*VLOOKUP('Données projet'!$B$10,Paramètres!$A$1:$I$89,5,0)</f>
        <v>194.65239999999986</v>
      </c>
      <c r="AK114" s="13">
        <f t="shared" si="89"/>
        <v>48.567079789480402</v>
      </c>
      <c r="AL114" s="20">
        <f t="shared" si="58"/>
        <v>423.60726063334477</v>
      </c>
      <c r="AM114" s="59">
        <f t="shared" si="59"/>
        <v>716.94059396667808</v>
      </c>
      <c r="AN114" s="59">
        <f ca="1">AVERAGE(OFFSET($AM$3,0,0,'Données projet'!$E$10+1,1))-AVERAGE(OFFSET($H$3,0,0,'Données projet'!$E$10+1,1))</f>
        <v>177.71717275462748</v>
      </c>
      <c r="AO114" s="59">
        <f t="shared" si="90"/>
        <v>183.73714278300957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29.094232431562421</v>
      </c>
      <c r="AV114" s="21">
        <f>EXP(-LN(2)/25)*AV113+(1-EXP(-LN(2)/25))/(LN(2)/25)*Calculateur!AQ114*Calculateur!AS114*VLOOKUP('Données projet'!$B$10,Paramètres!$A$1:$I$89,3,0)*0.475*44/12</f>
        <v>1.47176702974675</v>
      </c>
      <c r="AW114" s="21">
        <f>EXP(-LN(2)/2)*AW113+(1-EXP(-LN(2)/2))/(LN(2)/2)*AQ114*AT114*VLOOKUP('Données projet'!$B$10,Paramètres!$A$1:$I$89,3,0)*0.475*44/12</f>
        <v>2.2114412030796142E-5</v>
      </c>
      <c r="AX114" s="21">
        <f t="shared" si="60"/>
        <v>30.566021575721201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-1.383341441396624E-13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325.66150195494157</v>
      </c>
      <c r="BJ114" s="59">
        <f t="shared" si="92"/>
        <v>429.07526815514467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41.834192100209194</v>
      </c>
      <c r="BQ114" s="21">
        <f>EXP(-LN(2)/25)*BQ113+(1-EXP(-LN(2)/25))/(LN(2)/25)*Calculateur!BL114*Calculateur!BN114*VLOOKUP('Données projet'!$B$11,Paramètres!$A$1:$I$89,3,0)*0.475*44/12</f>
        <v>1.7134279929644309</v>
      </c>
      <c r="BR114" s="21">
        <f>EXP(-LN(2)/2)*BR113+(1-EXP(-LN(2)/2))/(LN(2)/2)*BL114*BO114*VLOOKUP('Données projet'!$B$11,Paramètres!$A$1:$I$89,3,0)*0.475*44/12</f>
        <v>1.4849099245209606E-8</v>
      </c>
      <c r="BS114" s="22">
        <f t="shared" si="63"/>
        <v>43.547620108022727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7">
        <f t="shared" si="56"/>
        <v>509.80633640488338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319</v>
      </c>
      <c r="O115" s="13">
        <f>N115*VLOOKUP('Données projet'!$B$9,Paramètres!$A$1:$I$89,3,0)*VLOOKUP('Données projet'!$B$9,Paramètres!$A$1:$I$89,5,0)</f>
        <v>253.79640000000001</v>
      </c>
      <c r="P115" s="13">
        <f t="shared" si="87"/>
        <v>61.39816832228076</v>
      </c>
      <c r="Q115" s="20">
        <f t="shared" si="107"/>
        <v>548.96387316130563</v>
      </c>
      <c r="R115" s="59">
        <f t="shared" si="55"/>
        <v>842.29720649463889</v>
      </c>
      <c r="S115" s="59">
        <f ca="1">AVERAGE(OFFSET($R$3,0,0,'Données projet'!$E$9+1,1))-AVERAGE(OFFSET($H$3,0,0,'Données projet'!$E$9+1,1))</f>
        <v>244.71206779102869</v>
      </c>
      <c r="T115" s="59">
        <f t="shared" si="88"/>
        <v>248.77995374147798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20.015585611058782</v>
      </c>
      <c r="AA115" s="21">
        <f>EXP(-LN(2)/25)*AA114+(1-EXP(-LN(2)/25))/(LN(2)/25)*Calculateur!V115*Calculateur!X115*VLOOKUP('Données projet'!$B$9,Paramètres!$A$1:$I$89,3,0)*0.475*44/12</f>
        <v>1.4206291199760825</v>
      </c>
      <c r="AB115" s="21">
        <f>EXP(-LN(2)/2)*AB114+(1-EXP(-LN(2)/2))/(LN(2)/2)*V115*Y115*VLOOKUP('Données projet'!$B$9,Paramètres!$A$1:$I$89,3,0)*0.475*44/12</f>
        <v>9.3581373212040439E-6</v>
      </c>
      <c r="AC115" s="22">
        <f t="shared" si="57"/>
        <v>21.436224089172189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290.17948717948696</v>
      </c>
      <c r="AJ115" s="13">
        <f>AI115*VLOOKUP('Données projet'!$B$10,Paramètres!$A$1:$I$89,3,0)*VLOOKUP('Données projet'!$B$10,Paramètres!$A$1:$I$89,5,0)</f>
        <v>194.65239999999986</v>
      </c>
      <c r="AK115" s="13">
        <f t="shared" si="89"/>
        <v>48.567079789480402</v>
      </c>
      <c r="AL115" s="20">
        <f t="shared" si="58"/>
        <v>423.60726063334477</v>
      </c>
      <c r="AM115" s="59">
        <f t="shared" si="59"/>
        <v>716.94059396667808</v>
      </c>
      <c r="AN115" s="59">
        <f ca="1">AVERAGE(OFFSET($AM$3,0,0,'Données projet'!$E$10+1,1))-AVERAGE(OFFSET($H$3,0,0,'Données projet'!$E$10+1,1))</f>
        <v>177.71717275462748</v>
      </c>
      <c r="AO115" s="59">
        <f t="shared" si="90"/>
        <v>183.73714278300957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28.52371227930902</v>
      </c>
      <c r="AV115" s="21">
        <f>EXP(-LN(2)/25)*AV114+(1-EXP(-LN(2)/25))/(LN(2)/25)*Calculateur!AQ115*Calculateur!AS115*VLOOKUP('Données projet'!$B$10,Paramètres!$A$1:$I$89,3,0)*0.475*44/12</f>
        <v>1.4315214829214609</v>
      </c>
      <c r="AW115" s="21">
        <f>EXP(-LN(2)/2)*AW114+(1-EXP(-LN(2)/2))/(LN(2)/2)*AQ115*AT115*VLOOKUP('Données projet'!$B$10,Paramètres!$A$1:$I$89,3,0)*0.475*44/12</f>
        <v>1.5637250708929321E-5</v>
      </c>
      <c r="AX115" s="21">
        <f t="shared" si="60"/>
        <v>29.95524939948119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-1.383341441396624E-13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325.66150195494157</v>
      </c>
      <c r="BJ115" s="59">
        <f t="shared" si="92"/>
        <v>429.07526815514467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41.013849109461745</v>
      </c>
      <c r="BQ115" s="21">
        <f>EXP(-LN(2)/25)*BQ114+(1-EXP(-LN(2)/25))/(LN(2)/25)*Calculateur!BL115*Calculateur!BN115*VLOOKUP('Données projet'!$B$11,Paramètres!$A$1:$I$89,3,0)*0.475*44/12</f>
        <v>1.6665742143915565</v>
      </c>
      <c r="BR115" s="21">
        <f>EXP(-LN(2)/2)*BR114+(1-EXP(-LN(2)/2))/(LN(2)/2)*BL115*BO115*VLOOKUP('Données projet'!$B$11,Paramètres!$A$1:$I$89,3,0)*0.475*44/12</f>
        <v>1.0499898770799757E-8</v>
      </c>
      <c r="BS115" s="22">
        <f t="shared" si="63"/>
        <v>42.6804233343532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7">
        <f t="shared" si="56"/>
        <v>511.69107048862929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319</v>
      </c>
      <c r="O116" s="13">
        <f>N116*VLOOKUP('Données projet'!$B$9,Paramètres!$A$1:$I$89,3,0)*VLOOKUP('Données projet'!$B$9,Paramètres!$A$1:$I$89,5,0)</f>
        <v>253.79640000000001</v>
      </c>
      <c r="P116" s="13">
        <f t="shared" si="87"/>
        <v>61.39816832228076</v>
      </c>
      <c r="Q116" s="20">
        <f t="shared" si="107"/>
        <v>548.96387316130563</v>
      </c>
      <c r="R116" s="59">
        <f t="shared" si="55"/>
        <v>842.29720649463889</v>
      </c>
      <c r="S116" s="59">
        <f ca="1">AVERAGE(OFFSET($R$3,0,0,'Données projet'!$E$9+1,1))-AVERAGE(OFFSET($H$3,0,0,'Données projet'!$E$9+1,1))</f>
        <v>244.71206779102869</v>
      </c>
      <c r="T116" s="59">
        <f t="shared" si="88"/>
        <v>248.77995374147798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19.623092185527671</v>
      </c>
      <c r="AA116" s="21">
        <f>EXP(-LN(2)/25)*AA115+(1-EXP(-LN(2)/25))/(LN(2)/25)*Calculateur!V116*Calculateur!X116*VLOOKUP('Données projet'!$B$9,Paramètres!$A$1:$I$89,3,0)*0.475*44/12</f>
        <v>1.381781941982698</v>
      </c>
      <c r="AB116" s="21">
        <f>EXP(-LN(2)/2)*AB115+(1-EXP(-LN(2)/2))/(LN(2)/2)*V116*Y116*VLOOKUP('Données projet'!$B$9,Paramètres!$A$1:$I$89,3,0)*0.475*44/12</f>
        <v>6.6172023590982919E-6</v>
      </c>
      <c r="AC116" s="22">
        <f t="shared" si="57"/>
        <v>21.004880744712729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290.17948717948696</v>
      </c>
      <c r="AJ116" s="13">
        <f>AI116*VLOOKUP('Données projet'!$B$10,Paramètres!$A$1:$I$89,3,0)*VLOOKUP('Données projet'!$B$10,Paramètres!$A$1:$I$89,5,0)</f>
        <v>194.65239999999986</v>
      </c>
      <c r="AK116" s="13">
        <f t="shared" si="89"/>
        <v>48.567079789480402</v>
      </c>
      <c r="AL116" s="20">
        <f t="shared" si="58"/>
        <v>423.60726063334477</v>
      </c>
      <c r="AM116" s="59">
        <f t="shared" si="59"/>
        <v>716.94059396667808</v>
      </c>
      <c r="AN116" s="59">
        <f ca="1">AVERAGE(OFFSET($AM$3,0,0,'Données projet'!$E$10+1,1))-AVERAGE(OFFSET($H$3,0,0,'Données projet'!$E$10+1,1))</f>
        <v>177.71717275462748</v>
      </c>
      <c r="AO116" s="59">
        <f t="shared" si="90"/>
        <v>183.73714278300957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27.964379679258375</v>
      </c>
      <c r="AV116" s="21">
        <f>EXP(-LN(2)/25)*AV115+(1-EXP(-LN(2)/25))/(LN(2)/25)*Calculateur!AQ116*Calculateur!AS116*VLOOKUP('Données projet'!$B$10,Paramètres!$A$1:$I$89,3,0)*0.475*44/12</f>
        <v>1.3923764526905305</v>
      </c>
      <c r="AW116" s="21">
        <f>EXP(-LN(2)/2)*AW115+(1-EXP(-LN(2)/2))/(LN(2)/2)*AQ116*AT116*VLOOKUP('Données projet'!$B$10,Paramètres!$A$1:$I$89,3,0)*0.475*44/12</f>
        <v>1.1057206015398071E-5</v>
      </c>
      <c r="AX116" s="21">
        <f t="shared" si="60"/>
        <v>29.356767189154922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-1.383341441396624E-13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325.66150195494157</v>
      </c>
      <c r="BJ116" s="59">
        <f t="shared" si="92"/>
        <v>429.07526815514467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40.209592544403037</v>
      </c>
      <c r="BQ116" s="21">
        <f>EXP(-LN(2)/25)*BQ115+(1-EXP(-LN(2)/25))/(LN(2)/25)*Calculateur!BL116*Calculateur!BN116*VLOOKUP('Données projet'!$B$11,Paramètres!$A$1:$I$89,3,0)*0.475*44/12</f>
        <v>1.6210016548576904</v>
      </c>
      <c r="BR116" s="21">
        <f>EXP(-LN(2)/2)*BR115+(1-EXP(-LN(2)/2))/(LN(2)/2)*BL116*BO116*VLOOKUP('Données projet'!$B$11,Paramètres!$A$1:$I$89,3,0)*0.475*44/12</f>
        <v>7.4245496226048037E-9</v>
      </c>
      <c r="BS116" s="22">
        <f t="shared" si="63"/>
        <v>41.830594206685277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7">
        <f t="shared" si="56"/>
        <v>513.5754306171973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319</v>
      </c>
      <c r="O117" s="13">
        <f>N117*VLOOKUP('Données projet'!$B$9,Paramètres!$A$1:$I$89,3,0)*VLOOKUP('Données projet'!$B$9,Paramètres!$A$1:$I$89,5,0)</f>
        <v>253.79640000000001</v>
      </c>
      <c r="P117" s="13">
        <f t="shared" si="87"/>
        <v>61.39816832228076</v>
      </c>
      <c r="Q117" s="20">
        <f t="shared" si="107"/>
        <v>548.96387316130563</v>
      </c>
      <c r="R117" s="59">
        <f t="shared" si="55"/>
        <v>842.29720649463889</v>
      </c>
      <c r="S117" s="59">
        <f ca="1">AVERAGE(OFFSET($R$3,0,0,'Données projet'!$E$9+1,1))-AVERAGE(OFFSET($H$3,0,0,'Données projet'!$E$9+1,1))</f>
        <v>244.71206779102869</v>
      </c>
      <c r="T117" s="59">
        <f t="shared" si="88"/>
        <v>248.77995374147798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19.238295316673877</v>
      </c>
      <c r="AA117" s="21">
        <f>EXP(-LN(2)/25)*AA116+(1-EXP(-LN(2)/25))/(LN(2)/25)*Calculateur!V117*Calculateur!X117*VLOOKUP('Données projet'!$B$9,Paramètres!$A$1:$I$89,3,0)*0.475*44/12</f>
        <v>1.3439970421144269</v>
      </c>
      <c r="AB117" s="21">
        <f>EXP(-LN(2)/2)*AB116+(1-EXP(-LN(2)/2))/(LN(2)/2)*V117*Y117*VLOOKUP('Données projet'!$B$9,Paramètres!$A$1:$I$89,3,0)*0.475*44/12</f>
        <v>4.6790686606020219E-6</v>
      </c>
      <c r="AC117" s="22">
        <f t="shared" si="57"/>
        <v>20.582297037856964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290.17948717948696</v>
      </c>
      <c r="AJ117" s="13">
        <f>AI117*VLOOKUP('Données projet'!$B$10,Paramètres!$A$1:$I$89,3,0)*VLOOKUP('Données projet'!$B$10,Paramètres!$A$1:$I$89,5,0)</f>
        <v>194.65239999999986</v>
      </c>
      <c r="AK117" s="13">
        <f t="shared" si="89"/>
        <v>48.567079789480402</v>
      </c>
      <c r="AL117" s="20">
        <f t="shared" si="58"/>
        <v>423.60726063334477</v>
      </c>
      <c r="AM117" s="59">
        <f t="shared" si="59"/>
        <v>716.94059396667808</v>
      </c>
      <c r="AN117" s="59">
        <f ca="1">AVERAGE(OFFSET($AM$3,0,0,'Données projet'!$E$10+1,1))-AVERAGE(OFFSET($H$3,0,0,'Données projet'!$E$10+1,1))</f>
        <v>177.71717275462748</v>
      </c>
      <c r="AO117" s="59">
        <f t="shared" si="90"/>
        <v>183.73714278300957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27.416015250335523</v>
      </c>
      <c r="AV117" s="21">
        <f>EXP(-LN(2)/25)*AV116+(1-EXP(-LN(2)/25))/(LN(2)/25)*Calculateur!AQ117*Calculateur!AS117*VLOOKUP('Données projet'!$B$10,Paramètres!$A$1:$I$89,3,0)*0.475*44/12</f>
        <v>1.3543018453698126</v>
      </c>
      <c r="AW117" s="21">
        <f>EXP(-LN(2)/2)*AW116+(1-EXP(-LN(2)/2))/(LN(2)/2)*AQ117*AT117*VLOOKUP('Données projet'!$B$10,Paramètres!$A$1:$I$89,3,0)*0.475*44/12</f>
        <v>7.8186253544646605E-6</v>
      </c>
      <c r="AX117" s="21">
        <f t="shared" si="60"/>
        <v>28.77032491433069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-1.383341441396624E-13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325.66150195494157</v>
      </c>
      <c r="BJ117" s="59">
        <f t="shared" si="92"/>
        <v>429.07526815514467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39.421106960037058</v>
      </c>
      <c r="BQ117" s="21">
        <f>EXP(-LN(2)/25)*BQ116+(1-EXP(-LN(2)/25))/(LN(2)/25)*Calculateur!BL117*Calculateur!BN117*VLOOKUP('Données projet'!$B$11,Paramètres!$A$1:$I$89,3,0)*0.475*44/12</f>
        <v>1.5766752793608347</v>
      </c>
      <c r="BR117" s="21">
        <f>EXP(-LN(2)/2)*BR116+(1-EXP(-LN(2)/2))/(LN(2)/2)*BL117*BO117*VLOOKUP('Données projet'!$B$11,Paramètres!$A$1:$I$89,3,0)*0.475*44/12</f>
        <v>5.2499493853998795E-9</v>
      </c>
      <c r="BS117" s="22">
        <f t="shared" si="63"/>
        <v>40.997782244647844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7">
        <f t="shared" si="56"/>
        <v>515.45942045094944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319</v>
      </c>
      <c r="O118" s="13">
        <f>N118*VLOOKUP('Données projet'!$B$9,Paramètres!$A$1:$I$89,3,0)*VLOOKUP('Données projet'!$B$9,Paramètres!$A$1:$I$89,5,0)</f>
        <v>253.79640000000001</v>
      </c>
      <c r="P118" s="13">
        <f t="shared" si="87"/>
        <v>61.39816832228076</v>
      </c>
      <c r="Q118" s="20">
        <f t="shared" si="107"/>
        <v>548.96387316130563</v>
      </c>
      <c r="R118" s="59">
        <f t="shared" si="55"/>
        <v>842.29720649463889</v>
      </c>
      <c r="S118" s="59">
        <f ca="1">AVERAGE(OFFSET($R$3,0,0,'Données projet'!$E$9+1,1))-AVERAGE(OFFSET($H$3,0,0,'Données projet'!$E$9+1,1))</f>
        <v>244.71206779102869</v>
      </c>
      <c r="T118" s="59">
        <f t="shared" si="88"/>
        <v>248.77995374147798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18.861044079715391</v>
      </c>
      <c r="AA118" s="21">
        <f>EXP(-LN(2)/25)*AA117+(1-EXP(-LN(2)/25))/(LN(2)/25)*Calculateur!V118*Calculateur!X118*VLOOKUP('Données projet'!$B$9,Paramètres!$A$1:$I$89,3,0)*0.475*44/12</f>
        <v>1.3072453723200752</v>
      </c>
      <c r="AB118" s="21">
        <f>EXP(-LN(2)/2)*AB117+(1-EXP(-LN(2)/2))/(LN(2)/2)*V118*Y118*VLOOKUP('Données projet'!$B$9,Paramètres!$A$1:$I$89,3,0)*0.475*44/12</f>
        <v>3.308601179549146E-6</v>
      </c>
      <c r="AC118" s="22">
        <f t="shared" si="57"/>
        <v>20.168292760636646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290.17948717948696</v>
      </c>
      <c r="AJ118" s="13">
        <f>AI118*VLOOKUP('Données projet'!$B$10,Paramètres!$A$1:$I$89,3,0)*VLOOKUP('Données projet'!$B$10,Paramètres!$A$1:$I$89,5,0)</f>
        <v>194.65239999999986</v>
      </c>
      <c r="AK118" s="13">
        <f t="shared" si="89"/>
        <v>48.567079789480402</v>
      </c>
      <c r="AL118" s="20">
        <f t="shared" si="58"/>
        <v>423.60726063334477</v>
      </c>
      <c r="AM118" s="59">
        <f t="shared" si="59"/>
        <v>716.94059396667808</v>
      </c>
      <c r="AN118" s="59">
        <f ca="1">AVERAGE(OFFSET($AM$3,0,0,'Données projet'!$E$10+1,1))-AVERAGE(OFFSET($H$3,0,0,'Données projet'!$E$10+1,1))</f>
        <v>177.71717275462748</v>
      </c>
      <c r="AO118" s="59">
        <f t="shared" si="90"/>
        <v>183.73714278300957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26.878403913394575</v>
      </c>
      <c r="AV118" s="21">
        <f>EXP(-LN(2)/25)*AV117+(1-EXP(-LN(2)/25))/(LN(2)/25)*Calculateur!AQ118*Calculateur!AS118*VLOOKUP('Données projet'!$B$10,Paramètres!$A$1:$I$89,3,0)*0.475*44/12</f>
        <v>1.3172683901885363</v>
      </c>
      <c r="AW118" s="21">
        <f>EXP(-LN(2)/2)*AW117+(1-EXP(-LN(2)/2))/(LN(2)/2)*AQ118*AT118*VLOOKUP('Données projet'!$B$10,Paramètres!$A$1:$I$89,3,0)*0.475*44/12</f>
        <v>5.5286030076990354E-6</v>
      </c>
      <c r="AX118" s="21">
        <f t="shared" si="60"/>
        <v>28.195677832186121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-1.383341441396624E-13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325.66150195494157</v>
      </c>
      <c r="BJ118" s="59">
        <f t="shared" si="92"/>
        <v>429.07526815514467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38.648083097051781</v>
      </c>
      <c r="BQ118" s="21">
        <f>EXP(-LN(2)/25)*BQ117+(1-EXP(-LN(2)/25))/(LN(2)/25)*Calculateur!BL118*Calculateur!BN118*VLOOKUP('Données projet'!$B$11,Paramètres!$A$1:$I$89,3,0)*0.475*44/12</f>
        <v>1.5335610109329634</v>
      </c>
      <c r="BR118" s="21">
        <f>EXP(-LN(2)/2)*BR117+(1-EXP(-LN(2)/2))/(LN(2)/2)*BL118*BO118*VLOOKUP('Données projet'!$B$11,Paramètres!$A$1:$I$89,3,0)*0.475*44/12</f>
        <v>3.7122748113024027E-9</v>
      </c>
      <c r="BS118" s="22">
        <f t="shared" si="63"/>
        <v>40.181644111697018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7">
        <f t="shared" si="56"/>
        <v>517.34304358291536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319</v>
      </c>
      <c r="O119" s="13">
        <f>N119*VLOOKUP('Données projet'!$B$9,Paramètres!$A$1:$I$89,3,0)*VLOOKUP('Données projet'!$B$9,Paramètres!$A$1:$I$89,5,0)</f>
        <v>253.79640000000001</v>
      </c>
      <c r="P119" s="13">
        <f t="shared" si="87"/>
        <v>61.39816832228076</v>
      </c>
      <c r="Q119" s="20">
        <f t="shared" si="107"/>
        <v>548.96387316130563</v>
      </c>
      <c r="R119" s="59">
        <f t="shared" si="55"/>
        <v>842.29720649463889</v>
      </c>
      <c r="S119" s="59">
        <f ca="1">AVERAGE(OFFSET($R$3,0,0,'Données projet'!$E$9+1,1))-AVERAGE(OFFSET($H$3,0,0,'Données projet'!$E$9+1,1))</f>
        <v>244.71206779102869</v>
      </c>
      <c r="T119" s="59">
        <f t="shared" si="88"/>
        <v>248.77995374147798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18.491190509413126</v>
      </c>
      <c r="AA119" s="21">
        <f>EXP(-LN(2)/25)*AA118+(1-EXP(-LN(2)/25))/(LN(2)/25)*Calculateur!V119*Calculateur!X119*VLOOKUP('Données projet'!$B$9,Paramètres!$A$1:$I$89,3,0)*0.475*44/12</f>
        <v>1.2714986788689364</v>
      </c>
      <c r="AB119" s="21">
        <f>EXP(-LN(2)/2)*AB118+(1-EXP(-LN(2)/2))/(LN(2)/2)*V119*Y119*VLOOKUP('Données projet'!$B$9,Paramètres!$A$1:$I$89,3,0)*0.475*44/12</f>
        <v>2.339534330301011E-6</v>
      </c>
      <c r="AC119" s="22">
        <f t="shared" si="57"/>
        <v>19.762691527816393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290.17948717948696</v>
      </c>
      <c r="AJ119" s="13">
        <f>AI119*VLOOKUP('Données projet'!$B$10,Paramètres!$A$1:$I$89,3,0)*VLOOKUP('Données projet'!$B$10,Paramètres!$A$1:$I$89,5,0)</f>
        <v>194.65239999999986</v>
      </c>
      <c r="AK119" s="13">
        <f t="shared" si="89"/>
        <v>48.567079789480402</v>
      </c>
      <c r="AL119" s="20">
        <f t="shared" si="58"/>
        <v>423.60726063334477</v>
      </c>
      <c r="AM119" s="59">
        <f t="shared" si="59"/>
        <v>716.94059396667808</v>
      </c>
      <c r="AN119" s="59">
        <f ca="1">AVERAGE(OFFSET($AM$3,0,0,'Données projet'!$E$10+1,1))-AVERAGE(OFFSET($H$3,0,0,'Données projet'!$E$10+1,1))</f>
        <v>177.71717275462748</v>
      </c>
      <c r="AO119" s="59">
        <f t="shared" si="90"/>
        <v>183.73714278300957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26.3513348068605</v>
      </c>
      <c r="AV119" s="21">
        <f>EXP(-LN(2)/25)*AV118+(1-EXP(-LN(2)/25))/(LN(2)/25)*Calculateur!AQ119*Calculateur!AS119*VLOOKUP('Données projet'!$B$10,Paramètres!$A$1:$I$89,3,0)*0.475*44/12</f>
        <v>1.2812476167866969</v>
      </c>
      <c r="AW119" s="21">
        <f>EXP(-LN(2)/2)*AW118+(1-EXP(-LN(2)/2))/(LN(2)/2)*AQ119*AT119*VLOOKUP('Données projet'!$B$10,Paramètres!$A$1:$I$89,3,0)*0.475*44/12</f>
        <v>3.9093126772323303E-6</v>
      </c>
      <c r="AX119" s="21">
        <f t="shared" si="60"/>
        <v>27.632586332959875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-1.383341441396624E-13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325.66150195494157</v>
      </c>
      <c r="BJ119" s="59">
        <f t="shared" si="92"/>
        <v>429.07526815514467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37.890217760521644</v>
      </c>
      <c r="BQ119" s="21">
        <f>EXP(-LN(2)/25)*BQ118+(1-EXP(-LN(2)/25))/(LN(2)/25)*Calculateur!BL119*Calculateur!BN119*VLOOKUP('Données projet'!$B$11,Paramètres!$A$1:$I$89,3,0)*0.475*44/12</f>
        <v>1.491625704442533</v>
      </c>
      <c r="BR119" s="21">
        <f>EXP(-LN(2)/2)*BR118+(1-EXP(-LN(2)/2))/(LN(2)/2)*BL119*BO119*VLOOKUP('Données projet'!$B$11,Paramètres!$A$1:$I$89,3,0)*0.475*44/12</f>
        <v>2.6249746926999402E-9</v>
      </c>
      <c r="BS119" s="22">
        <f t="shared" si="63"/>
        <v>39.38184346758915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7">
        <f t="shared" si="56"/>
        <v>519.22630354060152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319</v>
      </c>
      <c r="O120" s="13">
        <f>N120*VLOOKUP('Données projet'!$B$9,Paramètres!$A$1:$I$89,3,0)*VLOOKUP('Données projet'!$B$9,Paramètres!$A$1:$I$89,5,0)</f>
        <v>253.79640000000001</v>
      </c>
      <c r="P120" s="13">
        <f t="shared" si="87"/>
        <v>61.39816832228076</v>
      </c>
      <c r="Q120" s="20">
        <f t="shared" si="107"/>
        <v>548.96387316130563</v>
      </c>
      <c r="R120" s="59">
        <f t="shared" si="55"/>
        <v>842.29720649463889</v>
      </c>
      <c r="S120" s="59">
        <f ca="1">AVERAGE(OFFSET($R$3,0,0,'Données projet'!$E$9+1,1))-AVERAGE(OFFSET($H$3,0,0,'Données projet'!$E$9+1,1))</f>
        <v>244.71206779102869</v>
      </c>
      <c r="T120" s="59">
        <f t="shared" si="88"/>
        <v>248.77995374147798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18.128589542036085</v>
      </c>
      <c r="AA120" s="21">
        <f>EXP(-LN(2)/25)*AA119+(1-EXP(-LN(2)/25))/(LN(2)/25)*Calculateur!V120*Calculateur!X120*VLOOKUP('Données projet'!$B$9,Paramètres!$A$1:$I$89,3,0)*0.475*44/12</f>
        <v>1.2367294806300559</v>
      </c>
      <c r="AB120" s="21">
        <f>EXP(-LN(2)/2)*AB119+(1-EXP(-LN(2)/2))/(LN(2)/2)*V120*Y120*VLOOKUP('Données projet'!$B$9,Paramètres!$A$1:$I$89,3,0)*0.475*44/12</f>
        <v>1.654300589774573E-6</v>
      </c>
      <c r="AC120" s="22">
        <f t="shared" si="57"/>
        <v>19.365320676966732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290.17948717948696</v>
      </c>
      <c r="AJ120" s="13">
        <f>AI120*VLOOKUP('Données projet'!$B$10,Paramètres!$A$1:$I$89,3,0)*VLOOKUP('Données projet'!$B$10,Paramètres!$A$1:$I$89,5,0)</f>
        <v>194.65239999999986</v>
      </c>
      <c r="AK120" s="13">
        <f t="shared" si="89"/>
        <v>48.567079789480402</v>
      </c>
      <c r="AL120" s="20">
        <f t="shared" si="58"/>
        <v>423.60726063334477</v>
      </c>
      <c r="AM120" s="59">
        <f t="shared" si="59"/>
        <v>716.94059396667808</v>
      </c>
      <c r="AN120" s="59">
        <f ca="1">AVERAGE(OFFSET($AM$3,0,0,'Données projet'!$E$10+1,1))-AVERAGE(OFFSET($H$3,0,0,'Données projet'!$E$10+1,1))</f>
        <v>177.71717275462748</v>
      </c>
      <c r="AO120" s="59">
        <f t="shared" si="90"/>
        <v>183.73714278300957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25.834601204025148</v>
      </c>
      <c r="AV120" s="21">
        <f>EXP(-LN(2)/25)*AV119+(1-EXP(-LN(2)/25))/(LN(2)/25)*Calculateur!AQ120*Calculateur!AS120*VLOOKUP('Données projet'!$B$10,Paramètres!$A$1:$I$89,3,0)*0.475*44/12</f>
        <v>1.2462118333277807</v>
      </c>
      <c r="AW120" s="21">
        <f>EXP(-LN(2)/2)*AW119+(1-EXP(-LN(2)/2))/(LN(2)/2)*AQ120*AT120*VLOOKUP('Données projet'!$B$10,Paramètres!$A$1:$I$89,3,0)*0.475*44/12</f>
        <v>2.7643015038495177E-6</v>
      </c>
      <c r="AX120" s="21">
        <f t="shared" si="60"/>
        <v>27.080815801654431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-1.383341441396624E-13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325.66150195494157</v>
      </c>
      <c r="BJ120" s="59">
        <f t="shared" si="92"/>
        <v>429.07526815514467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37.147213700988651</v>
      </c>
      <c r="BQ120" s="21">
        <f>EXP(-LN(2)/25)*BQ119+(1-EXP(-LN(2)/25))/(LN(2)/25)*Calculateur!BL120*Calculateur!BN120*VLOOKUP('Données projet'!$B$11,Paramètres!$A$1:$I$89,3,0)*0.475*44/12</f>
        <v>1.4508371211133653</v>
      </c>
      <c r="BR120" s="21">
        <f>EXP(-LN(2)/2)*BR119+(1-EXP(-LN(2)/2))/(LN(2)/2)*BL120*BO120*VLOOKUP('Données projet'!$B$11,Paramètres!$A$1:$I$89,3,0)*0.475*44/12</f>
        <v>1.8561374056512015E-9</v>
      </c>
      <c r="BS120" s="22">
        <f t="shared" si="63"/>
        <v>38.598050823958154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7">
        <f t="shared" si="56"/>
        <v>521.10920378773471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319</v>
      </c>
      <c r="O121" s="13">
        <f>N121*VLOOKUP('Données projet'!$B$9,Paramètres!$A$1:$I$89,3,0)*VLOOKUP('Données projet'!$B$9,Paramètres!$A$1:$I$89,5,0)</f>
        <v>253.79640000000001</v>
      </c>
      <c r="P121" s="13">
        <f t="shared" si="87"/>
        <v>61.39816832228076</v>
      </c>
      <c r="Q121" s="20">
        <f t="shared" si="107"/>
        <v>548.96387316130563</v>
      </c>
      <c r="R121" s="59">
        <f t="shared" si="55"/>
        <v>842.29720649463889</v>
      </c>
      <c r="S121" s="59">
        <f ca="1">AVERAGE(OFFSET($R$3,0,0,'Données projet'!$E$9+1,1))-AVERAGE(OFFSET($H$3,0,0,'Données projet'!$E$9+1,1))</f>
        <v>244.71206779102869</v>
      </c>
      <c r="T121" s="59">
        <f t="shared" si="88"/>
        <v>248.77995374147798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17.773098958464555</v>
      </c>
      <c r="AA121" s="21">
        <f>EXP(-LN(2)/25)*AA120+(1-EXP(-LN(2)/25))/(LN(2)/25)*Calculateur!V121*Calculateur!X121*VLOOKUP('Données projet'!$B$9,Paramètres!$A$1:$I$89,3,0)*0.475*44/12</f>
        <v>1.2029110479454503</v>
      </c>
      <c r="AB121" s="21">
        <f>EXP(-LN(2)/2)*AB120+(1-EXP(-LN(2)/2))/(LN(2)/2)*V121*Y121*VLOOKUP('Données projet'!$B$9,Paramètres!$A$1:$I$89,3,0)*0.475*44/12</f>
        <v>1.1697671651505055E-6</v>
      </c>
      <c r="AC121" s="22">
        <f t="shared" si="57"/>
        <v>18.97601117617717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290.17948717948696</v>
      </c>
      <c r="AJ121" s="13">
        <f>AI121*VLOOKUP('Données projet'!$B$10,Paramètres!$A$1:$I$89,3,0)*VLOOKUP('Données projet'!$B$10,Paramètres!$A$1:$I$89,5,0)</f>
        <v>194.65239999999986</v>
      </c>
      <c r="AK121" s="13">
        <f t="shared" si="89"/>
        <v>48.567079789480402</v>
      </c>
      <c r="AL121" s="20">
        <f t="shared" si="58"/>
        <v>423.60726063334477</v>
      </c>
      <c r="AM121" s="59">
        <f t="shared" si="59"/>
        <v>716.94059396667808</v>
      </c>
      <c r="AN121" s="59">
        <f ca="1">AVERAGE(OFFSET($AM$3,0,0,'Données projet'!$E$10+1,1))-AVERAGE(OFFSET($H$3,0,0,'Données projet'!$E$10+1,1))</f>
        <v>177.71717275462748</v>
      </c>
      <c r="AO121" s="59">
        <f t="shared" si="90"/>
        <v>183.73714278300957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25.32800043196502</v>
      </c>
      <c r="AV121" s="21">
        <f>EXP(-LN(2)/25)*AV120+(1-EXP(-LN(2)/25))/(LN(2)/25)*Calculateur!AQ121*Calculateur!AS121*VLOOKUP('Données projet'!$B$10,Paramètres!$A$1:$I$89,3,0)*0.475*44/12</f>
        <v>1.2121341052100005</v>
      </c>
      <c r="AW121" s="21">
        <f>EXP(-LN(2)/2)*AW120+(1-EXP(-LN(2)/2))/(LN(2)/2)*AQ121*AT121*VLOOKUP('Données projet'!$B$10,Paramètres!$A$1:$I$89,3,0)*0.475*44/12</f>
        <v>1.9546563386161651E-6</v>
      </c>
      <c r="AX121" s="21">
        <f t="shared" si="60"/>
        <v>26.540136491831358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-1.383341441396624E-13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325.66150195494157</v>
      </c>
      <c r="BJ121" s="59">
        <f t="shared" si="92"/>
        <v>429.07526815514467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36.41877949787537</v>
      </c>
      <c r="BQ121" s="21">
        <f>EXP(-LN(2)/25)*BQ120+(1-EXP(-LN(2)/25))/(LN(2)/25)*Calculateur!BL121*Calculateur!BN121*VLOOKUP('Données projet'!$B$11,Paramètres!$A$1:$I$89,3,0)*0.475*44/12</f>
        <v>1.4111639037403121</v>
      </c>
      <c r="BR121" s="21">
        <f>EXP(-LN(2)/2)*BR120+(1-EXP(-LN(2)/2))/(LN(2)/2)*BL121*BO121*VLOOKUP('Données projet'!$B$11,Paramètres!$A$1:$I$89,3,0)*0.475*44/12</f>
        <v>1.3124873463499703E-9</v>
      </c>
      <c r="BS121" s="22">
        <f t="shared" si="63"/>
        <v>37.829943402928166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7">
        <f t="shared" si="56"/>
        <v>522.99174772594654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319</v>
      </c>
      <c r="O122" s="13">
        <f>N122*VLOOKUP('Données projet'!$B$9,Paramètres!$A$1:$I$89,3,0)*VLOOKUP('Données projet'!$B$9,Paramètres!$A$1:$I$89,5,0)</f>
        <v>253.79640000000001</v>
      </c>
      <c r="P122" s="13">
        <f t="shared" si="87"/>
        <v>61.39816832228076</v>
      </c>
      <c r="Q122" s="20">
        <f t="shared" si="107"/>
        <v>548.96387316130563</v>
      </c>
      <c r="R122" s="59">
        <f t="shared" si="55"/>
        <v>842.29720649463889</v>
      </c>
      <c r="S122" s="59">
        <f ca="1">AVERAGE(OFFSET($R$3,0,0,'Données projet'!$E$9+1,1))-AVERAGE(OFFSET($H$3,0,0,'Données projet'!$E$9+1,1))</f>
        <v>244.71206779102869</v>
      </c>
      <c r="T122" s="59">
        <f t="shared" si="88"/>
        <v>248.77995374147798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17.424579328409017</v>
      </c>
      <c r="AA122" s="21">
        <f>EXP(-LN(2)/25)*AA121+(1-EXP(-LN(2)/25))/(LN(2)/25)*Calculateur!V122*Calculateur!X122*VLOOKUP('Données projet'!$B$9,Paramètres!$A$1:$I$89,3,0)*0.475*44/12</f>
        <v>1.1700173820810393</v>
      </c>
      <c r="AB122" s="21">
        <f>EXP(-LN(2)/2)*AB121+(1-EXP(-LN(2)/2))/(LN(2)/2)*V122*Y122*VLOOKUP('Données projet'!$B$9,Paramètres!$A$1:$I$89,3,0)*0.475*44/12</f>
        <v>8.2715029488728649E-7</v>
      </c>
      <c r="AC122" s="22">
        <f t="shared" si="57"/>
        <v>18.59459753764035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290.17948717948696</v>
      </c>
      <c r="AJ122" s="13">
        <f>AI122*VLOOKUP('Données projet'!$B$10,Paramètres!$A$1:$I$89,3,0)*VLOOKUP('Données projet'!$B$10,Paramètres!$A$1:$I$89,5,0)</f>
        <v>194.65239999999986</v>
      </c>
      <c r="AK122" s="13">
        <f t="shared" si="89"/>
        <v>48.567079789480402</v>
      </c>
      <c r="AL122" s="20">
        <f t="shared" si="58"/>
        <v>423.60726063334477</v>
      </c>
      <c r="AM122" s="59">
        <f t="shared" si="59"/>
        <v>716.94059396667808</v>
      </c>
      <c r="AN122" s="59">
        <f ca="1">AVERAGE(OFFSET($AM$3,0,0,'Données projet'!$E$10+1,1))-AVERAGE(OFFSET($H$3,0,0,'Données projet'!$E$10+1,1))</f>
        <v>177.71717275462748</v>
      </c>
      <c r="AO122" s="59">
        <f t="shared" si="90"/>
        <v>183.73714278300957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24.83133379204903</v>
      </c>
      <c r="AV122" s="21">
        <f>EXP(-LN(2)/25)*AV121+(1-EXP(-LN(2)/25))/(LN(2)/25)*Calculateur!AQ122*Calculateur!AS122*VLOOKUP('Données projet'!$B$10,Paramètres!$A$1:$I$89,3,0)*0.475*44/12</f>
        <v>1.1789882343596709</v>
      </c>
      <c r="AW122" s="21">
        <f>EXP(-LN(2)/2)*AW121+(1-EXP(-LN(2)/2))/(LN(2)/2)*AQ122*AT122*VLOOKUP('Données projet'!$B$10,Paramètres!$A$1:$I$89,3,0)*0.475*44/12</f>
        <v>1.3821507519247589E-6</v>
      </c>
      <c r="AX122" s="21">
        <f t="shared" si="60"/>
        <v>26.010323408559454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-1.383341441396624E-13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325.66150195494157</v>
      </c>
      <c r="BJ122" s="59">
        <f t="shared" si="92"/>
        <v>429.07526815514467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35.704629445184153</v>
      </c>
      <c r="BQ122" s="21">
        <f>EXP(-LN(2)/25)*BQ121+(1-EXP(-LN(2)/25))/(LN(2)/25)*Calculateur!BL122*Calculateur!BN122*VLOOKUP('Données projet'!$B$11,Paramètres!$A$1:$I$89,3,0)*0.475*44/12</f>
        <v>1.3725755525826489</v>
      </c>
      <c r="BR122" s="21">
        <f>EXP(-LN(2)/2)*BR121+(1-EXP(-LN(2)/2))/(LN(2)/2)*BL122*BO122*VLOOKUP('Données projet'!$B$11,Paramètres!$A$1:$I$89,3,0)*0.475*44/12</f>
        <v>9.2806870282560087E-10</v>
      </c>
      <c r="BS122" s="22">
        <f t="shared" si="63"/>
        <v>37.077204998694867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7">
        <f t="shared" si="56"/>
        <v>524.873938696398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319</v>
      </c>
      <c r="O123" s="13">
        <f>N123*VLOOKUP('Données projet'!$B$9,Paramètres!$A$1:$I$89,3,0)*VLOOKUP('Données projet'!$B$9,Paramètres!$A$1:$I$89,5,0)</f>
        <v>253.79640000000001</v>
      </c>
      <c r="P123" s="13">
        <f t="shared" si="87"/>
        <v>61.39816832228076</v>
      </c>
      <c r="Q123" s="20">
        <f t="shared" si="107"/>
        <v>548.96387316130563</v>
      </c>
      <c r="R123" s="59">
        <f t="shared" si="55"/>
        <v>842.29720649463889</v>
      </c>
      <c r="S123" s="59">
        <f ca="1">AVERAGE(OFFSET($R$3,0,0,'Données projet'!$E$9+1,1))-AVERAGE(OFFSET($H$3,0,0,'Données projet'!$E$9+1,1))</f>
        <v>244.71206779102869</v>
      </c>
      <c r="T123" s="59">
        <f t="shared" si="88"/>
        <v>248.77995374147798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17.082893955722884</v>
      </c>
      <c r="AA123" s="21">
        <f>EXP(-LN(2)/25)*AA122+(1-EXP(-LN(2)/25))/(LN(2)/25)*Calculateur!V123*Calculateur!X123*VLOOKUP('Données projet'!$B$9,Paramètres!$A$1:$I$89,3,0)*0.475*44/12</f>
        <v>1.1380231952394932</v>
      </c>
      <c r="AB123" s="21">
        <f>EXP(-LN(2)/2)*AB122+(1-EXP(-LN(2)/2))/(LN(2)/2)*V123*Y123*VLOOKUP('Données projet'!$B$9,Paramètres!$A$1:$I$89,3,0)*0.475*44/12</f>
        <v>5.8488358257525274E-7</v>
      </c>
      <c r="AC123" s="22">
        <f t="shared" si="57"/>
        <v>18.220917735845962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290.17948717948696</v>
      </c>
      <c r="AJ123" s="13">
        <f>AI123*VLOOKUP('Données projet'!$B$10,Paramètres!$A$1:$I$89,3,0)*VLOOKUP('Données projet'!$B$10,Paramètres!$A$1:$I$89,5,0)</f>
        <v>194.65239999999986</v>
      </c>
      <c r="AK123" s="13">
        <f t="shared" si="89"/>
        <v>48.567079789480402</v>
      </c>
      <c r="AL123" s="20">
        <f t="shared" si="58"/>
        <v>423.60726063334477</v>
      </c>
      <c r="AM123" s="59">
        <f t="shared" si="59"/>
        <v>716.94059396667808</v>
      </c>
      <c r="AN123" s="59">
        <f ca="1">AVERAGE(OFFSET($AM$3,0,0,'Données projet'!$E$10+1,1))-AVERAGE(OFFSET($H$3,0,0,'Données projet'!$E$10+1,1))</f>
        <v>177.71717275462748</v>
      </c>
      <c r="AO123" s="59">
        <f t="shared" si="90"/>
        <v>183.73714278300957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24.344406482005056</v>
      </c>
      <c r="AV123" s="21">
        <f>EXP(-LN(2)/25)*AV122+(1-EXP(-LN(2)/25))/(LN(2)/25)*Calculateur!AQ123*Calculateur!AS123*VLOOKUP('Données projet'!$B$10,Paramètres!$A$1:$I$89,3,0)*0.475*44/12</f>
        <v>1.1467487390908091</v>
      </c>
      <c r="AW123" s="21">
        <f>EXP(-LN(2)/2)*AW122+(1-EXP(-LN(2)/2))/(LN(2)/2)*AQ123*AT123*VLOOKUP('Données projet'!$B$10,Paramètres!$A$1:$I$89,3,0)*0.475*44/12</f>
        <v>9.7732816930808256E-7</v>
      </c>
      <c r="AX123" s="21">
        <f t="shared" si="60"/>
        <v>25.491156198424036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-1.383341441396624E-13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325.66150195494157</v>
      </c>
      <c r="BJ123" s="59">
        <f t="shared" si="92"/>
        <v>429.07526815514467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35.004483439437685</v>
      </c>
      <c r="BQ123" s="21">
        <f>EXP(-LN(2)/25)*BQ122+(1-EXP(-LN(2)/25))/(LN(2)/25)*Calculateur!BL123*Calculateur!BN123*VLOOKUP('Données projet'!$B$11,Paramètres!$A$1:$I$89,3,0)*0.475*44/12</f>
        <v>1.3350424019166651</v>
      </c>
      <c r="BR123" s="21">
        <f>EXP(-LN(2)/2)*BR122+(1-EXP(-LN(2)/2))/(LN(2)/2)*BL123*BO123*VLOOKUP('Données projet'!$B$11,Paramètres!$A$1:$I$89,3,0)*0.475*44/12</f>
        <v>6.5624367317498525E-10</v>
      </c>
      <c r="BS123" s="22">
        <f t="shared" si="63"/>
        <v>36.339525842010595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7">
        <f t="shared" si="56"/>
        <v>526.75577998135009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319</v>
      </c>
      <c r="O124" s="13">
        <f>N124*VLOOKUP('Données projet'!$B$9,Paramètres!$A$1:$I$89,3,0)*VLOOKUP('Données projet'!$B$9,Paramètres!$A$1:$I$89,5,0)</f>
        <v>253.79640000000001</v>
      </c>
      <c r="P124" s="13">
        <f t="shared" si="87"/>
        <v>61.39816832228076</v>
      </c>
      <c r="Q124" s="20">
        <f t="shared" si="107"/>
        <v>548.96387316130563</v>
      </c>
      <c r="R124" s="59">
        <f t="shared" si="55"/>
        <v>842.29720649463889</v>
      </c>
      <c r="S124" s="59">
        <f ca="1">AVERAGE(OFFSET($R$3,0,0,'Données projet'!$E$9+1,1))-AVERAGE(OFFSET($H$3,0,0,'Données projet'!$E$9+1,1))</f>
        <v>244.71206779102869</v>
      </c>
      <c r="T124" s="59">
        <f t="shared" si="88"/>
        <v>248.77995374147798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16.747908824787629</v>
      </c>
      <c r="AA124" s="21">
        <f>EXP(-LN(2)/25)*AA123+(1-EXP(-LN(2)/25))/(LN(2)/25)*Calculateur!V124*Calculateur!X124*VLOOKUP('Données projet'!$B$9,Paramètres!$A$1:$I$89,3,0)*0.475*44/12</f>
        <v>1.1069038911196305</v>
      </c>
      <c r="AB124" s="21">
        <f>EXP(-LN(2)/2)*AB123+(1-EXP(-LN(2)/2))/(LN(2)/2)*V124*Y124*VLOOKUP('Données projet'!$B$9,Paramètres!$A$1:$I$89,3,0)*0.475*44/12</f>
        <v>4.1357514744364325E-7</v>
      </c>
      <c r="AC124" s="22">
        <f t="shared" si="57"/>
        <v>17.854813129482405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290.17948717948696</v>
      </c>
      <c r="AJ124" s="13">
        <f>AI124*VLOOKUP('Données projet'!$B$10,Paramètres!$A$1:$I$89,3,0)*VLOOKUP('Données projet'!$B$10,Paramètres!$A$1:$I$89,5,0)</f>
        <v>194.65239999999986</v>
      </c>
      <c r="AK124" s="13">
        <f t="shared" si="89"/>
        <v>48.567079789480402</v>
      </c>
      <c r="AL124" s="20">
        <f t="shared" si="58"/>
        <v>423.60726063334477</v>
      </c>
      <c r="AM124" s="59">
        <f t="shared" si="59"/>
        <v>716.94059396667808</v>
      </c>
      <c r="AN124" s="59">
        <f ca="1">AVERAGE(OFFSET($AM$3,0,0,'Données projet'!$E$10+1,1))-AVERAGE(OFFSET($H$3,0,0,'Données projet'!$E$10+1,1))</f>
        <v>177.71717275462748</v>
      </c>
      <c r="AO124" s="59">
        <f t="shared" si="90"/>
        <v>183.73714278300957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23.867027519514711</v>
      </c>
      <c r="AV124" s="21">
        <f>EXP(-LN(2)/25)*AV123+(1-EXP(-LN(2)/25))/(LN(2)/25)*Calculateur!AQ124*Calculateur!AS124*VLOOKUP('Données projet'!$B$10,Paramètres!$A$1:$I$89,3,0)*0.475*44/12</f>
        <v>1.1153908345154757</v>
      </c>
      <c r="AW124" s="21">
        <f>EXP(-LN(2)/2)*AW123+(1-EXP(-LN(2)/2))/(LN(2)/2)*AQ124*AT124*VLOOKUP('Données projet'!$B$10,Paramètres!$A$1:$I$89,3,0)*0.475*44/12</f>
        <v>6.9107537596237943E-7</v>
      </c>
      <c r="AX124" s="21">
        <f t="shared" si="60"/>
        <v>24.982419045105562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-1.383341441396624E-13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325.66150195494157</v>
      </c>
      <c r="BJ124" s="59">
        <f t="shared" si="92"/>
        <v>429.07526815514467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34.318066869817009</v>
      </c>
      <c r="BQ124" s="21">
        <f>EXP(-LN(2)/25)*BQ123+(1-EXP(-LN(2)/25))/(LN(2)/25)*Calculateur!BL124*Calculateur!BN124*VLOOKUP('Données projet'!$B$11,Paramètres!$A$1:$I$89,3,0)*0.475*44/12</f>
        <v>1.2985355972294252</v>
      </c>
      <c r="BR124" s="21">
        <f>EXP(-LN(2)/2)*BR123+(1-EXP(-LN(2)/2))/(LN(2)/2)*BL124*BO124*VLOOKUP('Données projet'!$B$11,Paramètres!$A$1:$I$89,3,0)*0.475*44/12</f>
        <v>4.6403435141280054E-10</v>
      </c>
      <c r="BS124" s="22">
        <f t="shared" si="63"/>
        <v>35.616602467510468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7">
        <f t="shared" si="56"/>
        <v>528.63727480567968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319</v>
      </c>
      <c r="O125" s="13">
        <f>N125*VLOOKUP('Données projet'!$B$9,Paramètres!$A$1:$I$89,3,0)*VLOOKUP('Données projet'!$B$9,Paramètres!$A$1:$I$89,5,0)</f>
        <v>253.79640000000001</v>
      </c>
      <c r="P125" s="13">
        <f t="shared" si="87"/>
        <v>61.39816832228076</v>
      </c>
      <c r="Q125" s="20">
        <f t="shared" si="107"/>
        <v>548.96387316130563</v>
      </c>
      <c r="R125" s="59">
        <f t="shared" si="55"/>
        <v>842.29720649463889</v>
      </c>
      <c r="S125" s="59">
        <f ca="1">AVERAGE(OFFSET($R$3,0,0,'Données projet'!$E$9+1,1))-AVERAGE(OFFSET($H$3,0,0,'Données projet'!$E$9+1,1))</f>
        <v>244.71206779102869</v>
      </c>
      <c r="T125" s="59">
        <f t="shared" si="88"/>
        <v>248.77995374147798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16.419492547949257</v>
      </c>
      <c r="AA125" s="21">
        <f>EXP(-LN(2)/25)*AA124+(1-EXP(-LN(2)/25))/(LN(2)/25)*Calculateur!V125*Calculateur!X125*VLOOKUP('Données projet'!$B$9,Paramètres!$A$1:$I$89,3,0)*0.475*44/12</f>
        <v>1.0766355460074184</v>
      </c>
      <c r="AB125" s="21">
        <f>EXP(-LN(2)/2)*AB124+(1-EXP(-LN(2)/2))/(LN(2)/2)*V125*Y125*VLOOKUP('Données projet'!$B$9,Paramètres!$A$1:$I$89,3,0)*0.475*44/12</f>
        <v>2.9244179128762637E-7</v>
      </c>
      <c r="AC125" s="22">
        <f t="shared" si="57"/>
        <v>17.496128386398468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290.17948717948696</v>
      </c>
      <c r="AJ125" s="13">
        <f>AI125*VLOOKUP('Données projet'!$B$10,Paramètres!$A$1:$I$89,3,0)*VLOOKUP('Données projet'!$B$10,Paramètres!$A$1:$I$89,5,0)</f>
        <v>194.65239999999986</v>
      </c>
      <c r="AK125" s="13">
        <f t="shared" si="89"/>
        <v>48.567079789480402</v>
      </c>
      <c r="AL125" s="20">
        <f t="shared" si="58"/>
        <v>423.60726063334477</v>
      </c>
      <c r="AM125" s="59">
        <f t="shared" si="59"/>
        <v>716.94059396667808</v>
      </c>
      <c r="AN125" s="59">
        <f ca="1">AVERAGE(OFFSET($AM$3,0,0,'Données projet'!$E$10+1,1))-AVERAGE(OFFSET($H$3,0,0,'Données projet'!$E$10+1,1))</f>
        <v>177.71717275462748</v>
      </c>
      <c r="AO125" s="59">
        <f t="shared" si="90"/>
        <v>183.73714278300957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23.399009667306384</v>
      </c>
      <c r="AV125" s="21">
        <f>EXP(-LN(2)/25)*AV124+(1-EXP(-LN(2)/25))/(LN(2)/25)*Calculateur!AQ125*Calculateur!AS125*VLOOKUP('Données projet'!$B$10,Paramètres!$A$1:$I$89,3,0)*0.475*44/12</f>
        <v>1.0848904134897952</v>
      </c>
      <c r="AW125" s="21">
        <f>EXP(-LN(2)/2)*AW124+(1-EXP(-LN(2)/2))/(LN(2)/2)*AQ125*AT125*VLOOKUP('Données projet'!$B$10,Paramètres!$A$1:$I$89,3,0)*0.475*44/12</f>
        <v>4.8866408465404128E-7</v>
      </c>
      <c r="AX125" s="21">
        <f t="shared" si="60"/>
        <v>24.483900569460264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-1.383341441396624E-13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325.66150195494157</v>
      </c>
      <c r="BJ125" s="59">
        <f t="shared" si="92"/>
        <v>429.07526815514467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33.645110510453833</v>
      </c>
      <c r="BQ125" s="21">
        <f>EXP(-LN(2)/25)*BQ124+(1-EXP(-LN(2)/25))/(LN(2)/25)*Calculateur!BL125*Calculateur!BN125*VLOOKUP('Données projet'!$B$11,Paramètres!$A$1:$I$89,3,0)*0.475*44/12</f>
        <v>1.2630270730361675</v>
      </c>
      <c r="BR125" s="21">
        <f>EXP(-LN(2)/2)*BR124+(1-EXP(-LN(2)/2))/(LN(2)/2)*BL125*BO125*VLOOKUP('Données projet'!$B$11,Paramètres!$A$1:$I$89,3,0)*0.475*44/12</f>
        <v>3.2812183658749267E-10</v>
      </c>
      <c r="BS125" s="22">
        <f t="shared" si="63"/>
        <v>34.908137583818124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7">
        <f t="shared" si="56"/>
        <v>530.51842633834474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319</v>
      </c>
      <c r="O126" s="13">
        <f>N126*VLOOKUP('Données projet'!$B$9,Paramètres!$A$1:$I$89,3,0)*VLOOKUP('Données projet'!$B$9,Paramètres!$A$1:$I$89,5,0)</f>
        <v>253.79640000000001</v>
      </c>
      <c r="P126" s="13">
        <f t="shared" si="87"/>
        <v>61.39816832228076</v>
      </c>
      <c r="Q126" s="20">
        <f t="shared" si="107"/>
        <v>548.96387316130563</v>
      </c>
      <c r="R126" s="59">
        <f t="shared" si="55"/>
        <v>842.29720649463889</v>
      </c>
      <c r="S126" s="59">
        <f ca="1">AVERAGE(OFFSET($R$3,0,0,'Données projet'!$E$9+1,1))-AVERAGE(OFFSET($H$3,0,0,'Données projet'!$E$9+1,1))</f>
        <v>244.71206779102869</v>
      </c>
      <c r="T126" s="59">
        <f t="shared" si="88"/>
        <v>248.77995374147798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16.097516313985537</v>
      </c>
      <c r="AA126" s="21">
        <f>EXP(-LN(2)/25)*AA125+(1-EXP(-LN(2)/25))/(LN(2)/25)*Calculateur!V126*Calculateur!X126*VLOOKUP('Données projet'!$B$9,Paramètres!$A$1:$I$89,3,0)*0.475*44/12</f>
        <v>1.0471948903840429</v>
      </c>
      <c r="AB126" s="21">
        <f>EXP(-LN(2)/2)*AB125+(1-EXP(-LN(2)/2))/(LN(2)/2)*V126*Y126*VLOOKUP('Données projet'!$B$9,Paramètres!$A$1:$I$89,3,0)*0.475*44/12</f>
        <v>2.0678757372182162E-7</v>
      </c>
      <c r="AC126" s="22">
        <f t="shared" si="57"/>
        <v>17.14471141115715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290.17948717948696</v>
      </c>
      <c r="AJ126" s="13">
        <f>AI126*VLOOKUP('Données projet'!$B$10,Paramètres!$A$1:$I$89,3,0)*VLOOKUP('Données projet'!$B$10,Paramètres!$A$1:$I$89,5,0)</f>
        <v>194.65239999999986</v>
      </c>
      <c r="AK126" s="13">
        <f t="shared" si="89"/>
        <v>48.567079789480402</v>
      </c>
      <c r="AL126" s="20">
        <f t="shared" si="58"/>
        <v>423.60726063334477</v>
      </c>
      <c r="AM126" s="59">
        <f t="shared" si="59"/>
        <v>716.94059396667808</v>
      </c>
      <c r="AN126" s="59">
        <f ca="1">AVERAGE(OFFSET($AM$3,0,0,'Données projet'!$E$10+1,1))-AVERAGE(OFFSET($H$3,0,0,'Données projet'!$E$10+1,1))</f>
        <v>177.71717275462748</v>
      </c>
      <c r="AO126" s="59">
        <f t="shared" si="90"/>
        <v>183.73714278300957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22.94016935971716</v>
      </c>
      <c r="AV126" s="21">
        <f>EXP(-LN(2)/25)*AV125+(1-EXP(-LN(2)/25))/(LN(2)/25)*Calculateur!AQ126*Calculateur!AS126*VLOOKUP('Données projet'!$B$10,Paramètres!$A$1:$I$89,3,0)*0.475*44/12</f>
        <v>1.0552240280810095</v>
      </c>
      <c r="AW126" s="21">
        <f>EXP(-LN(2)/2)*AW125+(1-EXP(-LN(2)/2))/(LN(2)/2)*AQ126*AT126*VLOOKUP('Données projet'!$B$10,Paramètres!$A$1:$I$89,3,0)*0.475*44/12</f>
        <v>3.4553768798118971E-7</v>
      </c>
      <c r="AX126" s="21">
        <f t="shared" si="60"/>
        <v>23.99539373333586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-1.383341441396624E-13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325.66150195494157</v>
      </c>
      <c r="BJ126" s="59">
        <f t="shared" si="92"/>
        <v>429.07526815514467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32.985350414834919</v>
      </c>
      <c r="BQ126" s="21">
        <f>EXP(-LN(2)/25)*BQ125+(1-EXP(-LN(2)/25))/(LN(2)/25)*Calculateur!BL126*Calculateur!BN126*VLOOKUP('Données projet'!$B$11,Paramètres!$A$1:$I$89,3,0)*0.475*44/12</f>
        <v>1.2284895313042863</v>
      </c>
      <c r="BR126" s="21">
        <f>EXP(-LN(2)/2)*BR125+(1-EXP(-LN(2)/2))/(LN(2)/2)*BL126*BO126*VLOOKUP('Données projet'!$B$11,Paramètres!$A$1:$I$89,3,0)*0.475*44/12</f>
        <v>2.320171757064003E-10</v>
      </c>
      <c r="BS126" s="22">
        <f t="shared" si="63"/>
        <v>34.213839946371223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7">
        <f t="shared" si="56"/>
        <v>532.39923769380039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319</v>
      </c>
      <c r="O127" s="13">
        <f>N127*VLOOKUP('Données projet'!$B$9,Paramètres!$A$1:$I$89,3,0)*VLOOKUP('Données projet'!$B$9,Paramètres!$A$1:$I$89,5,0)</f>
        <v>253.79640000000001</v>
      </c>
      <c r="P127" s="13">
        <f t="shared" si="87"/>
        <v>61.39816832228076</v>
      </c>
      <c r="Q127" s="20">
        <f t="shared" si="107"/>
        <v>548.96387316130563</v>
      </c>
      <c r="R127" s="59">
        <f t="shared" si="55"/>
        <v>842.29720649463889</v>
      </c>
      <c r="S127" s="59">
        <f ca="1">AVERAGE(OFFSET($R$3,0,0,'Données projet'!$E$9+1,1))-AVERAGE(OFFSET($H$3,0,0,'Données projet'!$E$9+1,1))</f>
        <v>244.71206779102869</v>
      </c>
      <c r="T127" s="59">
        <f t="shared" si="88"/>
        <v>248.77995374147798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15.781853837583734</v>
      </c>
      <c r="AA127" s="21">
        <f>EXP(-LN(2)/25)*AA126+(1-EXP(-LN(2)/25))/(LN(2)/25)*Calculateur!V127*Calculateur!X127*VLOOKUP('Données projet'!$B$9,Paramètres!$A$1:$I$89,3,0)*0.475*44/12</f>
        <v>1.0185592910369055</v>
      </c>
      <c r="AB127" s="21">
        <f>EXP(-LN(2)/2)*AB126+(1-EXP(-LN(2)/2))/(LN(2)/2)*V127*Y127*VLOOKUP('Données projet'!$B$9,Paramètres!$A$1:$I$89,3,0)*0.475*44/12</f>
        <v>1.4622089564381319E-7</v>
      </c>
      <c r="AC127" s="22">
        <f t="shared" si="57"/>
        <v>16.800413274841535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290.17948717948696</v>
      </c>
      <c r="AJ127" s="13">
        <f>AI127*VLOOKUP('Données projet'!$B$10,Paramètres!$A$1:$I$89,3,0)*VLOOKUP('Données projet'!$B$10,Paramètres!$A$1:$I$89,5,0)</f>
        <v>194.65239999999986</v>
      </c>
      <c r="AK127" s="13">
        <f t="shared" si="89"/>
        <v>48.567079789480402</v>
      </c>
      <c r="AL127" s="20">
        <f t="shared" si="58"/>
        <v>423.60726063334477</v>
      </c>
      <c r="AM127" s="59">
        <f t="shared" si="59"/>
        <v>716.94059396667808</v>
      </c>
      <c r="AN127" s="59">
        <f ca="1">AVERAGE(OFFSET($AM$3,0,0,'Données projet'!$E$10+1,1))-AVERAGE(OFFSET($H$3,0,0,'Données projet'!$E$10+1,1))</f>
        <v>177.71717275462748</v>
      </c>
      <c r="AO127" s="59">
        <f t="shared" si="90"/>
        <v>183.73714278300957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22.49032663069481</v>
      </c>
      <c r="AV127" s="21">
        <f>EXP(-LN(2)/25)*AV126+(1-EXP(-LN(2)/25))/(LN(2)/25)*Calculateur!AQ127*Calculateur!AS127*VLOOKUP('Données projet'!$B$10,Paramètres!$A$1:$I$89,3,0)*0.475*44/12</f>
        <v>1.0263688715413144</v>
      </c>
      <c r="AW127" s="21">
        <f>EXP(-LN(2)/2)*AW126+(1-EXP(-LN(2)/2))/(LN(2)/2)*AQ127*AT127*VLOOKUP('Données projet'!$B$10,Paramètres!$A$1:$I$89,3,0)*0.475*44/12</f>
        <v>2.4433204232702064E-7</v>
      </c>
      <c r="AX127" s="21">
        <f t="shared" si="60"/>
        <v>23.516695746568168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-1.383341441396624E-13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325.66150195494157</v>
      </c>
      <c r="BJ127" s="59">
        <f t="shared" si="92"/>
        <v>429.07526815514467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32.338527812277164</v>
      </c>
      <c r="BQ127" s="21">
        <f>EXP(-LN(2)/25)*BQ126+(1-EXP(-LN(2)/25))/(LN(2)/25)*Calculateur!BL127*Calculateur!BN127*VLOOKUP('Données projet'!$B$11,Paramètres!$A$1:$I$89,3,0)*0.475*44/12</f>
        <v>1.1948964204673138</v>
      </c>
      <c r="BR127" s="21">
        <f>EXP(-LN(2)/2)*BR126+(1-EXP(-LN(2)/2))/(LN(2)/2)*BL127*BO127*VLOOKUP('Données projet'!$B$11,Paramètres!$A$1:$I$89,3,0)*0.475*44/12</f>
        <v>1.6406091829374636E-10</v>
      </c>
      <c r="BS127" s="22">
        <f t="shared" si="63"/>
        <v>33.533424232908544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7">
        <f t="shared" si="56"/>
        <v>534.27971193336862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319</v>
      </c>
      <c r="O128" s="13">
        <f>N128*VLOOKUP('Données projet'!$B$9,Paramètres!$A$1:$I$89,3,0)*VLOOKUP('Données projet'!$B$9,Paramètres!$A$1:$I$89,5,0)</f>
        <v>253.79640000000001</v>
      </c>
      <c r="P128" s="13">
        <f t="shared" si="87"/>
        <v>61.39816832228076</v>
      </c>
      <c r="Q128" s="20">
        <f t="shared" si="107"/>
        <v>548.96387316130563</v>
      </c>
      <c r="R128" s="59">
        <f t="shared" si="55"/>
        <v>842.29720649463889</v>
      </c>
      <c r="S128" s="59">
        <f ca="1">AVERAGE(OFFSET($R$3,0,0,'Données projet'!$E$9+1,1))-AVERAGE(OFFSET($H$3,0,0,'Données projet'!$E$9+1,1))</f>
        <v>244.71206779102869</v>
      </c>
      <c r="T128" s="59">
        <f t="shared" si="88"/>
        <v>248.77995374147798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15.472381309809071</v>
      </c>
      <c r="AA128" s="21">
        <f>EXP(-LN(2)/25)*AA127+(1-EXP(-LN(2)/25))/(LN(2)/25)*Calculateur!V128*Calculateur!X128*VLOOKUP('Données projet'!$B$9,Paramètres!$A$1:$I$89,3,0)*0.475*44/12</f>
        <v>0.99070673365979611</v>
      </c>
      <c r="AB128" s="21">
        <f>EXP(-LN(2)/2)*AB127+(1-EXP(-LN(2)/2))/(LN(2)/2)*V128*Y128*VLOOKUP('Données projet'!$B$9,Paramètres!$A$1:$I$89,3,0)*0.475*44/12</f>
        <v>1.0339378686091081E-7</v>
      </c>
      <c r="AC128" s="22">
        <f t="shared" si="57"/>
        <v>16.463088146862656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290.17948717948696</v>
      </c>
      <c r="AJ128" s="13">
        <f>AI128*VLOOKUP('Données projet'!$B$10,Paramètres!$A$1:$I$89,3,0)*VLOOKUP('Données projet'!$B$10,Paramètres!$A$1:$I$89,5,0)</f>
        <v>194.65239999999986</v>
      </c>
      <c r="AK128" s="13">
        <f t="shared" si="89"/>
        <v>48.567079789480402</v>
      </c>
      <c r="AL128" s="20">
        <f t="shared" si="58"/>
        <v>423.60726063334477</v>
      </c>
      <c r="AM128" s="59">
        <f t="shared" si="59"/>
        <v>716.94059396667808</v>
      </c>
      <c r="AN128" s="59">
        <f ca="1">AVERAGE(OFFSET($AM$3,0,0,'Données projet'!$E$10+1,1))-AVERAGE(OFFSET($H$3,0,0,'Données projet'!$E$10+1,1))</f>
        <v>177.71717275462748</v>
      </c>
      <c r="AO128" s="59">
        <f t="shared" si="90"/>
        <v>183.73714278300957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22.049305043211614</v>
      </c>
      <c r="AV128" s="21">
        <f>EXP(-LN(2)/25)*AV127+(1-EXP(-LN(2)/25))/(LN(2)/25)*Calculateur!AQ128*Calculateur!AS128*VLOOKUP('Données projet'!$B$10,Paramètres!$A$1:$I$89,3,0)*0.475*44/12</f>
        <v>0.99830276077462399</v>
      </c>
      <c r="AW128" s="21">
        <f>EXP(-LN(2)/2)*AW127+(1-EXP(-LN(2)/2))/(LN(2)/2)*AQ128*AT128*VLOOKUP('Données projet'!$B$10,Paramètres!$A$1:$I$89,3,0)*0.475*44/12</f>
        <v>1.7276884399059486E-7</v>
      </c>
      <c r="AX128" s="21">
        <f t="shared" si="60"/>
        <v>23.047607976755081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-1.383341441396624E-13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325.66150195494157</v>
      </c>
      <c r="BJ128" s="59">
        <f t="shared" si="92"/>
        <v>429.07526815514467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31.704389006432738</v>
      </c>
      <c r="BQ128" s="21">
        <f>EXP(-LN(2)/25)*BQ127+(1-EXP(-LN(2)/25))/(LN(2)/25)*Calculateur!BL128*Calculateur!BN128*VLOOKUP('Données projet'!$B$11,Paramètres!$A$1:$I$89,3,0)*0.475*44/12</f>
        <v>1.1622219150127633</v>
      </c>
      <c r="BR128" s="21">
        <f>EXP(-LN(2)/2)*BR127+(1-EXP(-LN(2)/2))/(LN(2)/2)*BL128*BO128*VLOOKUP('Données projet'!$B$11,Paramètres!$A$1:$I$89,3,0)*0.475*44/12</f>
        <v>1.1600858785320017E-10</v>
      </c>
      <c r="BS128" s="22">
        <f t="shared" si="63"/>
        <v>32.866610921561509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7">
        <f t="shared" si="56"/>
        <v>536.15985206656171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319</v>
      </c>
      <c r="O129" s="13">
        <f>N129*VLOOKUP('Données projet'!$B$9,Paramètres!$A$1:$I$89,3,0)*VLOOKUP('Données projet'!$B$9,Paramètres!$A$1:$I$89,5,0)</f>
        <v>253.79640000000001</v>
      </c>
      <c r="P129" s="13">
        <f t="shared" si="87"/>
        <v>61.39816832228076</v>
      </c>
      <c r="Q129" s="20">
        <f t="shared" si="107"/>
        <v>548.96387316130563</v>
      </c>
      <c r="R129" s="59">
        <f t="shared" si="55"/>
        <v>842.29720649463889</v>
      </c>
      <c r="S129" s="59">
        <f ca="1">AVERAGE(OFFSET($R$3,0,0,'Données projet'!$E$9+1,1))-AVERAGE(OFFSET($H$3,0,0,'Données projet'!$E$9+1,1))</f>
        <v>244.71206779102869</v>
      </c>
      <c r="T129" s="59">
        <f t="shared" si="88"/>
        <v>248.77995374147798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15.168977349544466</v>
      </c>
      <c r="AA129" s="21">
        <f>EXP(-LN(2)/25)*AA128+(1-EXP(-LN(2)/25))/(LN(2)/25)*Calculateur!V129*Calculateur!X129*VLOOKUP('Données projet'!$B$9,Paramètres!$A$1:$I$89,3,0)*0.475*44/12</f>
        <v>0.9636158059288662</v>
      </c>
      <c r="AB129" s="21">
        <f>EXP(-LN(2)/2)*AB128+(1-EXP(-LN(2)/2))/(LN(2)/2)*V129*Y129*VLOOKUP('Données projet'!$B$9,Paramètres!$A$1:$I$89,3,0)*0.475*44/12</f>
        <v>7.3110447821906593E-8</v>
      </c>
      <c r="AC129" s="22">
        <f t="shared" si="57"/>
        <v>16.132593228583783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290.17948717948696</v>
      </c>
      <c r="AJ129" s="13">
        <f>AI129*VLOOKUP('Données projet'!$B$10,Paramètres!$A$1:$I$89,3,0)*VLOOKUP('Données projet'!$B$10,Paramètres!$A$1:$I$89,5,0)</f>
        <v>194.65239999999986</v>
      </c>
      <c r="AK129" s="13">
        <f t="shared" si="89"/>
        <v>48.567079789480402</v>
      </c>
      <c r="AL129" s="20">
        <f t="shared" si="58"/>
        <v>423.60726063334477</v>
      </c>
      <c r="AM129" s="59">
        <f t="shared" si="59"/>
        <v>716.94059396667808</v>
      </c>
      <c r="AN129" s="59">
        <f ca="1">AVERAGE(OFFSET($AM$3,0,0,'Données projet'!$E$10+1,1))-AVERAGE(OFFSET($H$3,0,0,'Données projet'!$E$10+1,1))</f>
        <v>177.71717275462748</v>
      </c>
      <c r="AO129" s="59">
        <f t="shared" si="90"/>
        <v>183.73714278300957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21.616931620062356</v>
      </c>
      <c r="AV129" s="21">
        <f>EXP(-LN(2)/25)*AV128+(1-EXP(-LN(2)/25))/(LN(2)/25)*Calculateur!AQ129*Calculateur!AS129*VLOOKUP('Données projet'!$B$10,Paramètres!$A$1:$I$89,3,0)*0.475*44/12</f>
        <v>0.97100411928278141</v>
      </c>
      <c r="AW129" s="21">
        <f>EXP(-LN(2)/2)*AW128+(1-EXP(-LN(2)/2))/(LN(2)/2)*AQ129*AT129*VLOOKUP('Données projet'!$B$10,Paramètres!$A$1:$I$89,3,0)*0.475*44/12</f>
        <v>1.2216602116351032E-7</v>
      </c>
      <c r="AX129" s="21">
        <f t="shared" si="60"/>
        <v>22.587935861511159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-1.383341441396624E-13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325.66150195494157</v>
      </c>
      <c r="BJ129" s="59">
        <f t="shared" si="92"/>
        <v>429.07526815514467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31.082685275784439</v>
      </c>
      <c r="BQ129" s="21">
        <f>EXP(-LN(2)/25)*BQ128+(1-EXP(-LN(2)/25))/(LN(2)/25)*Calculateur!BL129*Calculateur!BN129*VLOOKUP('Données projet'!$B$11,Paramètres!$A$1:$I$89,3,0)*0.475*44/12</f>
        <v>1.1304408956281451</v>
      </c>
      <c r="BR129" s="21">
        <f>EXP(-LN(2)/2)*BR128+(1-EXP(-LN(2)/2))/(LN(2)/2)*BL129*BO129*VLOOKUP('Données projet'!$B$11,Paramètres!$A$1:$I$89,3,0)*0.475*44/12</f>
        <v>8.2030459146873194E-11</v>
      </c>
      <c r="BS129" s="22">
        <f t="shared" si="63"/>
        <v>32.213126171494615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7">
        <f t="shared" si="56"/>
        <v>538.03966105236361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319</v>
      </c>
      <c r="O130" s="13">
        <f>N130*VLOOKUP('Données projet'!$B$9,Paramètres!$A$1:$I$89,3,0)*VLOOKUP('Données projet'!$B$9,Paramètres!$A$1:$I$89,5,0)</f>
        <v>253.79640000000001</v>
      </c>
      <c r="P130" s="13">
        <f t="shared" si="87"/>
        <v>61.39816832228076</v>
      </c>
      <c r="Q130" s="20">
        <f t="shared" si="107"/>
        <v>548.96387316130563</v>
      </c>
      <c r="R130" s="59">
        <f t="shared" si="55"/>
        <v>842.29720649463889</v>
      </c>
      <c r="S130" s="59">
        <f ca="1">AVERAGE(OFFSET($R$3,0,0,'Données projet'!$E$9+1,1))-AVERAGE(OFFSET($H$3,0,0,'Données projet'!$E$9+1,1))</f>
        <v>244.71206779102869</v>
      </c>
      <c r="T130" s="59">
        <f t="shared" si="88"/>
        <v>248.77995374147798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14.871522955882508</v>
      </c>
      <c r="AA130" s="21">
        <f>EXP(-LN(2)/25)*AA129+(1-EXP(-LN(2)/25))/(LN(2)/25)*Calculateur!V130*Calculateur!X130*VLOOKUP('Données projet'!$B$9,Paramètres!$A$1:$I$89,3,0)*0.475*44/12</f>
        <v>0.93726568104138852</v>
      </c>
      <c r="AB130" s="21">
        <f>EXP(-LN(2)/2)*AB129+(1-EXP(-LN(2)/2))/(LN(2)/2)*V130*Y130*VLOOKUP('Données projet'!$B$9,Paramètres!$A$1:$I$89,3,0)*0.475*44/12</f>
        <v>5.1696893430455406E-8</v>
      </c>
      <c r="AC130" s="22">
        <f t="shared" si="57"/>
        <v>15.80878868862079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290.17948717948696</v>
      </c>
      <c r="AJ130" s="13">
        <f>AI130*VLOOKUP('Données projet'!$B$10,Paramètres!$A$1:$I$89,3,0)*VLOOKUP('Données projet'!$B$10,Paramètres!$A$1:$I$89,5,0)</f>
        <v>194.65239999999986</v>
      </c>
      <c r="AK130" s="13">
        <f t="shared" si="89"/>
        <v>48.567079789480402</v>
      </c>
      <c r="AL130" s="20">
        <f t="shared" si="58"/>
        <v>423.60726063334477</v>
      </c>
      <c r="AM130" s="59">
        <f t="shared" si="59"/>
        <v>716.94059396667808</v>
      </c>
      <c r="AN130" s="59">
        <f ca="1">AVERAGE(OFFSET($AM$3,0,0,'Données projet'!$E$10+1,1))-AVERAGE(OFFSET($H$3,0,0,'Données projet'!$E$10+1,1))</f>
        <v>177.71717275462748</v>
      </c>
      <c r="AO130" s="59">
        <f t="shared" si="90"/>
        <v>183.73714278300957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21.193036776019309</v>
      </c>
      <c r="AV130" s="21">
        <f>EXP(-LN(2)/25)*AV129+(1-EXP(-LN(2)/25))/(LN(2)/25)*Calculateur!AQ130*Calculateur!AS130*VLOOKUP('Données projet'!$B$10,Paramètres!$A$1:$I$89,3,0)*0.475*44/12</f>
        <v>0.94445196057810643</v>
      </c>
      <c r="AW130" s="21">
        <f>EXP(-LN(2)/2)*AW129+(1-EXP(-LN(2)/2))/(LN(2)/2)*AQ130*AT130*VLOOKUP('Données projet'!$B$10,Paramètres!$A$1:$I$89,3,0)*0.475*44/12</f>
        <v>8.6384421995297429E-8</v>
      </c>
      <c r="AX130" s="21">
        <f t="shared" si="60"/>
        <v>22.137488822981837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-1.383341441396624E-13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325.66150195494157</v>
      </c>
      <c r="BJ130" s="59">
        <f t="shared" si="92"/>
        <v>429.07526815514467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30.473172776092319</v>
      </c>
      <c r="BQ130" s="21">
        <f>EXP(-LN(2)/25)*BQ129+(1-EXP(-LN(2)/25))/(LN(2)/25)*Calculateur!BL130*Calculateur!BN130*VLOOKUP('Données projet'!$B$11,Paramètres!$A$1:$I$89,3,0)*0.475*44/12</f>
        <v>1.0995289298898905</v>
      </c>
      <c r="BR130" s="21">
        <f>EXP(-LN(2)/2)*BR129+(1-EXP(-LN(2)/2))/(LN(2)/2)*BL130*BO130*VLOOKUP('Données projet'!$B$11,Paramètres!$A$1:$I$89,3,0)*0.475*44/12</f>
        <v>5.8004293926600093E-11</v>
      </c>
      <c r="BS130" s="22">
        <f t="shared" si="63"/>
        <v>31.572701706040213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7">
        <f t="shared" si="56"/>
        <v>539.91914180046933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319</v>
      </c>
      <c r="O131" s="13">
        <f>N131*VLOOKUP('Données projet'!$B$9,Paramètres!$A$1:$I$89,3,0)*VLOOKUP('Données projet'!$B$9,Paramètres!$A$1:$I$89,5,0)</f>
        <v>253.79640000000001</v>
      </c>
      <c r="P131" s="13">
        <f t="shared" si="87"/>
        <v>61.39816832228076</v>
      </c>
      <c r="Q131" s="20">
        <f t="shared" ref="Q131:Q153" si="108">(O131+P131)*0.475*44/12</f>
        <v>548.96387316130563</v>
      </c>
      <c r="R131" s="59">
        <f t="shared" ref="R131:R194" si="109">Q131+(I131+J131)*44/12</f>
        <v>842.29720649463889</v>
      </c>
      <c r="S131" s="59">
        <f ca="1">AVERAGE(OFFSET($R$3,0,0,'Données projet'!$E$9+1,1))-AVERAGE(OFFSET($H$3,0,0,'Données projet'!$E$9+1,1))</f>
        <v>244.71206779102869</v>
      </c>
      <c r="T131" s="59">
        <f t="shared" si="88"/>
        <v>248.77995374147798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14.579901461450994</v>
      </c>
      <c r="AA131" s="21">
        <f>EXP(-LN(2)/25)*AA130+(1-EXP(-LN(2)/25))/(LN(2)/25)*Calculateur!V131*Calculateur!X131*VLOOKUP('Données projet'!$B$9,Paramètres!$A$1:$I$89,3,0)*0.475*44/12</f>
        <v>0.9116361017046517</v>
      </c>
      <c r="AB131" s="21">
        <f>EXP(-LN(2)/2)*AB130+(1-EXP(-LN(2)/2))/(LN(2)/2)*V131*Y131*VLOOKUP('Données projet'!$B$9,Paramètres!$A$1:$I$89,3,0)*0.475*44/12</f>
        <v>3.6555223910953296E-8</v>
      </c>
      <c r="AC131" s="22">
        <f t="shared" si="57"/>
        <v>15.49153759971087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290.17948717948696</v>
      </c>
      <c r="AJ131" s="13">
        <f>AI131*VLOOKUP('Données projet'!$B$10,Paramètres!$A$1:$I$89,3,0)*VLOOKUP('Données projet'!$B$10,Paramètres!$A$1:$I$89,5,0)</f>
        <v>194.65239999999986</v>
      </c>
      <c r="AK131" s="13">
        <f t="shared" si="89"/>
        <v>48.567079789480402</v>
      </c>
      <c r="AL131" s="20">
        <f t="shared" si="58"/>
        <v>423.60726063334477</v>
      </c>
      <c r="AM131" s="59">
        <f t="shared" si="59"/>
        <v>716.94059396667808</v>
      </c>
      <c r="AN131" s="59">
        <f ca="1">AVERAGE(OFFSET($AM$3,0,0,'Données projet'!$E$10+1,1))-AVERAGE(OFFSET($H$3,0,0,'Données projet'!$E$10+1,1))</f>
        <v>177.71717275462748</v>
      </c>
      <c r="AO131" s="59">
        <f t="shared" si="90"/>
        <v>183.73714278300957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20.777454251317621</v>
      </c>
      <c r="AV131" s="21">
        <f>EXP(-LN(2)/25)*AV130+(1-EXP(-LN(2)/25))/(LN(2)/25)*Calculateur!AQ131*Calculateur!AS131*VLOOKUP('Données projet'!$B$10,Paramètres!$A$1:$I$89,3,0)*0.475*44/12</f>
        <v>0.91862587204952806</v>
      </c>
      <c r="AW131" s="21">
        <f>EXP(-LN(2)/2)*AW130+(1-EXP(-LN(2)/2))/(LN(2)/2)*AQ131*AT131*VLOOKUP('Données projet'!$B$10,Paramètres!$A$1:$I$89,3,0)*0.475*44/12</f>
        <v>6.108301058175516E-8</v>
      </c>
      <c r="AX131" s="21">
        <f t="shared" si="60"/>
        <v>21.69608018445016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-1.383341441396624E-13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325.66150195494157</v>
      </c>
      <c r="BJ131" s="59">
        <f t="shared" si="92"/>
        <v>429.07526815514467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29.875612444753248</v>
      </c>
      <c r="BQ131" s="21">
        <f>EXP(-LN(2)/25)*BQ130+(1-EXP(-LN(2)/25))/(LN(2)/25)*Calculateur!BL131*Calculateur!BN131*VLOOKUP('Données projet'!$B$11,Paramètres!$A$1:$I$89,3,0)*0.475*44/12</f>
        <v>1.069462253480338</v>
      </c>
      <c r="BR131" s="21">
        <f>EXP(-LN(2)/2)*BR130+(1-EXP(-LN(2)/2))/(LN(2)/2)*BL131*BO131*VLOOKUP('Données projet'!$B$11,Paramètres!$A$1:$I$89,3,0)*0.475*44/12</f>
        <v>4.1015229573436604E-11</v>
      </c>
      <c r="BS131" s="22">
        <f t="shared" si="63"/>
        <v>30.945074698274603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7">
        <f t="shared" ref="H132:H195" si="110">(B132+E132+F132)*44/12+(C132+D132)*0.475*44/12</f>
        <v>541.7982971724839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319</v>
      </c>
      <c r="O132" s="13">
        <f>N132*VLOOKUP('Données projet'!$B$9,Paramètres!$A$1:$I$89,3,0)*VLOOKUP('Données projet'!$B$9,Paramètres!$A$1:$I$89,5,0)</f>
        <v>253.79640000000001</v>
      </c>
      <c r="P132" s="13">
        <f t="shared" si="87"/>
        <v>61.39816832228076</v>
      </c>
      <c r="Q132" s="20">
        <f t="shared" si="108"/>
        <v>548.96387316130563</v>
      </c>
      <c r="R132" s="59">
        <f t="shared" si="109"/>
        <v>842.29720649463889</v>
      </c>
      <c r="S132" s="59">
        <f ca="1">AVERAGE(OFFSET($R$3,0,0,'Données projet'!$E$9+1,1))-AVERAGE(OFFSET($H$3,0,0,'Données projet'!$E$9+1,1))</f>
        <v>244.71206779102869</v>
      </c>
      <c r="T132" s="59">
        <f t="shared" si="88"/>
        <v>248.77995374147798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14.293998486653734</v>
      </c>
      <c r="AA132" s="21">
        <f>EXP(-LN(2)/25)*AA131+(1-EXP(-LN(2)/25))/(LN(2)/25)*Calculateur!V132*Calculateur!X132*VLOOKUP('Données projet'!$B$9,Paramètres!$A$1:$I$89,3,0)*0.475*44/12</f>
        <v>0.88670736456267896</v>
      </c>
      <c r="AB132" s="21">
        <f>EXP(-LN(2)/2)*AB131+(1-EXP(-LN(2)/2))/(LN(2)/2)*V132*Y132*VLOOKUP('Données projet'!$B$9,Paramètres!$A$1:$I$89,3,0)*0.475*44/12</f>
        <v>2.5848446715227703E-8</v>
      </c>
      <c r="AC132" s="22">
        <f t="shared" ref="AC132:AC153" si="111">SUM(Z132:AB132)</f>
        <v>15.18070587706486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290.17948717948696</v>
      </c>
      <c r="AJ132" s="13">
        <f>AI132*VLOOKUP('Données projet'!$B$10,Paramètres!$A$1:$I$89,3,0)*VLOOKUP('Données projet'!$B$10,Paramètres!$A$1:$I$89,5,0)</f>
        <v>194.65239999999986</v>
      </c>
      <c r="AK132" s="13">
        <f t="shared" si="89"/>
        <v>48.567079789480402</v>
      </c>
      <c r="AL132" s="20">
        <f t="shared" ref="AL132:AL153" si="112">(AJ132+AK132)*0.475*44/12</f>
        <v>423.60726063334477</v>
      </c>
      <c r="AM132" s="59">
        <f t="shared" ref="AM132:AM195" si="113">AL132+(AD132+AE132)*44/12</f>
        <v>716.94059396667808</v>
      </c>
      <c r="AN132" s="59">
        <f ca="1">AVERAGE(OFFSET($AM$3,0,0,'Données projet'!$E$10+1,1))-AVERAGE(OFFSET($H$3,0,0,'Données projet'!$E$10+1,1))</f>
        <v>177.71717275462748</v>
      </c>
      <c r="AO132" s="59">
        <f t="shared" si="90"/>
        <v>183.73714278300957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20.370021046445022</v>
      </c>
      <c r="AV132" s="21">
        <f>EXP(-LN(2)/25)*AV131+(1-EXP(-LN(2)/25))/(LN(2)/25)*Calculateur!AQ132*Calculateur!AS132*VLOOKUP('Données projet'!$B$10,Paramètres!$A$1:$I$89,3,0)*0.475*44/12</f>
        <v>0.8935059992698986</v>
      </c>
      <c r="AW132" s="21">
        <f>EXP(-LN(2)/2)*AW131+(1-EXP(-LN(2)/2))/(LN(2)/2)*AQ132*AT132*VLOOKUP('Données projet'!$B$10,Paramètres!$A$1:$I$89,3,0)*0.475*44/12</f>
        <v>4.3192210997648714E-8</v>
      </c>
      <c r="AX132" s="21">
        <f t="shared" ref="AX132:AX153" si="114">SUM(AU132:AW132)</f>
        <v>21.263527088907132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-1.383341441396624E-13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325.66150195494157</v>
      </c>
      <c r="BJ132" s="59">
        <f t="shared" si="92"/>
        <v>429.07526815514467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29.289769907035922</v>
      </c>
      <c r="BQ132" s="21">
        <f>EXP(-LN(2)/25)*BQ131+(1-EXP(-LN(2)/25))/(LN(2)/25)*Calculateur!BL132*Calculateur!BN132*VLOOKUP('Données projet'!$B$11,Paramètres!$A$1:$I$89,3,0)*0.475*44/12</f>
        <v>1.0402177519183424</v>
      </c>
      <c r="BR132" s="21">
        <f>EXP(-LN(2)/2)*BR131+(1-EXP(-LN(2)/2))/(LN(2)/2)*BL132*BO132*VLOOKUP('Données projet'!$B$11,Paramètres!$A$1:$I$89,3,0)*0.475*44/12</f>
        <v>2.900214696330005E-11</v>
      </c>
      <c r="BS132" s="22">
        <f t="shared" ref="BS132:BS153" si="117">SUM(BP132:BR132)</f>
        <v>30.329987658983264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7">
        <f t="shared" si="110"/>
        <v>543.67712998308446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319</v>
      </c>
      <c r="O133" s="13">
        <f>N133*VLOOKUP('Données projet'!$B$9,Paramètres!$A$1:$I$89,3,0)*VLOOKUP('Données projet'!$B$9,Paramètres!$A$1:$I$89,5,0)</f>
        <v>253.79640000000001</v>
      </c>
      <c r="P133" s="13">
        <f t="shared" ref="P133:P196" si="141">EXP(-1.0587+0.8836*LN(O133)+0.284)</f>
        <v>61.39816832228076</v>
      </c>
      <c r="Q133" s="20">
        <f t="shared" si="108"/>
        <v>548.96387316130563</v>
      </c>
      <c r="R133" s="59">
        <f t="shared" si="109"/>
        <v>842.29720649463889</v>
      </c>
      <c r="S133" s="59">
        <f ca="1">AVERAGE(OFFSET($R$3,0,0,'Données projet'!$E$9+1,1))-AVERAGE(OFFSET($H$3,0,0,'Données projet'!$E$9+1,1))</f>
        <v>244.71206779102869</v>
      </c>
      <c r="T133" s="59">
        <f t="shared" ref="T133:T196" si="142">$T$3</f>
        <v>248.77995374147798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14.013701894808653</v>
      </c>
      <c r="AA133" s="21">
        <f>EXP(-LN(2)/25)*AA132+(1-EXP(-LN(2)/25))/(LN(2)/25)*Calculateur!V133*Calculateur!X133*VLOOKUP('Données projet'!$B$9,Paramètres!$A$1:$I$89,3,0)*0.475*44/12</f>
        <v>0.86246030504879878</v>
      </c>
      <c r="AB133" s="21">
        <f>EXP(-LN(2)/2)*AB132+(1-EXP(-LN(2)/2))/(LN(2)/2)*V133*Y133*VLOOKUP('Données projet'!$B$9,Paramètres!$A$1:$I$89,3,0)*0.475*44/12</f>
        <v>1.8277611955476648E-8</v>
      </c>
      <c r="AC133" s="22">
        <f t="shared" si="111"/>
        <v>14.876162218135065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290.17948717948696</v>
      </c>
      <c r="AJ133" s="13">
        <f>AI133*VLOOKUP('Données projet'!$B$10,Paramètres!$A$1:$I$89,3,0)*VLOOKUP('Données projet'!$B$10,Paramètres!$A$1:$I$89,5,0)</f>
        <v>194.65239999999986</v>
      </c>
      <c r="AK133" s="13">
        <f t="shared" ref="AK133:AK153" si="143">EXP(-1.0587+0.8836*LN(AJ133)+0.284)</f>
        <v>48.567079789480402</v>
      </c>
      <c r="AL133" s="20">
        <f t="shared" si="112"/>
        <v>423.60726063334477</v>
      </c>
      <c r="AM133" s="59">
        <f t="shared" si="113"/>
        <v>716.94059396667808</v>
      </c>
      <c r="AN133" s="59">
        <f ca="1">AVERAGE(OFFSET($AM$3,0,0,'Données projet'!$E$10+1,1))-AVERAGE(OFFSET($H$3,0,0,'Données projet'!$E$10+1,1))</f>
        <v>177.71717275462748</v>
      </c>
      <c r="AO133" s="59">
        <f t="shared" ref="AO133:AO196" si="144">$AO$3</f>
        <v>183.73714278300957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19.970577358210257</v>
      </c>
      <c r="AV133" s="21">
        <f>EXP(-LN(2)/25)*AV132+(1-EXP(-LN(2)/25))/(LN(2)/25)*Calculateur!AQ133*Calculateur!AS133*VLOOKUP('Données projet'!$B$10,Paramètres!$A$1:$I$89,3,0)*0.475*44/12</f>
        <v>0.86907303073242481</v>
      </c>
      <c r="AW133" s="21">
        <f>EXP(-LN(2)/2)*AW132+(1-EXP(-LN(2)/2))/(LN(2)/2)*AQ133*AT133*VLOOKUP('Données projet'!$B$10,Paramètres!$A$1:$I$89,3,0)*0.475*44/12</f>
        <v>3.054150529087758E-8</v>
      </c>
      <c r="AX133" s="21">
        <f t="shared" si="114"/>
        <v>20.839650419484183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-1.383341441396624E-13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325.66150195494157</v>
      </c>
      <c r="BJ133" s="59">
        <f t="shared" ref="BJ133:BJ196" si="146">$BJ$3</f>
        <v>429.07526815514467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28.715415384154568</v>
      </c>
      <c r="BQ133" s="21">
        <f>EXP(-LN(2)/25)*BQ132+(1-EXP(-LN(2)/25))/(LN(2)/25)*Calculateur!BL133*Calculateur!BN133*VLOOKUP('Données projet'!$B$11,Paramètres!$A$1:$I$89,3,0)*0.475*44/12</f>
        <v>1.0117729427894613</v>
      </c>
      <c r="BR133" s="21">
        <f>EXP(-LN(2)/2)*BR132+(1-EXP(-LN(2)/2))/(LN(2)/2)*BL133*BO133*VLOOKUP('Données projet'!$B$11,Paramètres!$A$1:$I$89,3,0)*0.475*44/12</f>
        <v>2.0507614786718305E-11</v>
      </c>
      <c r="BS133" s="22">
        <f t="shared" si="117"/>
        <v>29.727188326964537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7">
        <f t="shared" si="110"/>
        <v>545.55564300114418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319</v>
      </c>
      <c r="O134" s="13">
        <f>N134*VLOOKUP('Données projet'!$B$9,Paramètres!$A$1:$I$89,3,0)*VLOOKUP('Données projet'!$B$9,Paramètres!$A$1:$I$89,5,0)</f>
        <v>253.79640000000001</v>
      </c>
      <c r="P134" s="13">
        <f t="shared" si="141"/>
        <v>61.39816832228076</v>
      </c>
      <c r="Q134" s="20">
        <f t="shared" si="108"/>
        <v>548.96387316130563</v>
      </c>
      <c r="R134" s="59">
        <f t="shared" si="109"/>
        <v>842.29720649463889</v>
      </c>
      <c r="S134" s="59">
        <f ca="1">AVERAGE(OFFSET($R$3,0,0,'Données projet'!$E$9+1,1))-AVERAGE(OFFSET($H$3,0,0,'Données projet'!$E$9+1,1))</f>
        <v>244.71206779102869</v>
      </c>
      <c r="T134" s="59">
        <f t="shared" si="142"/>
        <v>248.77995374147798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13.738901748165615</v>
      </c>
      <c r="AA134" s="21">
        <f>EXP(-LN(2)/25)*AA133+(1-EXP(-LN(2)/25))/(LN(2)/25)*Calculateur!V134*Calculateur!X134*VLOOKUP('Données projet'!$B$9,Paramètres!$A$1:$I$89,3,0)*0.475*44/12</f>
        <v>0.83887628265242309</v>
      </c>
      <c r="AB134" s="21">
        <f>EXP(-LN(2)/2)*AB133+(1-EXP(-LN(2)/2))/(LN(2)/2)*V134*Y134*VLOOKUP('Données projet'!$B$9,Paramètres!$A$1:$I$89,3,0)*0.475*44/12</f>
        <v>1.2924223357613851E-8</v>
      </c>
      <c r="AC134" s="22">
        <f t="shared" si="111"/>
        <v>14.577778043742262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290.17948717948696</v>
      </c>
      <c r="AJ134" s="13">
        <f>AI134*VLOOKUP('Données projet'!$B$10,Paramètres!$A$1:$I$89,3,0)*VLOOKUP('Données projet'!$B$10,Paramètres!$A$1:$I$89,5,0)</f>
        <v>194.65239999999986</v>
      </c>
      <c r="AK134" s="13">
        <f t="shared" si="143"/>
        <v>48.567079789480402</v>
      </c>
      <c r="AL134" s="20">
        <f t="shared" si="112"/>
        <v>423.60726063334477</v>
      </c>
      <c r="AM134" s="59">
        <f t="shared" si="113"/>
        <v>716.94059396667808</v>
      </c>
      <c r="AN134" s="59">
        <f ca="1">AVERAGE(OFFSET($AM$3,0,0,'Données projet'!$E$10+1,1))-AVERAGE(OFFSET($H$3,0,0,'Données projet'!$E$10+1,1))</f>
        <v>177.71717275462748</v>
      </c>
      <c r="AO134" s="59">
        <f t="shared" si="144"/>
        <v>183.73714278300957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19.578966517065183</v>
      </c>
      <c r="AV134" s="21">
        <f>EXP(-LN(2)/25)*AV133+(1-EXP(-LN(2)/25))/(LN(2)/25)*Calculateur!AQ134*Calculateur!AS134*VLOOKUP('Données projet'!$B$10,Paramètres!$A$1:$I$89,3,0)*0.475*44/12</f>
        <v>0.84530818300448229</v>
      </c>
      <c r="AW134" s="21">
        <f>EXP(-LN(2)/2)*AW133+(1-EXP(-LN(2)/2))/(LN(2)/2)*AQ134*AT134*VLOOKUP('Données projet'!$B$10,Paramètres!$A$1:$I$89,3,0)*0.475*44/12</f>
        <v>2.1596105498824357E-8</v>
      </c>
      <c r="AX134" s="21">
        <f t="shared" si="114"/>
        <v>20.424274721665771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-1.383341441396624E-13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325.66150195494157</v>
      </c>
      <c r="BJ134" s="59">
        <f t="shared" si="146"/>
        <v>429.07526815514467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28.152323603145252</v>
      </c>
      <c r="BQ134" s="21">
        <f>EXP(-LN(2)/25)*BQ133+(1-EXP(-LN(2)/25))/(LN(2)/25)*Calculateur!BL134*Calculateur!BN134*VLOOKUP('Données projet'!$B$11,Paramètres!$A$1:$I$89,3,0)*0.475*44/12</f>
        <v>0.98410595846205684</v>
      </c>
      <c r="BR134" s="21">
        <f>EXP(-LN(2)/2)*BR133+(1-EXP(-LN(2)/2))/(LN(2)/2)*BL134*BO134*VLOOKUP('Données projet'!$B$11,Paramètres!$A$1:$I$89,3,0)*0.475*44/12</f>
        <v>1.4501073481650028E-11</v>
      </c>
      <c r="BS134" s="22">
        <f t="shared" si="117"/>
        <v>29.13642956162181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7">
        <f t="shared" si="110"/>
        <v>547.43383895082161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319</v>
      </c>
      <c r="O135" s="13">
        <f>N135*VLOOKUP('Données projet'!$B$9,Paramètres!$A$1:$I$89,3,0)*VLOOKUP('Données projet'!$B$9,Paramètres!$A$1:$I$89,5,0)</f>
        <v>253.79640000000001</v>
      </c>
      <c r="P135" s="13">
        <f t="shared" si="141"/>
        <v>61.39816832228076</v>
      </c>
      <c r="Q135" s="20">
        <f t="shared" si="108"/>
        <v>548.96387316130563</v>
      </c>
      <c r="R135" s="59">
        <f t="shared" si="109"/>
        <v>842.29720649463889</v>
      </c>
      <c r="S135" s="59">
        <f ca="1">AVERAGE(OFFSET($R$3,0,0,'Données projet'!$E$9+1,1))-AVERAGE(OFFSET($H$3,0,0,'Données projet'!$E$9+1,1))</f>
        <v>244.71206779102869</v>
      </c>
      <c r="T135" s="59">
        <f t="shared" si="142"/>
        <v>248.77995374147798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13.469490264786707</v>
      </c>
      <c r="AA135" s="21">
        <f>EXP(-LN(2)/25)*AA134+(1-EXP(-LN(2)/25))/(LN(2)/25)*Calculateur!V135*Calculateur!X135*VLOOKUP('Données projet'!$B$9,Paramètres!$A$1:$I$89,3,0)*0.475*44/12</f>
        <v>0.81593716658870619</v>
      </c>
      <c r="AB135" s="21">
        <f>EXP(-LN(2)/2)*AB134+(1-EXP(-LN(2)/2))/(LN(2)/2)*V135*Y135*VLOOKUP('Données projet'!$B$9,Paramètres!$A$1:$I$89,3,0)*0.475*44/12</f>
        <v>9.1388059777383241E-9</v>
      </c>
      <c r="AC135" s="22">
        <f t="shared" si="111"/>
        <v>14.285427440514217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290.17948717948696</v>
      </c>
      <c r="AJ135" s="13">
        <f>AI135*VLOOKUP('Données projet'!$B$10,Paramètres!$A$1:$I$89,3,0)*VLOOKUP('Données projet'!$B$10,Paramètres!$A$1:$I$89,5,0)</f>
        <v>194.65239999999986</v>
      </c>
      <c r="AK135" s="13">
        <f t="shared" si="143"/>
        <v>48.567079789480402</v>
      </c>
      <c r="AL135" s="20">
        <f t="shared" si="112"/>
        <v>423.60726063334477</v>
      </c>
      <c r="AM135" s="59">
        <f t="shared" si="113"/>
        <v>716.94059396667808</v>
      </c>
      <c r="AN135" s="59">
        <f ca="1">AVERAGE(OFFSET($AM$3,0,0,'Données projet'!$E$10+1,1))-AVERAGE(OFFSET($H$3,0,0,'Données projet'!$E$10+1,1))</f>
        <v>177.71717275462748</v>
      </c>
      <c r="AO135" s="59">
        <f t="shared" si="144"/>
        <v>183.73714278300957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19.195034925655936</v>
      </c>
      <c r="AV135" s="21">
        <f>EXP(-LN(2)/25)*AV134+(1-EXP(-LN(2)/25))/(LN(2)/25)*Calculateur!AQ135*Calculateur!AS135*VLOOKUP('Données projet'!$B$10,Paramètres!$A$1:$I$89,3,0)*0.475*44/12</f>
        <v>0.82219318628739935</v>
      </c>
      <c r="AW135" s="21">
        <f>EXP(-LN(2)/2)*AW134+(1-EXP(-LN(2)/2))/(LN(2)/2)*AQ135*AT135*VLOOKUP('Données projet'!$B$10,Paramètres!$A$1:$I$89,3,0)*0.475*44/12</f>
        <v>1.527075264543879E-8</v>
      </c>
      <c r="AX135" s="21">
        <f t="shared" si="114"/>
        <v>20.017228127214089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-1.383341441396624E-13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325.66150195494157</v>
      </c>
      <c r="BJ135" s="59">
        <f t="shared" si="146"/>
        <v>429.07526815514467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27.600273708509455</v>
      </c>
      <c r="BQ135" s="21">
        <f>EXP(-LN(2)/25)*BQ134+(1-EXP(-LN(2)/25))/(LN(2)/25)*Calculateur!BL135*Calculateur!BN135*VLOOKUP('Données projet'!$B$11,Paramètres!$A$1:$I$89,3,0)*0.475*44/12</f>
        <v>0.9571955292760288</v>
      </c>
      <c r="BR135" s="21">
        <f>EXP(-LN(2)/2)*BR134+(1-EXP(-LN(2)/2))/(LN(2)/2)*BL135*BO135*VLOOKUP('Données projet'!$B$11,Paramètres!$A$1:$I$89,3,0)*0.475*44/12</f>
        <v>1.0253807393359154E-11</v>
      </c>
      <c r="BS135" s="22">
        <f t="shared" si="117"/>
        <v>28.557469237795736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7">
        <f t="shared" si="110"/>
        <v>549.31172051261638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319</v>
      </c>
      <c r="O136" s="13">
        <f>N136*VLOOKUP('Données projet'!$B$9,Paramètres!$A$1:$I$89,3,0)*VLOOKUP('Données projet'!$B$9,Paramètres!$A$1:$I$89,5,0)</f>
        <v>253.79640000000001</v>
      </c>
      <c r="P136" s="13">
        <f t="shared" si="141"/>
        <v>61.39816832228076</v>
      </c>
      <c r="Q136" s="20">
        <f t="shared" si="108"/>
        <v>548.96387316130563</v>
      </c>
      <c r="R136" s="59">
        <f t="shared" si="109"/>
        <v>842.29720649463889</v>
      </c>
      <c r="S136" s="59">
        <f ca="1">AVERAGE(OFFSET($R$3,0,0,'Données projet'!$E$9+1,1))-AVERAGE(OFFSET($H$3,0,0,'Données projet'!$E$9+1,1))</f>
        <v>244.71206779102869</v>
      </c>
      <c r="T136" s="59">
        <f t="shared" si="142"/>
        <v>248.77995374147798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13.205361776272079</v>
      </c>
      <c r="AA136" s="21">
        <f>EXP(-LN(2)/25)*AA135+(1-EXP(-LN(2)/25))/(LN(2)/25)*Calculateur!V136*Calculateur!X136*VLOOKUP('Données projet'!$B$9,Paramètres!$A$1:$I$89,3,0)*0.475*44/12</f>
        <v>0.79362532186006729</v>
      </c>
      <c r="AB136" s="21">
        <f>EXP(-LN(2)/2)*AB135+(1-EXP(-LN(2)/2))/(LN(2)/2)*V136*Y136*VLOOKUP('Données projet'!$B$9,Paramètres!$A$1:$I$89,3,0)*0.475*44/12</f>
        <v>6.4621116788069257E-9</v>
      </c>
      <c r="AC136" s="22">
        <f t="shared" si="111"/>
        <v>13.998987104594258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290.17948717948696</v>
      </c>
      <c r="AJ136" s="13">
        <f>AI136*VLOOKUP('Données projet'!$B$10,Paramètres!$A$1:$I$89,3,0)*VLOOKUP('Données projet'!$B$10,Paramètres!$A$1:$I$89,5,0)</f>
        <v>194.65239999999986</v>
      </c>
      <c r="AK136" s="13">
        <f t="shared" si="143"/>
        <v>48.567079789480402</v>
      </c>
      <c r="AL136" s="20">
        <f t="shared" si="112"/>
        <v>423.60726063334477</v>
      </c>
      <c r="AM136" s="59">
        <f t="shared" si="113"/>
        <v>716.94059396667808</v>
      </c>
      <c r="AN136" s="59">
        <f ca="1">AVERAGE(OFFSET($AM$3,0,0,'Données projet'!$E$10+1,1))-AVERAGE(OFFSET($H$3,0,0,'Données projet'!$E$10+1,1))</f>
        <v>177.71717275462748</v>
      </c>
      <c r="AO136" s="59">
        <f t="shared" si="144"/>
        <v>183.73714278300957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18.818631998579075</v>
      </c>
      <c r="AV136" s="21">
        <f>EXP(-LN(2)/25)*AV135+(1-EXP(-LN(2)/25))/(LN(2)/25)*Calculateur!AQ136*Calculateur!AS136*VLOOKUP('Données projet'!$B$10,Paramètres!$A$1:$I$89,3,0)*0.475*44/12</f>
        <v>0.79971027037110987</v>
      </c>
      <c r="AW136" s="21">
        <f>EXP(-LN(2)/2)*AW135+(1-EXP(-LN(2)/2))/(LN(2)/2)*AQ136*AT136*VLOOKUP('Données projet'!$B$10,Paramètres!$A$1:$I$89,3,0)*0.475*44/12</f>
        <v>1.0798052749412179E-8</v>
      </c>
      <c r="AX136" s="21">
        <f t="shared" si="114"/>
        <v>19.618342279748241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-1.383341441396624E-13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325.66150195494157</v>
      </c>
      <c r="BJ136" s="59">
        <f t="shared" si="146"/>
        <v>429.07526815514467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27.059049175590278</v>
      </c>
      <c r="BQ136" s="21">
        <f>EXP(-LN(2)/25)*BQ135+(1-EXP(-LN(2)/25))/(LN(2)/25)*Calculateur!BL136*Calculateur!BN136*VLOOKUP('Données projet'!$B$11,Paramètres!$A$1:$I$89,3,0)*0.475*44/12</f>
        <v>0.9310209671912506</v>
      </c>
      <c r="BR136" s="21">
        <f>EXP(-LN(2)/2)*BR135+(1-EXP(-LN(2)/2))/(LN(2)/2)*BL136*BO136*VLOOKUP('Données projet'!$B$11,Paramètres!$A$1:$I$89,3,0)*0.475*44/12</f>
        <v>7.2505367408250149E-12</v>
      </c>
      <c r="BS136" s="22">
        <f t="shared" si="117"/>
        <v>27.990070142788781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7">
        <f t="shared" si="110"/>
        <v>551.18929032439075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319</v>
      </c>
      <c r="O137" s="13">
        <f>N137*VLOOKUP('Données projet'!$B$9,Paramètres!$A$1:$I$89,3,0)*VLOOKUP('Données projet'!$B$9,Paramètres!$A$1:$I$89,5,0)</f>
        <v>253.79640000000001</v>
      </c>
      <c r="P137" s="13">
        <f t="shared" si="141"/>
        <v>61.39816832228076</v>
      </c>
      <c r="Q137" s="20">
        <f t="shared" si="108"/>
        <v>548.96387316130563</v>
      </c>
      <c r="R137" s="59">
        <f t="shared" si="109"/>
        <v>842.29720649463889</v>
      </c>
      <c r="S137" s="59">
        <f ca="1">AVERAGE(OFFSET($R$3,0,0,'Données projet'!$E$9+1,1))-AVERAGE(OFFSET($H$3,0,0,'Données projet'!$E$9+1,1))</f>
        <v>244.71206779102869</v>
      </c>
      <c r="T137" s="59">
        <f t="shared" si="142"/>
        <v>248.77995374147798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12.946412686314755</v>
      </c>
      <c r="AA137" s="21">
        <f>EXP(-LN(2)/25)*AA136+(1-EXP(-LN(2)/25))/(LN(2)/25)*Calculateur!V137*Calculateur!X137*VLOOKUP('Données projet'!$B$9,Paramètres!$A$1:$I$89,3,0)*0.475*44/12</f>
        <v>0.77192359569886193</v>
      </c>
      <c r="AB137" s="21">
        <f>EXP(-LN(2)/2)*AB136+(1-EXP(-LN(2)/2))/(LN(2)/2)*V137*Y137*VLOOKUP('Données projet'!$B$9,Paramètres!$A$1:$I$89,3,0)*0.475*44/12</f>
        <v>4.569402988869162E-9</v>
      </c>
      <c r="AC137" s="22">
        <f t="shared" si="111"/>
        <v>13.718336286583019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290.17948717948696</v>
      </c>
      <c r="AJ137" s="13">
        <f>AI137*VLOOKUP('Données projet'!$B$10,Paramètres!$A$1:$I$89,3,0)*VLOOKUP('Données projet'!$B$10,Paramètres!$A$1:$I$89,5,0)</f>
        <v>194.65239999999986</v>
      </c>
      <c r="AK137" s="13">
        <f t="shared" si="143"/>
        <v>48.567079789480402</v>
      </c>
      <c r="AL137" s="20">
        <f t="shared" si="112"/>
        <v>423.60726063334477</v>
      </c>
      <c r="AM137" s="59">
        <f t="shared" si="113"/>
        <v>716.94059396667808</v>
      </c>
      <c r="AN137" s="59">
        <f ca="1">AVERAGE(OFFSET($AM$3,0,0,'Données projet'!$E$10+1,1))-AVERAGE(OFFSET($H$3,0,0,'Données projet'!$E$10+1,1))</f>
        <v>177.71717275462748</v>
      </c>
      <c r="AO137" s="59">
        <f t="shared" si="144"/>
        <v>183.73714278300957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18.449610103319078</v>
      </c>
      <c r="AV137" s="21">
        <f>EXP(-LN(2)/25)*AV136+(1-EXP(-LN(2)/25))/(LN(2)/25)*Calculateur!AQ137*Calculateur!AS137*VLOOKUP('Données projet'!$B$10,Paramètres!$A$1:$I$89,3,0)*0.475*44/12</f>
        <v>0.77784215097287646</v>
      </c>
      <c r="AW137" s="21">
        <f>EXP(-LN(2)/2)*AW136+(1-EXP(-LN(2)/2))/(LN(2)/2)*AQ137*AT137*VLOOKUP('Données projet'!$B$10,Paramètres!$A$1:$I$89,3,0)*0.475*44/12</f>
        <v>7.635376322719395E-9</v>
      </c>
      <c r="AX137" s="21">
        <f t="shared" si="114"/>
        <v>19.227452261927329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-1.383341441396624E-13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325.66150195494157</v>
      </c>
      <c r="BJ137" s="59">
        <f t="shared" si="146"/>
        <v>429.07526815514467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26.528437725647276</v>
      </c>
      <c r="BQ137" s="21">
        <f>EXP(-LN(2)/25)*BQ136+(1-EXP(-LN(2)/25))/(LN(2)/25)*Calculateur!BL137*Calculateur!BN137*VLOOKUP('Données projet'!$B$11,Paramètres!$A$1:$I$89,3,0)*0.475*44/12</f>
        <v>0.9055621498831411</v>
      </c>
      <c r="BR137" s="21">
        <f>EXP(-LN(2)/2)*BR136+(1-EXP(-LN(2)/2))/(LN(2)/2)*BL137*BO137*VLOOKUP('Données projet'!$B$11,Paramètres!$A$1:$I$89,3,0)*0.475*44/12</f>
        <v>5.1269036966795779E-12</v>
      </c>
      <c r="BS137" s="22">
        <f t="shared" si="117"/>
        <v>27.433999875535545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7">
        <f t="shared" si="110"/>
        <v>553.06655098236172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319</v>
      </c>
      <c r="O138" s="13">
        <f>N138*VLOOKUP('Données projet'!$B$9,Paramètres!$A$1:$I$89,3,0)*VLOOKUP('Données projet'!$B$9,Paramètres!$A$1:$I$89,5,0)</f>
        <v>253.79640000000001</v>
      </c>
      <c r="P138" s="13">
        <f t="shared" si="141"/>
        <v>61.39816832228076</v>
      </c>
      <c r="Q138" s="20">
        <f t="shared" si="108"/>
        <v>548.96387316130563</v>
      </c>
      <c r="R138" s="59">
        <f t="shared" si="109"/>
        <v>842.29720649463889</v>
      </c>
      <c r="S138" s="59">
        <f ca="1">AVERAGE(OFFSET($R$3,0,0,'Données projet'!$E$9+1,1))-AVERAGE(OFFSET($H$3,0,0,'Données projet'!$E$9+1,1))</f>
        <v>244.71206779102869</v>
      </c>
      <c r="T138" s="59">
        <f t="shared" si="142"/>
        <v>248.77995374147798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12.692541430068143</v>
      </c>
      <c r="AA138" s="21">
        <f>EXP(-LN(2)/25)*AA137+(1-EXP(-LN(2)/25))/(LN(2)/25)*Calculateur!V138*Calculateur!X138*VLOOKUP('Données projet'!$B$9,Paramètres!$A$1:$I$89,3,0)*0.475*44/12</f>
        <v>0.75081530438077893</v>
      </c>
      <c r="AB138" s="21">
        <f>EXP(-LN(2)/2)*AB137+(1-EXP(-LN(2)/2))/(LN(2)/2)*V138*Y138*VLOOKUP('Données projet'!$B$9,Paramètres!$A$1:$I$89,3,0)*0.475*44/12</f>
        <v>3.2310558394034629E-9</v>
      </c>
      <c r="AC138" s="22">
        <f t="shared" si="111"/>
        <v>13.443356737679979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290.17948717948696</v>
      </c>
      <c r="AJ138" s="13">
        <f>AI138*VLOOKUP('Données projet'!$B$10,Paramètres!$A$1:$I$89,3,0)*VLOOKUP('Données projet'!$B$10,Paramètres!$A$1:$I$89,5,0)</f>
        <v>194.65239999999986</v>
      </c>
      <c r="AK138" s="13">
        <f t="shared" si="143"/>
        <v>48.567079789480402</v>
      </c>
      <c r="AL138" s="20">
        <f t="shared" si="112"/>
        <v>423.60726063334477</v>
      </c>
      <c r="AM138" s="59">
        <f t="shared" si="113"/>
        <v>716.94059396667808</v>
      </c>
      <c r="AN138" s="59">
        <f ca="1">AVERAGE(OFFSET($AM$3,0,0,'Données projet'!$E$10+1,1))-AVERAGE(OFFSET($H$3,0,0,'Données projet'!$E$10+1,1))</f>
        <v>177.71717275462748</v>
      </c>
      <c r="AO138" s="59">
        <f t="shared" si="144"/>
        <v>183.73714278300957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18.087824502343999</v>
      </c>
      <c r="AV138" s="21">
        <f>EXP(-LN(2)/25)*AV137+(1-EXP(-LN(2)/25))/(LN(2)/25)*Calculateur!AQ138*Calculateur!AS138*VLOOKUP('Données projet'!$B$10,Paramètres!$A$1:$I$89,3,0)*0.475*44/12</f>
        <v>0.75657201644958216</v>
      </c>
      <c r="AW138" s="21">
        <f>EXP(-LN(2)/2)*AW137+(1-EXP(-LN(2)/2))/(LN(2)/2)*AQ138*AT138*VLOOKUP('Données projet'!$B$10,Paramètres!$A$1:$I$89,3,0)*0.475*44/12</f>
        <v>5.3990263747060893E-9</v>
      </c>
      <c r="AX138" s="21">
        <f t="shared" si="114"/>
        <v>18.844396524192607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-1.383341441396624E-13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325.66150195494157</v>
      </c>
      <c r="BJ138" s="59">
        <f t="shared" si="146"/>
        <v>429.07526815514467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26.008231242596629</v>
      </c>
      <c r="BQ138" s="21">
        <f>EXP(-LN(2)/25)*BQ137+(1-EXP(-LN(2)/25))/(LN(2)/25)*Calculateur!BL138*Calculateur!BN138*VLOOKUP('Données projet'!$B$11,Paramètres!$A$1:$I$89,3,0)*0.475*44/12</f>
        <v>0.88079950527314288</v>
      </c>
      <c r="BR138" s="21">
        <f>EXP(-LN(2)/2)*BR137+(1-EXP(-LN(2)/2))/(LN(2)/2)*BL138*BO138*VLOOKUP('Données projet'!$B$11,Paramètres!$A$1:$I$89,3,0)*0.475*44/12</f>
        <v>3.6252683704125083E-12</v>
      </c>
      <c r="BS138" s="22">
        <f t="shared" si="117"/>
        <v>26.889030747873395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7">
        <f t="shared" si="110"/>
        <v>554.94350504206204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319</v>
      </c>
      <c r="O139" s="13">
        <f>N139*VLOOKUP('Données projet'!$B$9,Paramètres!$A$1:$I$89,3,0)*VLOOKUP('Données projet'!$B$9,Paramètres!$A$1:$I$89,5,0)</f>
        <v>253.79640000000001</v>
      </c>
      <c r="P139" s="13">
        <f t="shared" si="141"/>
        <v>61.39816832228076</v>
      </c>
      <c r="Q139" s="20">
        <f t="shared" si="108"/>
        <v>548.96387316130563</v>
      </c>
      <c r="R139" s="59">
        <f t="shared" si="109"/>
        <v>842.29720649463889</v>
      </c>
      <c r="S139" s="59">
        <f ca="1">AVERAGE(OFFSET($R$3,0,0,'Données projet'!$E$9+1,1))-AVERAGE(OFFSET($H$3,0,0,'Données projet'!$E$9+1,1))</f>
        <v>244.71206779102869</v>
      </c>
      <c r="T139" s="59">
        <f t="shared" si="142"/>
        <v>248.77995374147798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12.443648434310351</v>
      </c>
      <c r="AA139" s="21">
        <f>EXP(-LN(2)/25)*AA138+(1-EXP(-LN(2)/25))/(LN(2)/25)*Calculateur!V139*Calculateur!X139*VLOOKUP('Données projet'!$B$9,Paramètres!$A$1:$I$89,3,0)*0.475*44/12</f>
        <v>0.73028422039882568</v>
      </c>
      <c r="AB139" s="21">
        <f>EXP(-LN(2)/2)*AB138+(1-EXP(-LN(2)/2))/(LN(2)/2)*V139*Y139*VLOOKUP('Données projet'!$B$9,Paramètres!$A$1:$I$89,3,0)*0.475*44/12</f>
        <v>2.284701494434581E-9</v>
      </c>
      <c r="AC139" s="22">
        <f t="shared" si="111"/>
        <v>13.173932656993879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290.17948717948696</v>
      </c>
      <c r="AJ139" s="13">
        <f>AI139*VLOOKUP('Données projet'!$B$10,Paramètres!$A$1:$I$89,3,0)*VLOOKUP('Données projet'!$B$10,Paramètres!$A$1:$I$89,5,0)</f>
        <v>194.65239999999986</v>
      </c>
      <c r="AK139" s="13">
        <f t="shared" si="143"/>
        <v>48.567079789480402</v>
      </c>
      <c r="AL139" s="20">
        <f t="shared" si="112"/>
        <v>423.60726063334477</v>
      </c>
      <c r="AM139" s="59">
        <f t="shared" si="113"/>
        <v>716.94059396667808</v>
      </c>
      <c r="AN139" s="59">
        <f ca="1">AVERAGE(OFFSET($AM$3,0,0,'Données projet'!$E$10+1,1))-AVERAGE(OFFSET($H$3,0,0,'Données projet'!$E$10+1,1))</f>
        <v>177.71717275462748</v>
      </c>
      <c r="AO139" s="59">
        <f t="shared" si="144"/>
        <v>183.73714278300957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17.733133296336611</v>
      </c>
      <c r="AV139" s="21">
        <f>EXP(-LN(2)/25)*AV138+(1-EXP(-LN(2)/25))/(LN(2)/25)*Calculateur!AQ139*Calculateur!AS139*VLOOKUP('Données projet'!$B$10,Paramètres!$A$1:$I$89,3,0)*0.475*44/12</f>
        <v>0.73588351487337511</v>
      </c>
      <c r="AW139" s="21">
        <f>EXP(-LN(2)/2)*AW138+(1-EXP(-LN(2)/2))/(LN(2)/2)*AQ139*AT139*VLOOKUP('Données projet'!$B$10,Paramètres!$A$1:$I$89,3,0)*0.475*44/12</f>
        <v>3.8176881613596975E-9</v>
      </c>
      <c r="AX139" s="21">
        <f t="shared" si="114"/>
        <v>18.469016815027675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-1.383341441396624E-13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325.66150195494157</v>
      </c>
      <c r="BJ139" s="59">
        <f t="shared" si="146"/>
        <v>429.07526815514467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25.498225691383983</v>
      </c>
      <c r="BQ139" s="21">
        <f>EXP(-LN(2)/25)*BQ138+(1-EXP(-LN(2)/25))/(LN(2)/25)*Calculateur!BL139*Calculateur!BN139*VLOOKUP('Données projet'!$B$11,Paramètres!$A$1:$I$89,3,0)*0.475*44/12</f>
        <v>0.85671399648221591</v>
      </c>
      <c r="BR139" s="21">
        <f>EXP(-LN(2)/2)*BR138+(1-EXP(-LN(2)/2))/(LN(2)/2)*BL139*BO139*VLOOKUP('Données projet'!$B$11,Paramètres!$A$1:$I$89,3,0)*0.475*44/12</f>
        <v>2.5634518483397893E-12</v>
      </c>
      <c r="BS139" s="22">
        <f t="shared" si="117"/>
        <v>26.354939687868765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7">
        <f t="shared" si="110"/>
        <v>556.8201550192714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319</v>
      </c>
      <c r="O140" s="13">
        <f>N140*VLOOKUP('Données projet'!$B$9,Paramètres!$A$1:$I$89,3,0)*VLOOKUP('Données projet'!$B$9,Paramètres!$A$1:$I$89,5,0)</f>
        <v>253.79640000000001</v>
      </c>
      <c r="P140" s="13">
        <f t="shared" si="141"/>
        <v>61.39816832228076</v>
      </c>
      <c r="Q140" s="20">
        <f t="shared" si="108"/>
        <v>548.96387316130563</v>
      </c>
      <c r="R140" s="59">
        <f t="shared" si="109"/>
        <v>842.29720649463889</v>
      </c>
      <c r="S140" s="59">
        <f ca="1">AVERAGE(OFFSET($R$3,0,0,'Données projet'!$E$9+1,1))-AVERAGE(OFFSET($H$3,0,0,'Données projet'!$E$9+1,1))</f>
        <v>244.71206779102869</v>
      </c>
      <c r="T140" s="59">
        <f t="shared" si="142"/>
        <v>248.77995374147798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12.199636078389632</v>
      </c>
      <c r="AA140" s="21">
        <f>EXP(-LN(2)/25)*AA139+(1-EXP(-LN(2)/25))/(LN(2)/25)*Calculateur!V140*Calculateur!X140*VLOOKUP('Données projet'!$B$9,Paramètres!$A$1:$I$89,3,0)*0.475*44/12</f>
        <v>0.71031455998804172</v>
      </c>
      <c r="AB140" s="21">
        <f>EXP(-LN(2)/2)*AB139+(1-EXP(-LN(2)/2))/(LN(2)/2)*V140*Y140*VLOOKUP('Données projet'!$B$9,Paramètres!$A$1:$I$89,3,0)*0.475*44/12</f>
        <v>1.6155279197017314E-9</v>
      </c>
      <c r="AC140" s="22">
        <f t="shared" si="111"/>
        <v>12.909950639993202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290.17948717948696</v>
      </c>
      <c r="AJ140" s="13">
        <f>AI140*VLOOKUP('Données projet'!$B$10,Paramètres!$A$1:$I$89,3,0)*VLOOKUP('Données projet'!$B$10,Paramètres!$A$1:$I$89,5,0)</f>
        <v>194.65239999999986</v>
      </c>
      <c r="AK140" s="13">
        <f t="shared" si="143"/>
        <v>48.567079789480402</v>
      </c>
      <c r="AL140" s="20">
        <f t="shared" si="112"/>
        <v>423.60726063334477</v>
      </c>
      <c r="AM140" s="59">
        <f t="shared" si="113"/>
        <v>716.94059396667808</v>
      </c>
      <c r="AN140" s="59">
        <f ca="1">AVERAGE(OFFSET($AM$3,0,0,'Données projet'!$E$10+1,1))-AVERAGE(OFFSET($H$3,0,0,'Données projet'!$E$10+1,1))</f>
        <v>177.71717275462748</v>
      </c>
      <c r="AO140" s="59">
        <f t="shared" si="144"/>
        <v>183.73714278300957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17.385397368538754</v>
      </c>
      <c r="AV140" s="21">
        <f>EXP(-LN(2)/25)*AV139+(1-EXP(-LN(2)/25))/(LN(2)/25)*Calculateur!AQ140*Calculateur!AS140*VLOOKUP('Données projet'!$B$10,Paramètres!$A$1:$I$89,3,0)*0.475*44/12</f>
        <v>0.71576074146073054</v>
      </c>
      <c r="AW140" s="21">
        <f>EXP(-LN(2)/2)*AW139+(1-EXP(-LN(2)/2))/(LN(2)/2)*AQ140*AT140*VLOOKUP('Données projet'!$B$10,Paramètres!$A$1:$I$89,3,0)*0.475*44/12</f>
        <v>2.6995131873530446E-9</v>
      </c>
      <c r="AX140" s="21">
        <f t="shared" si="114"/>
        <v>18.101158112698997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-1.383341441396624E-13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325.66150195494157</v>
      </c>
      <c r="BJ140" s="59">
        <f t="shared" si="146"/>
        <v>429.07526815514467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24.998221037957943</v>
      </c>
      <c r="BQ140" s="21">
        <f>EXP(-LN(2)/25)*BQ139+(1-EXP(-LN(2)/25))/(LN(2)/25)*Calculateur!BL140*Calculateur!BN140*VLOOKUP('Données projet'!$B$11,Paramètres!$A$1:$I$89,3,0)*0.475*44/12</f>
        <v>0.8332871071957787</v>
      </c>
      <c r="BR140" s="21">
        <f>EXP(-LN(2)/2)*BR139+(1-EXP(-LN(2)/2))/(LN(2)/2)*BL140*BO140*VLOOKUP('Données projet'!$B$11,Paramètres!$A$1:$I$89,3,0)*0.475*44/12</f>
        <v>1.8126341852062543E-12</v>
      </c>
      <c r="BS140" s="22">
        <f t="shared" si="117"/>
        <v>25.831508145155535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7">
        <f t="shared" si="110"/>
        <v>558.69650339092095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319</v>
      </c>
      <c r="O141" s="13">
        <f>N141*VLOOKUP('Données projet'!$B$9,Paramètres!$A$1:$I$89,3,0)*VLOOKUP('Données projet'!$B$9,Paramètres!$A$1:$I$89,5,0)</f>
        <v>253.79640000000001</v>
      </c>
      <c r="P141" s="13">
        <f t="shared" si="141"/>
        <v>61.39816832228076</v>
      </c>
      <c r="Q141" s="20">
        <f t="shared" si="108"/>
        <v>548.96387316130563</v>
      </c>
      <c r="R141" s="59">
        <f t="shared" si="109"/>
        <v>842.29720649463889</v>
      </c>
      <c r="S141" s="59">
        <f ca="1">AVERAGE(OFFSET($R$3,0,0,'Données projet'!$E$9+1,1))-AVERAGE(OFFSET($H$3,0,0,'Données projet'!$E$9+1,1))</f>
        <v>244.71206779102869</v>
      </c>
      <c r="T141" s="59">
        <f t="shared" si="142"/>
        <v>248.77995374147798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11.960408655935678</v>
      </c>
      <c r="AA141" s="21">
        <f>EXP(-LN(2)/25)*AA140+(1-EXP(-LN(2)/25))/(LN(2)/25)*Calculateur!V141*Calculateur!X141*VLOOKUP('Données projet'!$B$9,Paramètres!$A$1:$I$89,3,0)*0.475*44/12</f>
        <v>0.69089097099134944</v>
      </c>
      <c r="AB141" s="21">
        <f>EXP(-LN(2)/2)*AB140+(1-EXP(-LN(2)/2))/(LN(2)/2)*V141*Y141*VLOOKUP('Données projet'!$B$9,Paramètres!$A$1:$I$89,3,0)*0.475*44/12</f>
        <v>1.1423507472172905E-9</v>
      </c>
      <c r="AC141" s="22">
        <f t="shared" si="111"/>
        <v>12.651299628069378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290.17948717948696</v>
      </c>
      <c r="AJ141" s="13">
        <f>AI141*VLOOKUP('Données projet'!$B$10,Paramètres!$A$1:$I$89,3,0)*VLOOKUP('Données projet'!$B$10,Paramètres!$A$1:$I$89,5,0)</f>
        <v>194.65239999999986</v>
      </c>
      <c r="AK141" s="13">
        <f t="shared" si="143"/>
        <v>48.567079789480402</v>
      </c>
      <c r="AL141" s="20">
        <f t="shared" si="112"/>
        <v>423.60726063334477</v>
      </c>
      <c r="AM141" s="59">
        <f t="shared" si="113"/>
        <v>716.94059396667808</v>
      </c>
      <c r="AN141" s="59">
        <f ca="1">AVERAGE(OFFSET($AM$3,0,0,'Données projet'!$E$10+1,1))-AVERAGE(OFFSET($H$3,0,0,'Données projet'!$E$10+1,1))</f>
        <v>177.71717275462748</v>
      </c>
      <c r="AO141" s="59">
        <f t="shared" si="144"/>
        <v>183.73714278300957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17.044480330187042</v>
      </c>
      <c r="AV141" s="21">
        <f>EXP(-LN(2)/25)*AV140+(1-EXP(-LN(2)/25))/(LN(2)/25)*Calculateur!AQ141*Calculateur!AS141*VLOOKUP('Données projet'!$B$10,Paramètres!$A$1:$I$89,3,0)*0.475*44/12</f>
        <v>0.69618822634526534</v>
      </c>
      <c r="AW141" s="21">
        <f>EXP(-LN(2)/2)*AW140+(1-EXP(-LN(2)/2))/(LN(2)/2)*AQ141*AT141*VLOOKUP('Données projet'!$B$10,Paramètres!$A$1:$I$89,3,0)*0.475*44/12</f>
        <v>1.9088440806798488E-9</v>
      </c>
      <c r="AX141" s="21">
        <f t="shared" si="114"/>
        <v>17.740668558441151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-1.383341441396624E-13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325.66150195494157</v>
      </c>
      <c r="BJ141" s="59">
        <f t="shared" si="146"/>
        <v>429.07526815514467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24.508021170812864</v>
      </c>
      <c r="BQ141" s="21">
        <f>EXP(-LN(2)/25)*BQ140+(1-EXP(-LN(2)/25))/(LN(2)/25)*Calculateur!BL141*Calculateur!BN141*VLOOKUP('Données projet'!$B$11,Paramètres!$A$1:$I$89,3,0)*0.475*44/12</f>
        <v>0.81050082742884566</v>
      </c>
      <c r="BR141" s="21">
        <f>EXP(-LN(2)/2)*BR140+(1-EXP(-LN(2)/2))/(LN(2)/2)*BL141*BO141*VLOOKUP('Données projet'!$B$11,Paramètres!$A$1:$I$89,3,0)*0.475*44/12</f>
        <v>1.2817259241698949E-12</v>
      </c>
      <c r="BS141" s="22">
        <f t="shared" si="117"/>
        <v>25.318521998242993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7">
        <f t="shared" si="110"/>
        <v>560.57255259596991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319</v>
      </c>
      <c r="O142" s="13">
        <f>N142*VLOOKUP('Données projet'!$B$9,Paramètres!$A$1:$I$89,3,0)*VLOOKUP('Données projet'!$B$9,Paramètres!$A$1:$I$89,5,0)</f>
        <v>253.79640000000001</v>
      </c>
      <c r="P142" s="13">
        <f t="shared" si="141"/>
        <v>61.39816832228076</v>
      </c>
      <c r="Q142" s="20">
        <f t="shared" si="108"/>
        <v>548.96387316130563</v>
      </c>
      <c r="R142" s="59">
        <f t="shared" si="109"/>
        <v>842.29720649463889</v>
      </c>
      <c r="S142" s="59">
        <f ca="1">AVERAGE(OFFSET($R$3,0,0,'Données projet'!$E$9+1,1))-AVERAGE(OFFSET($H$3,0,0,'Données projet'!$E$9+1,1))</f>
        <v>244.71206779102869</v>
      </c>
      <c r="T142" s="59">
        <f t="shared" si="142"/>
        <v>248.77995374147798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11.725872337321725</v>
      </c>
      <c r="AA142" s="21">
        <f>EXP(-LN(2)/25)*AA141+(1-EXP(-LN(2)/25))/(LN(2)/25)*Calculateur!V142*Calculateur!X142*VLOOKUP('Données projet'!$B$9,Paramètres!$A$1:$I$89,3,0)*0.475*44/12</f>
        <v>0.67199852105721392</v>
      </c>
      <c r="AB142" s="21">
        <f>EXP(-LN(2)/2)*AB141+(1-EXP(-LN(2)/2))/(LN(2)/2)*V142*Y142*VLOOKUP('Données projet'!$B$9,Paramètres!$A$1:$I$89,3,0)*0.475*44/12</f>
        <v>8.0776395985086572E-10</v>
      </c>
      <c r="AC142" s="22">
        <f t="shared" si="111"/>
        <v>12.397870859186703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290.17948717948696</v>
      </c>
      <c r="AJ142" s="13">
        <f>AI142*VLOOKUP('Données projet'!$B$10,Paramètres!$A$1:$I$89,3,0)*VLOOKUP('Données projet'!$B$10,Paramètres!$A$1:$I$89,5,0)</f>
        <v>194.65239999999986</v>
      </c>
      <c r="AK142" s="13">
        <f t="shared" si="143"/>
        <v>48.567079789480402</v>
      </c>
      <c r="AL142" s="20">
        <f t="shared" si="112"/>
        <v>423.60726063334477</v>
      </c>
      <c r="AM142" s="59">
        <f t="shared" si="113"/>
        <v>716.94059396667808</v>
      </c>
      <c r="AN142" s="59">
        <f ca="1">AVERAGE(OFFSET($AM$3,0,0,'Données projet'!$E$10+1,1))-AVERAGE(OFFSET($H$3,0,0,'Données projet'!$E$10+1,1))</f>
        <v>177.71717275462748</v>
      </c>
      <c r="AO142" s="59">
        <f t="shared" si="144"/>
        <v>183.73714278300957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16.710248467018545</v>
      </c>
      <c r="AV142" s="21">
        <f>EXP(-LN(2)/25)*AV141+(1-EXP(-LN(2)/25))/(LN(2)/25)*Calculateur!AQ142*Calculateur!AS142*VLOOKUP('Données projet'!$B$10,Paramètres!$A$1:$I$89,3,0)*0.475*44/12</f>
        <v>0.6771509226849064</v>
      </c>
      <c r="AW142" s="21">
        <f>EXP(-LN(2)/2)*AW141+(1-EXP(-LN(2)/2))/(LN(2)/2)*AQ142*AT142*VLOOKUP('Données projet'!$B$10,Paramètres!$A$1:$I$89,3,0)*0.475*44/12</f>
        <v>1.3497565936765223E-9</v>
      </c>
      <c r="AX142" s="21">
        <f t="shared" si="114"/>
        <v>17.387399391053208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-1.383341441396624E-13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325.66150195494157</v>
      </c>
      <c r="BJ142" s="59">
        <f t="shared" si="146"/>
        <v>429.07526815514467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24.027433824070105</v>
      </c>
      <c r="BQ142" s="21">
        <f>EXP(-LN(2)/25)*BQ141+(1-EXP(-LN(2)/25))/(LN(2)/25)*Calculateur!BL142*Calculateur!BN142*VLOOKUP('Données projet'!$B$11,Paramètres!$A$1:$I$89,3,0)*0.475*44/12</f>
        <v>0.78833763968041781</v>
      </c>
      <c r="BR142" s="21">
        <f>EXP(-LN(2)/2)*BR141+(1-EXP(-LN(2)/2))/(LN(2)/2)*BL142*BO142*VLOOKUP('Données projet'!$B$11,Paramètres!$A$1:$I$89,3,0)*0.475*44/12</f>
        <v>9.0631709260312737E-13</v>
      </c>
      <c r="BS142" s="22">
        <f t="shared" si="117"/>
        <v>24.815771463751428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7">
        <f t="shared" si="110"/>
        <v>562.44830503625724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319</v>
      </c>
      <c r="O143" s="13">
        <f>N143*VLOOKUP('Données projet'!$B$9,Paramètres!$A$1:$I$89,3,0)*VLOOKUP('Données projet'!$B$9,Paramètres!$A$1:$I$89,5,0)</f>
        <v>253.79640000000001</v>
      </c>
      <c r="P143" s="13">
        <f t="shared" si="141"/>
        <v>61.39816832228076</v>
      </c>
      <c r="Q143" s="20">
        <f t="shared" si="108"/>
        <v>548.96387316130563</v>
      </c>
      <c r="R143" s="59">
        <f t="shared" si="109"/>
        <v>842.29720649463889</v>
      </c>
      <c r="S143" s="59">
        <f ca="1">AVERAGE(OFFSET($R$3,0,0,'Données projet'!$E$9+1,1))-AVERAGE(OFFSET($H$3,0,0,'Données projet'!$E$9+1,1))</f>
        <v>244.71206779102869</v>
      </c>
      <c r="T143" s="59">
        <f t="shared" si="142"/>
        <v>248.77995374147798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11.495935132862764</v>
      </c>
      <c r="AA143" s="21">
        <f>EXP(-LN(2)/25)*AA142+(1-EXP(-LN(2)/25))/(LN(2)/25)*Calculateur!V143*Calculateur!X143*VLOOKUP('Données projet'!$B$9,Paramètres!$A$1:$I$89,3,0)*0.475*44/12</f>
        <v>0.65362268616003805</v>
      </c>
      <c r="AB143" s="21">
        <f>EXP(-LN(2)/2)*AB142+(1-EXP(-LN(2)/2))/(LN(2)/2)*V143*Y143*VLOOKUP('Données projet'!$B$9,Paramètres!$A$1:$I$89,3,0)*0.475*44/12</f>
        <v>5.7117537360864526E-10</v>
      </c>
      <c r="AC143" s="22">
        <f t="shared" si="111"/>
        <v>12.149557819593976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290.17948717948696</v>
      </c>
      <c r="AJ143" s="13">
        <f>AI143*VLOOKUP('Données projet'!$B$10,Paramètres!$A$1:$I$89,3,0)*VLOOKUP('Données projet'!$B$10,Paramètres!$A$1:$I$89,5,0)</f>
        <v>194.65239999999986</v>
      </c>
      <c r="AK143" s="13">
        <f t="shared" si="143"/>
        <v>48.567079789480402</v>
      </c>
      <c r="AL143" s="20">
        <f t="shared" si="112"/>
        <v>423.60726063334477</v>
      </c>
      <c r="AM143" s="59">
        <f t="shared" si="113"/>
        <v>716.94059396667808</v>
      </c>
      <c r="AN143" s="59">
        <f ca="1">AVERAGE(OFFSET($AM$3,0,0,'Données projet'!$E$10+1,1))-AVERAGE(OFFSET($H$3,0,0,'Données projet'!$E$10+1,1))</f>
        <v>177.71717275462748</v>
      </c>
      <c r="AO143" s="59">
        <f t="shared" si="144"/>
        <v>183.73714278300957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16.382570686825474</v>
      </c>
      <c r="AV143" s="21">
        <f>EXP(-LN(2)/25)*AV142+(1-EXP(-LN(2)/25))/(LN(2)/25)*Calculateur!AQ143*Calculateur!AS143*VLOOKUP('Données projet'!$B$10,Paramètres!$A$1:$I$89,3,0)*0.475*44/12</f>
        <v>0.65863419509426824</v>
      </c>
      <c r="AW143" s="21">
        <f>EXP(-LN(2)/2)*AW142+(1-EXP(-LN(2)/2))/(LN(2)/2)*AQ143*AT143*VLOOKUP('Données projet'!$B$10,Paramètres!$A$1:$I$89,3,0)*0.475*44/12</f>
        <v>9.5442204033992438E-10</v>
      </c>
      <c r="AX143" s="21">
        <f t="shared" si="114"/>
        <v>17.041204882874165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-1.383341441396624E-13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325.66150195494157</v>
      </c>
      <c r="BJ143" s="59">
        <f t="shared" si="146"/>
        <v>429.07526815514467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23.556270502067633</v>
      </c>
      <c r="BQ143" s="21">
        <f>EXP(-LN(2)/25)*BQ142+(1-EXP(-LN(2)/25))/(LN(2)/25)*Calculateur!BL143*Calculateur!BN143*VLOOKUP('Données projet'!$B$11,Paramètres!$A$1:$I$89,3,0)*0.475*44/12</f>
        <v>0.76678050546648213</v>
      </c>
      <c r="BR143" s="21">
        <f>EXP(-LN(2)/2)*BR142+(1-EXP(-LN(2)/2))/(LN(2)/2)*BL143*BO143*VLOOKUP('Données projet'!$B$11,Paramètres!$A$1:$I$89,3,0)*0.475*44/12</f>
        <v>6.4086296208494754E-13</v>
      </c>
      <c r="BS143" s="22">
        <f t="shared" si="117"/>
        <v>24.323051007534755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7">
        <f t="shared" si="110"/>
        <v>564.32376307732648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319</v>
      </c>
      <c r="O144" s="13">
        <f>N144*VLOOKUP('Données projet'!$B$9,Paramètres!$A$1:$I$89,3,0)*VLOOKUP('Données projet'!$B$9,Paramètres!$A$1:$I$89,5,0)</f>
        <v>253.79640000000001</v>
      </c>
      <c r="P144" s="13">
        <f t="shared" si="141"/>
        <v>61.39816832228076</v>
      </c>
      <c r="Q144" s="20">
        <f t="shared" si="108"/>
        <v>548.96387316130563</v>
      </c>
      <c r="R144" s="59">
        <f t="shared" si="109"/>
        <v>842.29720649463889</v>
      </c>
      <c r="S144" s="59">
        <f ca="1">AVERAGE(OFFSET($R$3,0,0,'Données projet'!$E$9+1,1))-AVERAGE(OFFSET($H$3,0,0,'Données projet'!$E$9+1,1))</f>
        <v>244.71206779102869</v>
      </c>
      <c r="T144" s="59">
        <f t="shared" si="142"/>
        <v>248.77995374147798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11.270506856735395</v>
      </c>
      <c r="AA144" s="21">
        <f>EXP(-LN(2)/25)*AA143+(1-EXP(-LN(2)/25))/(LN(2)/25)*Calculateur!V144*Calculateur!X144*VLOOKUP('Données projet'!$B$9,Paramètres!$A$1:$I$89,3,0)*0.475*44/12</f>
        <v>0.63574933943446865</v>
      </c>
      <c r="AB144" s="21">
        <f>EXP(-LN(2)/2)*AB143+(1-EXP(-LN(2)/2))/(LN(2)/2)*V144*Y144*VLOOKUP('Données projet'!$B$9,Paramètres!$A$1:$I$89,3,0)*0.475*44/12</f>
        <v>4.0388197992543286E-10</v>
      </c>
      <c r="AC144" s="22">
        <f t="shared" si="111"/>
        <v>11.906256196573745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290.17948717948696</v>
      </c>
      <c r="AJ144" s="13">
        <f>AI144*VLOOKUP('Données projet'!$B$10,Paramètres!$A$1:$I$89,3,0)*VLOOKUP('Données projet'!$B$10,Paramètres!$A$1:$I$89,5,0)</f>
        <v>194.65239999999986</v>
      </c>
      <c r="AK144" s="13">
        <f t="shared" si="143"/>
        <v>48.567079789480402</v>
      </c>
      <c r="AL144" s="20">
        <f t="shared" si="112"/>
        <v>423.60726063334477</v>
      </c>
      <c r="AM144" s="59">
        <f t="shared" si="113"/>
        <v>716.94059396667808</v>
      </c>
      <c r="AN144" s="59">
        <f ca="1">AVERAGE(OFFSET($AM$3,0,0,'Données projet'!$E$10+1,1))-AVERAGE(OFFSET($H$3,0,0,'Données projet'!$E$10+1,1))</f>
        <v>177.71717275462748</v>
      </c>
      <c r="AO144" s="59">
        <f t="shared" si="144"/>
        <v>183.73714278300957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16.06131846803828</v>
      </c>
      <c r="AV144" s="21">
        <f>EXP(-LN(2)/25)*AV143+(1-EXP(-LN(2)/25))/(LN(2)/25)*Calculateur!AQ144*Calculateur!AS144*VLOOKUP('Données projet'!$B$10,Paramètres!$A$1:$I$89,3,0)*0.475*44/12</f>
        <v>0.64062380839334843</v>
      </c>
      <c r="AW144" s="21">
        <f>EXP(-LN(2)/2)*AW143+(1-EXP(-LN(2)/2))/(LN(2)/2)*AQ144*AT144*VLOOKUP('Données projet'!$B$10,Paramètres!$A$1:$I$89,3,0)*0.475*44/12</f>
        <v>6.7487829683826116E-10</v>
      </c>
      <c r="AX144" s="21">
        <f t="shared" si="114"/>
        <v>16.701942277106507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-1.383341441396624E-13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325.66150195494157</v>
      </c>
      <c r="BJ144" s="59">
        <f t="shared" si="146"/>
        <v>429.07526815514467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23.094346405428379</v>
      </c>
      <c r="BQ144" s="21">
        <f>EXP(-LN(2)/25)*BQ143+(1-EXP(-LN(2)/25))/(LN(2)/25)*Calculateur!BL144*Calculateur!BN144*VLOOKUP('Données projet'!$B$11,Paramètres!$A$1:$I$89,3,0)*0.475*44/12</f>
        <v>0.74581285222126692</v>
      </c>
      <c r="BR144" s="21">
        <f>EXP(-LN(2)/2)*BR143+(1-EXP(-LN(2)/2))/(LN(2)/2)*BL144*BO144*VLOOKUP('Données projet'!$B$11,Paramètres!$A$1:$I$89,3,0)*0.475*44/12</f>
        <v>4.5315854630156373E-13</v>
      </c>
      <c r="BS144" s="22">
        <f t="shared" si="117"/>
        <v>23.8401592576501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7">
        <f t="shared" si="110"/>
        <v>566.1989290492287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319</v>
      </c>
      <c r="O145" s="13">
        <f>N145*VLOOKUP('Données projet'!$B$9,Paramètres!$A$1:$I$89,3,0)*VLOOKUP('Données projet'!$B$9,Paramètres!$A$1:$I$89,5,0)</f>
        <v>253.79640000000001</v>
      </c>
      <c r="P145" s="13">
        <f t="shared" si="141"/>
        <v>61.39816832228076</v>
      </c>
      <c r="Q145" s="20">
        <f t="shared" si="108"/>
        <v>548.96387316130563</v>
      </c>
      <c r="R145" s="59">
        <f t="shared" si="109"/>
        <v>842.29720649463889</v>
      </c>
      <c r="S145" s="59">
        <f ca="1">AVERAGE(OFFSET($R$3,0,0,'Données projet'!$E$9+1,1))-AVERAGE(OFFSET($H$3,0,0,'Données projet'!$E$9+1,1))</f>
        <v>244.71206779102869</v>
      </c>
      <c r="T145" s="59">
        <f t="shared" si="142"/>
        <v>248.77995374147798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11.049499091605213</v>
      </c>
      <c r="AA145" s="21">
        <f>EXP(-LN(2)/25)*AA144+(1-EXP(-LN(2)/25))/(LN(2)/25)*Calculateur!V145*Calculateur!X145*VLOOKUP('Données projet'!$B$9,Paramètres!$A$1:$I$89,3,0)*0.475*44/12</f>
        <v>0.61836474031502842</v>
      </c>
      <c r="AB145" s="21">
        <f>EXP(-LN(2)/2)*AB144+(1-EXP(-LN(2)/2))/(LN(2)/2)*V145*Y145*VLOOKUP('Données projet'!$B$9,Paramètres!$A$1:$I$89,3,0)*0.475*44/12</f>
        <v>2.8558768680432263E-10</v>
      </c>
      <c r="AC145" s="22">
        <f t="shared" si="111"/>
        <v>11.66786383220583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290.17948717948696</v>
      </c>
      <c r="AJ145" s="13">
        <f>AI145*VLOOKUP('Données projet'!$B$10,Paramètres!$A$1:$I$89,3,0)*VLOOKUP('Données projet'!$B$10,Paramètres!$A$1:$I$89,5,0)</f>
        <v>194.65239999999986</v>
      </c>
      <c r="AK145" s="13">
        <f t="shared" si="143"/>
        <v>48.567079789480402</v>
      </c>
      <c r="AL145" s="20">
        <f t="shared" si="112"/>
        <v>423.60726063334477</v>
      </c>
      <c r="AM145" s="59">
        <f t="shared" si="113"/>
        <v>716.94059396667808</v>
      </c>
      <c r="AN145" s="59">
        <f ca="1">AVERAGE(OFFSET($AM$3,0,0,'Données projet'!$E$10+1,1))-AVERAGE(OFFSET($H$3,0,0,'Données projet'!$E$10+1,1))</f>
        <v>177.71717275462748</v>
      </c>
      <c r="AO145" s="59">
        <f t="shared" si="144"/>
        <v>183.73714278300957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15.746365809316996</v>
      </c>
      <c r="AV145" s="21">
        <f>EXP(-LN(2)/25)*AV144+(1-EXP(-LN(2)/25))/(LN(2)/25)*Calculateur!AQ145*Calculateur!AS145*VLOOKUP('Données projet'!$B$10,Paramètres!$A$1:$I$89,3,0)*0.475*44/12</f>
        <v>0.62310591666389037</v>
      </c>
      <c r="AW145" s="21">
        <f>EXP(-LN(2)/2)*AW144+(1-EXP(-LN(2)/2))/(LN(2)/2)*AQ145*AT145*VLOOKUP('Données projet'!$B$10,Paramètres!$A$1:$I$89,3,0)*0.475*44/12</f>
        <v>4.7721102016996219E-10</v>
      </c>
      <c r="AX145" s="21">
        <f t="shared" si="114"/>
        <v>16.369471726458098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-1.383341441396624E-13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325.66150195494157</v>
      </c>
      <c r="BJ145" s="59">
        <f t="shared" si="146"/>
        <v>429.07526815514467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22.641480358578342</v>
      </c>
      <c r="BQ145" s="21">
        <f>EXP(-LN(2)/25)*BQ144+(1-EXP(-LN(2)/25))/(LN(2)/25)*Calculateur!BL145*Calculateur!BN145*VLOOKUP('Données projet'!$B$11,Paramètres!$A$1:$I$89,3,0)*0.475*44/12</f>
        <v>0.72541856055668308</v>
      </c>
      <c r="BR145" s="21">
        <f>EXP(-LN(2)/2)*BR144+(1-EXP(-LN(2)/2))/(LN(2)/2)*BL145*BO145*VLOOKUP('Données projet'!$B$11,Paramètres!$A$1:$I$89,3,0)*0.475*44/12</f>
        <v>3.2043148104247382E-13</v>
      </c>
      <c r="BS145" s="22">
        <f t="shared" si="117"/>
        <v>23.366898919135345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7">
        <f t="shared" si="110"/>
        <v>568.0738052473007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319</v>
      </c>
      <c r="O146" s="13">
        <f>N146*VLOOKUP('Données projet'!$B$9,Paramètres!$A$1:$I$89,3,0)*VLOOKUP('Données projet'!$B$9,Paramètres!$A$1:$I$89,5,0)</f>
        <v>253.79640000000001</v>
      </c>
      <c r="P146" s="13">
        <f t="shared" si="141"/>
        <v>61.39816832228076</v>
      </c>
      <c r="Q146" s="20">
        <f t="shared" si="108"/>
        <v>548.96387316130563</v>
      </c>
      <c r="R146" s="59">
        <f t="shared" si="109"/>
        <v>842.29720649463889</v>
      </c>
      <c r="S146" s="59">
        <f ca="1">AVERAGE(OFFSET($R$3,0,0,'Données projet'!$E$9+1,1))-AVERAGE(OFFSET($H$3,0,0,'Données projet'!$E$9+1,1))</f>
        <v>244.71206779102869</v>
      </c>
      <c r="T146" s="59">
        <f t="shared" si="142"/>
        <v>248.77995374147798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10.832825153947807</v>
      </c>
      <c r="AA146" s="21">
        <f>EXP(-LN(2)/25)*AA145+(1-EXP(-LN(2)/25))/(LN(2)/25)*Calculateur!V146*Calculateur!X146*VLOOKUP('Données projet'!$B$9,Paramètres!$A$1:$I$89,3,0)*0.475*44/12</f>
        <v>0.60145552397272561</v>
      </c>
      <c r="AB146" s="21">
        <f>EXP(-LN(2)/2)*AB145+(1-EXP(-LN(2)/2))/(LN(2)/2)*V146*Y146*VLOOKUP('Données projet'!$B$9,Paramètres!$A$1:$I$89,3,0)*0.475*44/12</f>
        <v>2.0194098996271643E-10</v>
      </c>
      <c r="AC146" s="22">
        <f t="shared" si="111"/>
        <v>11.434280678122475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290.17948717948696</v>
      </c>
      <c r="AJ146" s="13">
        <f>AI146*VLOOKUP('Données projet'!$B$10,Paramètres!$A$1:$I$89,3,0)*VLOOKUP('Données projet'!$B$10,Paramètres!$A$1:$I$89,5,0)</f>
        <v>194.65239999999986</v>
      </c>
      <c r="AK146" s="13">
        <f t="shared" si="143"/>
        <v>48.567079789480402</v>
      </c>
      <c r="AL146" s="20">
        <f t="shared" si="112"/>
        <v>423.60726063334477</v>
      </c>
      <c r="AM146" s="59">
        <f t="shared" si="113"/>
        <v>716.94059396667808</v>
      </c>
      <c r="AN146" s="59">
        <f ca="1">AVERAGE(OFFSET($AM$3,0,0,'Données projet'!$E$10+1,1))-AVERAGE(OFFSET($H$3,0,0,'Données projet'!$E$10+1,1))</f>
        <v>177.71717275462748</v>
      </c>
      <c r="AO146" s="59">
        <f t="shared" si="144"/>
        <v>183.73714278300957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15.437589180131084</v>
      </c>
      <c r="AV146" s="21">
        <f>EXP(-LN(2)/25)*AV145+(1-EXP(-LN(2)/25))/(LN(2)/25)*Calculateur!AQ146*Calculateur!AS146*VLOOKUP('Données projet'!$B$10,Paramètres!$A$1:$I$89,3,0)*0.475*44/12</f>
        <v>0.60606705260500027</v>
      </c>
      <c r="AW146" s="21">
        <f>EXP(-LN(2)/2)*AW145+(1-EXP(-LN(2)/2))/(LN(2)/2)*AQ146*AT146*VLOOKUP('Données projet'!$B$10,Paramètres!$A$1:$I$89,3,0)*0.475*44/12</f>
        <v>3.3743914841913058E-10</v>
      </c>
      <c r="AX146" s="21">
        <f t="shared" si="114"/>
        <v>16.043656233073524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-1.383341441396624E-13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325.66150195494157</v>
      </c>
      <c r="BJ146" s="59">
        <f t="shared" si="146"/>
        <v>429.07526815514467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22.197494738686022</v>
      </c>
      <c r="BQ146" s="21">
        <f>EXP(-LN(2)/25)*BQ145+(1-EXP(-LN(2)/25))/(LN(2)/25)*Calculateur!BL146*Calculateur!BN146*VLOOKUP('Données projet'!$B$11,Paramètres!$A$1:$I$89,3,0)*0.475*44/12</f>
        <v>0.70558195187015649</v>
      </c>
      <c r="BR146" s="21">
        <f>EXP(-LN(2)/2)*BR145+(1-EXP(-LN(2)/2))/(LN(2)/2)*BL146*BO146*VLOOKUP('Données projet'!$B$11,Paramètres!$A$1:$I$89,3,0)*0.475*44/12</f>
        <v>2.2657927315078189E-13</v>
      </c>
      <c r="BS146" s="22">
        <f t="shared" si="117"/>
        <v>22.903076690556404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7">
        <f t="shared" si="110"/>
        <v>569.94839393292125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319</v>
      </c>
      <c r="O147" s="13">
        <f>N147*VLOOKUP('Données projet'!$B$9,Paramètres!$A$1:$I$89,3,0)*VLOOKUP('Données projet'!$B$9,Paramètres!$A$1:$I$89,5,0)</f>
        <v>253.79640000000001</v>
      </c>
      <c r="P147" s="13">
        <f t="shared" si="141"/>
        <v>61.39816832228076</v>
      </c>
      <c r="Q147" s="20">
        <f t="shared" si="108"/>
        <v>548.96387316130563</v>
      </c>
      <c r="R147" s="59">
        <f t="shared" si="109"/>
        <v>842.29720649463889</v>
      </c>
      <c r="S147" s="59">
        <f ca="1">AVERAGE(OFFSET($R$3,0,0,'Données projet'!$E$9+1,1))-AVERAGE(OFFSET($H$3,0,0,'Données projet'!$E$9+1,1))</f>
        <v>244.71206779102869</v>
      </c>
      <c r="T147" s="59">
        <f t="shared" si="142"/>
        <v>248.77995374147798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10.620400060049811</v>
      </c>
      <c r="AA147" s="21">
        <f>EXP(-LN(2)/25)*AA146+(1-EXP(-LN(2)/25))/(LN(2)/25)*Calculateur!V147*Calculateur!X147*VLOOKUP('Données projet'!$B$9,Paramètres!$A$1:$I$89,3,0)*0.475*44/12</f>
        <v>0.58500869104052011</v>
      </c>
      <c r="AB147" s="21">
        <f>EXP(-LN(2)/2)*AB146+(1-EXP(-LN(2)/2))/(LN(2)/2)*V147*Y147*VLOOKUP('Données projet'!$B$9,Paramètres!$A$1:$I$89,3,0)*0.475*44/12</f>
        <v>1.4279384340216131E-10</v>
      </c>
      <c r="AC147" s="22">
        <f t="shared" si="111"/>
        <v>11.205408751233126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290.17948717948696</v>
      </c>
      <c r="AJ147" s="13">
        <f>AI147*VLOOKUP('Données projet'!$B$10,Paramètres!$A$1:$I$89,3,0)*VLOOKUP('Données projet'!$B$10,Paramètres!$A$1:$I$89,5,0)</f>
        <v>194.65239999999986</v>
      </c>
      <c r="AK147" s="13">
        <f t="shared" si="143"/>
        <v>48.567079789480402</v>
      </c>
      <c r="AL147" s="20">
        <f t="shared" si="112"/>
        <v>423.60726063334477</v>
      </c>
      <c r="AM147" s="59">
        <f t="shared" si="113"/>
        <v>716.94059396667808</v>
      </c>
      <c r="AN147" s="59">
        <f ca="1">AVERAGE(OFFSET($AM$3,0,0,'Données projet'!$E$10+1,1))-AVERAGE(OFFSET($H$3,0,0,'Données projet'!$E$10+1,1))</f>
        <v>177.71717275462748</v>
      </c>
      <c r="AO147" s="59">
        <f t="shared" si="144"/>
        <v>183.73714278300957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15.134867472308361</v>
      </c>
      <c r="AV147" s="21">
        <f>EXP(-LN(2)/25)*AV146+(1-EXP(-LN(2)/25))/(LN(2)/25)*Calculateur!AQ147*Calculateur!AS147*VLOOKUP('Données projet'!$B$10,Paramètres!$A$1:$I$89,3,0)*0.475*44/12</f>
        <v>0.58949411717983546</v>
      </c>
      <c r="AW147" s="21">
        <f>EXP(-LN(2)/2)*AW146+(1-EXP(-LN(2)/2))/(LN(2)/2)*AQ147*AT147*VLOOKUP('Données projet'!$B$10,Paramètres!$A$1:$I$89,3,0)*0.475*44/12</f>
        <v>2.3860551008498109E-10</v>
      </c>
      <c r="AX147" s="21">
        <f t="shared" si="114"/>
        <v>15.724361589726803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-1.383341441396624E-13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325.66150195494157</v>
      </c>
      <c r="BJ147" s="59">
        <f t="shared" si="146"/>
        <v>429.07526815514467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21.762215405995299</v>
      </c>
      <c r="BQ147" s="21">
        <f>EXP(-LN(2)/25)*BQ146+(1-EXP(-LN(2)/25))/(LN(2)/25)*Calculateur!BL147*Calculateur!BN147*VLOOKUP('Données projet'!$B$11,Paramètres!$A$1:$I$89,3,0)*0.475*44/12</f>
        <v>0.68628777629132487</v>
      </c>
      <c r="BR147" s="21">
        <f>EXP(-LN(2)/2)*BR146+(1-EXP(-LN(2)/2))/(LN(2)/2)*BL147*BO147*VLOOKUP('Données projet'!$B$11,Paramètres!$A$1:$I$89,3,0)*0.475*44/12</f>
        <v>1.6021574052123694E-13</v>
      </c>
      <c r="BS147" s="22">
        <f t="shared" si="117"/>
        <v>22.448503182286785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7">
        <f t="shared" si="110"/>
        <v>571.82269733424562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319</v>
      </c>
      <c r="O148" s="13">
        <f>N148*VLOOKUP('Données projet'!$B$9,Paramètres!$A$1:$I$89,3,0)*VLOOKUP('Données projet'!$B$9,Paramètres!$A$1:$I$89,5,0)</f>
        <v>253.79640000000001</v>
      </c>
      <c r="P148" s="13">
        <f t="shared" si="141"/>
        <v>61.39816832228076</v>
      </c>
      <c r="Q148" s="20">
        <f t="shared" si="108"/>
        <v>548.96387316130563</v>
      </c>
      <c r="R148" s="59">
        <f t="shared" si="109"/>
        <v>842.29720649463889</v>
      </c>
      <c r="S148" s="59">
        <f ca="1">AVERAGE(OFFSET($R$3,0,0,'Données projet'!$E$9+1,1))-AVERAGE(OFFSET($H$3,0,0,'Données projet'!$E$9+1,1))</f>
        <v>244.71206779102869</v>
      </c>
      <c r="T148" s="59">
        <f t="shared" si="142"/>
        <v>248.77995374147798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10.41214049267664</v>
      </c>
      <c r="AA148" s="21">
        <f>EXP(-LN(2)/25)*AA147+(1-EXP(-LN(2)/25))/(LN(2)/25)*Calculateur!V148*Calculateur!X148*VLOOKUP('Données projet'!$B$9,Paramètres!$A$1:$I$89,3,0)*0.475*44/12</f>
        <v>0.56901159761974707</v>
      </c>
      <c r="AB148" s="21">
        <f>EXP(-LN(2)/2)*AB147+(1-EXP(-LN(2)/2))/(LN(2)/2)*V148*Y148*VLOOKUP('Données projet'!$B$9,Paramètres!$A$1:$I$89,3,0)*0.475*44/12</f>
        <v>1.0097049498135821E-10</v>
      </c>
      <c r="AC148" s="22">
        <f t="shared" si="111"/>
        <v>10.981152090397357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290.17948717948696</v>
      </c>
      <c r="AJ148" s="13">
        <f>AI148*VLOOKUP('Données projet'!$B$10,Paramètres!$A$1:$I$89,3,0)*VLOOKUP('Données projet'!$B$10,Paramètres!$A$1:$I$89,5,0)</f>
        <v>194.65239999999986</v>
      </c>
      <c r="AK148" s="13">
        <f t="shared" si="143"/>
        <v>48.567079789480402</v>
      </c>
      <c r="AL148" s="20">
        <f t="shared" si="112"/>
        <v>423.60726063334477</v>
      </c>
      <c r="AM148" s="59">
        <f t="shared" si="113"/>
        <v>716.94059396667808</v>
      </c>
      <c r="AN148" s="59">
        <f ca="1">AVERAGE(OFFSET($AM$3,0,0,'Données projet'!$E$10+1,1))-AVERAGE(OFFSET($H$3,0,0,'Données projet'!$E$10+1,1))</f>
        <v>177.71717275462748</v>
      </c>
      <c r="AO148" s="59">
        <f t="shared" si="144"/>
        <v>183.73714278300957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14.838081952534031</v>
      </c>
      <c r="AV148" s="21">
        <f>EXP(-LN(2)/25)*AV147+(1-EXP(-LN(2)/25))/(LN(2)/25)*Calculateur!AQ148*Calculateur!AS148*VLOOKUP('Données projet'!$B$10,Paramètres!$A$1:$I$89,3,0)*0.475*44/12</f>
        <v>0.57337436954540455</v>
      </c>
      <c r="AW148" s="21">
        <f>EXP(-LN(2)/2)*AW147+(1-EXP(-LN(2)/2))/(LN(2)/2)*AQ148*AT148*VLOOKUP('Données projet'!$B$10,Paramètres!$A$1:$I$89,3,0)*0.475*44/12</f>
        <v>1.6871957420956529E-10</v>
      </c>
      <c r="AX148" s="21">
        <f t="shared" si="114"/>
        <v>15.411456322248156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-1.383341441396624E-13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325.66150195494157</v>
      </c>
      <c r="BJ148" s="59">
        <f t="shared" si="146"/>
        <v>429.07526815514467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21.335471635524467</v>
      </c>
      <c r="BQ148" s="21">
        <f>EXP(-LN(2)/25)*BQ147+(1-EXP(-LN(2)/25))/(LN(2)/25)*Calculateur!BL148*Calculateur!BN148*VLOOKUP('Données projet'!$B$11,Paramètres!$A$1:$I$89,3,0)*0.475*44/12</f>
        <v>0.66752120095833301</v>
      </c>
      <c r="BR148" s="21">
        <f>EXP(-LN(2)/2)*BR147+(1-EXP(-LN(2)/2))/(LN(2)/2)*BL148*BO148*VLOOKUP('Données projet'!$B$11,Paramètres!$A$1:$I$89,3,0)*0.475*44/12</f>
        <v>1.1328963657539097E-13</v>
      </c>
      <c r="BS148" s="22">
        <f t="shared" si="117"/>
        <v>22.002992836482914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7">
        <f t="shared" si="110"/>
        <v>573.69671764691986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319</v>
      </c>
      <c r="O149" s="13">
        <f>N149*VLOOKUP('Données projet'!$B$9,Paramètres!$A$1:$I$89,3,0)*VLOOKUP('Données projet'!$B$9,Paramètres!$A$1:$I$89,5,0)</f>
        <v>253.79640000000001</v>
      </c>
      <c r="P149" s="13">
        <f t="shared" si="141"/>
        <v>61.39816832228076</v>
      </c>
      <c r="Q149" s="20">
        <f t="shared" si="108"/>
        <v>548.96387316130563</v>
      </c>
      <c r="R149" s="59">
        <f t="shared" si="109"/>
        <v>842.29720649463889</v>
      </c>
      <c r="S149" s="59">
        <f ca="1">AVERAGE(OFFSET($R$3,0,0,'Données projet'!$E$9+1,1))-AVERAGE(OFFSET($H$3,0,0,'Données projet'!$E$9+1,1))</f>
        <v>244.71206779102869</v>
      </c>
      <c r="T149" s="59">
        <f t="shared" si="142"/>
        <v>248.77995374147798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10.207964768393865</v>
      </c>
      <c r="AA149" s="21">
        <f>EXP(-LN(2)/25)*AA148+(1-EXP(-LN(2)/25))/(LN(2)/25)*Calculateur!V149*Calculateur!X149*VLOOKUP('Données projet'!$B$9,Paramètres!$A$1:$I$89,3,0)*0.475*44/12</f>
        <v>0.55345194555981569</v>
      </c>
      <c r="AB149" s="21">
        <f>EXP(-LN(2)/2)*AB148+(1-EXP(-LN(2)/2))/(LN(2)/2)*V149*Y149*VLOOKUP('Données projet'!$B$9,Paramètres!$A$1:$I$89,3,0)*0.475*44/12</f>
        <v>7.1396921701080657E-11</v>
      </c>
      <c r="AC149" s="22">
        <f t="shared" si="111"/>
        <v>10.761416714025078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290.17948717948696</v>
      </c>
      <c r="AJ149" s="13">
        <f>AI149*VLOOKUP('Données projet'!$B$10,Paramètres!$A$1:$I$89,3,0)*VLOOKUP('Données projet'!$B$10,Paramètres!$A$1:$I$89,5,0)</f>
        <v>194.65239999999986</v>
      </c>
      <c r="AK149" s="13">
        <f t="shared" si="143"/>
        <v>48.567079789480402</v>
      </c>
      <c r="AL149" s="20">
        <f t="shared" si="112"/>
        <v>423.60726063334477</v>
      </c>
      <c r="AM149" s="59">
        <f t="shared" si="113"/>
        <v>716.94059396667808</v>
      </c>
      <c r="AN149" s="59">
        <f ca="1">AVERAGE(OFFSET($AM$3,0,0,'Données projet'!$E$10+1,1))-AVERAGE(OFFSET($H$3,0,0,'Données projet'!$E$10+1,1))</f>
        <v>177.71717275462748</v>
      </c>
      <c r="AO149" s="59">
        <f t="shared" si="144"/>
        <v>183.73714278300957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14.547116215781184</v>
      </c>
      <c r="AV149" s="21">
        <f>EXP(-LN(2)/25)*AV148+(1-EXP(-LN(2)/25))/(LN(2)/25)*Calculateur!AQ149*Calculateur!AS149*VLOOKUP('Données projet'!$B$10,Paramètres!$A$1:$I$89,3,0)*0.475*44/12</f>
        <v>0.55769541725773786</v>
      </c>
      <c r="AW149" s="21">
        <f>EXP(-LN(2)/2)*AW148+(1-EXP(-LN(2)/2))/(LN(2)/2)*AQ149*AT149*VLOOKUP('Données projet'!$B$10,Paramètres!$A$1:$I$89,3,0)*0.475*44/12</f>
        <v>1.1930275504249055E-10</v>
      </c>
      <c r="AX149" s="21">
        <f t="shared" si="114"/>
        <v>15.104811633158224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-1.383341441396624E-13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325.66150195494157</v>
      </c>
      <c r="BJ149" s="59">
        <f t="shared" si="146"/>
        <v>429.07526815514467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20.917096050104568</v>
      </c>
      <c r="BQ149" s="21">
        <f>EXP(-LN(2)/25)*BQ148+(1-EXP(-LN(2)/25))/(LN(2)/25)*Calculateur!BL149*Calculateur!BN149*VLOOKUP('Données projet'!$B$11,Paramètres!$A$1:$I$89,3,0)*0.475*44/12</f>
        <v>0.64926779861471307</v>
      </c>
      <c r="BR149" s="21">
        <f>EXP(-LN(2)/2)*BR148+(1-EXP(-LN(2)/2))/(LN(2)/2)*BL149*BO149*VLOOKUP('Données projet'!$B$11,Paramètres!$A$1:$I$89,3,0)*0.475*44/12</f>
        <v>8.010787026061848E-14</v>
      </c>
      <c r="BS149" s="22">
        <f t="shared" si="117"/>
        <v>21.566363848719362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7">
        <f t="shared" si="110"/>
        <v>575.57045703477377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319</v>
      </c>
      <c r="O150" s="13">
        <f>N150*VLOOKUP('Données projet'!$B$9,Paramètres!$A$1:$I$89,3,0)*VLOOKUP('Données projet'!$B$9,Paramètres!$A$1:$I$89,5,0)</f>
        <v>253.79640000000001</v>
      </c>
      <c r="P150" s="13">
        <f t="shared" si="141"/>
        <v>61.39816832228076</v>
      </c>
      <c r="Q150" s="20">
        <f t="shared" si="108"/>
        <v>548.96387316130563</v>
      </c>
      <c r="R150" s="59">
        <f t="shared" si="109"/>
        <v>842.29720649463889</v>
      </c>
      <c r="S150" s="59">
        <f ca="1">AVERAGE(OFFSET($R$3,0,0,'Données projet'!$E$9+1,1))-AVERAGE(OFFSET($H$3,0,0,'Données projet'!$E$9+1,1))</f>
        <v>244.71206779102869</v>
      </c>
      <c r="T150" s="59">
        <f t="shared" si="142"/>
        <v>248.77995374147798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10.007792805529379</v>
      </c>
      <c r="AA150" s="21">
        <f>EXP(-LN(2)/25)*AA149+(1-EXP(-LN(2)/25))/(LN(2)/25)*Calculateur!V150*Calculateur!X150*VLOOKUP('Données projet'!$B$9,Paramètres!$A$1:$I$89,3,0)*0.475*44/12</f>
        <v>0.53831777300370964</v>
      </c>
      <c r="AB150" s="21">
        <f>EXP(-LN(2)/2)*AB149+(1-EXP(-LN(2)/2))/(LN(2)/2)*V150*Y150*VLOOKUP('Données projet'!$B$9,Paramètres!$A$1:$I$89,3,0)*0.475*44/12</f>
        <v>5.0485247490679107E-11</v>
      </c>
      <c r="AC150" s="22">
        <f t="shared" si="111"/>
        <v>10.546110578583574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290.17948717948696</v>
      </c>
      <c r="AJ150" s="13">
        <f>AI150*VLOOKUP('Données projet'!$B$10,Paramètres!$A$1:$I$89,3,0)*VLOOKUP('Données projet'!$B$10,Paramètres!$A$1:$I$89,5,0)</f>
        <v>194.65239999999986</v>
      </c>
      <c r="AK150" s="13">
        <f t="shared" si="143"/>
        <v>48.567079789480402</v>
      </c>
      <c r="AL150" s="20">
        <f t="shared" si="112"/>
        <v>423.60726063334477</v>
      </c>
      <c r="AM150" s="59">
        <f t="shared" si="113"/>
        <v>716.94059396667808</v>
      </c>
      <c r="AN150" s="59">
        <f ca="1">AVERAGE(OFFSET($AM$3,0,0,'Données projet'!$E$10+1,1))-AVERAGE(OFFSET($H$3,0,0,'Données projet'!$E$10+1,1))</f>
        <v>177.71717275462748</v>
      </c>
      <c r="AO150" s="59">
        <f t="shared" si="144"/>
        <v>183.73714278300957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14.261856139654483</v>
      </c>
      <c r="AV150" s="21">
        <f>EXP(-LN(2)/25)*AV149+(1-EXP(-LN(2)/25))/(LN(2)/25)*Calculateur!AQ150*Calculateur!AS150*VLOOKUP('Données projet'!$B$10,Paramètres!$A$1:$I$89,3,0)*0.475*44/12</f>
        <v>0.5424452067448976</v>
      </c>
      <c r="AW150" s="21">
        <f>EXP(-LN(2)/2)*AW149+(1-EXP(-LN(2)/2))/(LN(2)/2)*AQ150*AT150*VLOOKUP('Données projet'!$B$10,Paramètres!$A$1:$I$89,3,0)*0.475*44/12</f>
        <v>8.4359787104782645E-11</v>
      </c>
      <c r="AX150" s="21">
        <f t="shared" si="114"/>
        <v>14.80430134648374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-1.383341441396624E-13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325.66150195494157</v>
      </c>
      <c r="BJ150" s="59">
        <f t="shared" si="146"/>
        <v>429.07526815514467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20.506924554730844</v>
      </c>
      <c r="BQ150" s="21">
        <f>EXP(-LN(2)/25)*BQ149+(1-EXP(-LN(2)/25))/(LN(2)/25)*Calculateur!BL150*Calculateur!BN150*VLOOKUP('Données projet'!$B$11,Paramètres!$A$1:$I$89,3,0)*0.475*44/12</f>
        <v>0.63151353651808417</v>
      </c>
      <c r="BR150" s="21">
        <f>EXP(-LN(2)/2)*BR149+(1-EXP(-LN(2)/2))/(LN(2)/2)*BL150*BO150*VLOOKUP('Données projet'!$B$11,Paramètres!$A$1:$I$89,3,0)*0.475*44/12</f>
        <v>5.6644818287695492E-14</v>
      </c>
      <c r="BS150" s="22">
        <f t="shared" si="117"/>
        <v>21.138438091248986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7">
        <f t="shared" si="110"/>
        <v>577.44391763049589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319</v>
      </c>
      <c r="O151" s="13">
        <f>N151*VLOOKUP('Données projet'!$B$9,Paramètres!$A$1:$I$89,3,0)*VLOOKUP('Données projet'!$B$9,Paramètres!$A$1:$I$89,5,0)</f>
        <v>253.79640000000001</v>
      </c>
      <c r="P151" s="13">
        <f t="shared" si="141"/>
        <v>61.39816832228076</v>
      </c>
      <c r="Q151" s="20">
        <f t="shared" si="108"/>
        <v>548.96387316130563</v>
      </c>
      <c r="R151" s="59">
        <f t="shared" si="109"/>
        <v>842.29720649463889</v>
      </c>
      <c r="S151" s="59">
        <f ca="1">AVERAGE(OFFSET($R$3,0,0,'Données projet'!$E$9+1,1))-AVERAGE(OFFSET($H$3,0,0,'Données projet'!$E$9+1,1))</f>
        <v>244.71206779102869</v>
      </c>
      <c r="T151" s="59">
        <f t="shared" si="142"/>
        <v>248.77995374147798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9.8115460927638232</v>
      </c>
      <c r="AA151" s="21">
        <f>EXP(-LN(2)/25)*AA150+(1-EXP(-LN(2)/25))/(LN(2)/25)*Calculateur!V151*Calculateur!X151*VLOOKUP('Données projet'!$B$9,Paramètres!$A$1:$I$89,3,0)*0.475*44/12</f>
        <v>0.52359744519202189</v>
      </c>
      <c r="AB151" s="21">
        <f>EXP(-LN(2)/2)*AB150+(1-EXP(-LN(2)/2))/(LN(2)/2)*V151*Y151*VLOOKUP('Données projet'!$B$9,Paramètres!$A$1:$I$89,3,0)*0.475*44/12</f>
        <v>3.5698460850540328E-11</v>
      </c>
      <c r="AC151" s="22">
        <f t="shared" si="111"/>
        <v>10.335143537991543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290.17948717948696</v>
      </c>
      <c r="AJ151" s="13">
        <f>AI151*VLOOKUP('Données projet'!$B$10,Paramètres!$A$1:$I$89,3,0)*VLOOKUP('Données projet'!$B$10,Paramètres!$A$1:$I$89,5,0)</f>
        <v>194.65239999999986</v>
      </c>
      <c r="AK151" s="13">
        <f t="shared" si="143"/>
        <v>48.567079789480402</v>
      </c>
      <c r="AL151" s="20">
        <f t="shared" si="112"/>
        <v>423.60726063334477</v>
      </c>
      <c r="AM151" s="59">
        <f t="shared" si="113"/>
        <v>716.94059396667808</v>
      </c>
      <c r="AN151" s="59">
        <f ca="1">AVERAGE(OFFSET($AM$3,0,0,'Données projet'!$E$10+1,1))-AVERAGE(OFFSET($H$3,0,0,'Données projet'!$E$10+1,1))</f>
        <v>177.71717275462748</v>
      </c>
      <c r="AO151" s="59">
        <f t="shared" si="144"/>
        <v>183.73714278300957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13.982189839629163</v>
      </c>
      <c r="AV151" s="21">
        <f>EXP(-LN(2)/25)*AV150+(1-EXP(-LN(2)/25))/(LN(2)/25)*Calculateur!AQ151*Calculateur!AS151*VLOOKUP('Données projet'!$B$10,Paramètres!$A$1:$I$89,3,0)*0.475*44/12</f>
        <v>0.52761201404050473</v>
      </c>
      <c r="AW151" s="21">
        <f>EXP(-LN(2)/2)*AW150+(1-EXP(-LN(2)/2))/(LN(2)/2)*AQ151*AT151*VLOOKUP('Données projet'!$B$10,Paramètres!$A$1:$I$89,3,0)*0.475*44/12</f>
        <v>5.9651377521245274E-11</v>
      </c>
      <c r="AX151" s="21">
        <f t="shared" si="114"/>
        <v>14.50980185372932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-1.383341441396624E-13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325.66150195494157</v>
      </c>
      <c r="BJ151" s="59">
        <f t="shared" si="146"/>
        <v>429.07526815514467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20.10479627220149</v>
      </c>
      <c r="BQ151" s="21">
        <f>EXP(-LN(2)/25)*BQ150+(1-EXP(-LN(2)/25))/(LN(2)/25)*Calculateur!BL151*Calculateur!BN151*VLOOKUP('Données projet'!$B$11,Paramètres!$A$1:$I$89,3,0)*0.475*44/12</f>
        <v>0.61424476565214359</v>
      </c>
      <c r="BR151" s="21">
        <f>EXP(-LN(2)/2)*BR150+(1-EXP(-LN(2)/2))/(LN(2)/2)*BL151*BO151*VLOOKUP('Données projet'!$B$11,Paramètres!$A$1:$I$89,3,0)*0.475*44/12</f>
        <v>4.0053935130309246E-14</v>
      </c>
      <c r="BS151" s="22">
        <f t="shared" si="117"/>
        <v>20.719041037853671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7">
        <f t="shared" si="110"/>
        <v>579.31710153628819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319</v>
      </c>
      <c r="O152" s="13">
        <f>N152*VLOOKUP('Données projet'!$B$9,Paramètres!$A$1:$I$89,3,0)*VLOOKUP('Données projet'!$B$9,Paramètres!$A$1:$I$89,5,0)</f>
        <v>253.79640000000001</v>
      </c>
      <c r="P152" s="13">
        <f t="shared" si="141"/>
        <v>61.39816832228076</v>
      </c>
      <c r="Q152" s="20">
        <f t="shared" si="108"/>
        <v>548.96387316130563</v>
      </c>
      <c r="R152" s="59">
        <f t="shared" si="109"/>
        <v>842.29720649463889</v>
      </c>
      <c r="S152" s="59">
        <f ca="1">AVERAGE(OFFSET($R$3,0,0,'Données projet'!$E$9+1,1))-AVERAGE(OFFSET($H$3,0,0,'Données projet'!$E$9+1,1))</f>
        <v>244.71206779102869</v>
      </c>
      <c r="T152" s="59">
        <f t="shared" si="142"/>
        <v>248.77995374147798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9.6191476583369262</v>
      </c>
      <c r="AA152" s="21">
        <f>EXP(-LN(2)/25)*AA151+(1-EXP(-LN(2)/25))/(LN(2)/25)*Calculateur!V152*Calculateur!X152*VLOOKUP('Données projet'!$B$9,Paramètres!$A$1:$I$89,3,0)*0.475*44/12</f>
        <v>0.50927964551845306</v>
      </c>
      <c r="AB152" s="21">
        <f>EXP(-LN(2)/2)*AB151+(1-EXP(-LN(2)/2))/(LN(2)/2)*V152*Y152*VLOOKUP('Données projet'!$B$9,Paramètres!$A$1:$I$89,3,0)*0.475*44/12</f>
        <v>2.5242623745339554E-11</v>
      </c>
      <c r="AC152" s="22">
        <f t="shared" si="111"/>
        <v>10.128427303880621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290.17948717948696</v>
      </c>
      <c r="AJ152" s="13">
        <f>AI152*VLOOKUP('Données projet'!$B$10,Paramètres!$A$1:$I$89,3,0)*VLOOKUP('Données projet'!$B$10,Paramètres!$A$1:$I$89,5,0)</f>
        <v>194.65239999999986</v>
      </c>
      <c r="AK152" s="13">
        <f t="shared" si="143"/>
        <v>48.567079789480402</v>
      </c>
      <c r="AL152" s="20">
        <f t="shared" si="112"/>
        <v>423.60726063334477</v>
      </c>
      <c r="AM152" s="59">
        <f t="shared" si="113"/>
        <v>716.94059396667808</v>
      </c>
      <c r="AN152" s="59">
        <f ca="1">AVERAGE(OFFSET($AM$3,0,0,'Données projet'!$E$10+1,1))-AVERAGE(OFFSET($H$3,0,0,'Données projet'!$E$10+1,1))</f>
        <v>177.71717275462748</v>
      </c>
      <c r="AO152" s="59">
        <f t="shared" si="144"/>
        <v>183.73714278300957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13.708007625167738</v>
      </c>
      <c r="AV152" s="21">
        <f>EXP(-LN(2)/25)*AV151+(1-EXP(-LN(2)/25))/(LN(2)/25)*Calculateur!AQ152*Calculateur!AS152*VLOOKUP('Données projet'!$B$10,Paramètres!$A$1:$I$89,3,0)*0.475*44/12</f>
        <v>0.5131844357706572</v>
      </c>
      <c r="AW152" s="21">
        <f>EXP(-LN(2)/2)*AW151+(1-EXP(-LN(2)/2))/(LN(2)/2)*AQ152*AT152*VLOOKUP('Données projet'!$B$10,Paramètres!$A$1:$I$89,3,0)*0.475*44/12</f>
        <v>4.2179893552391323E-11</v>
      </c>
      <c r="AX152" s="21">
        <f t="shared" si="114"/>
        <v>14.221192060980576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-1.383341441396624E-13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325.66150195494157</v>
      </c>
      <c r="BJ152" s="59">
        <f t="shared" si="146"/>
        <v>429.07526815514467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19.710553480018504</v>
      </c>
      <c r="BQ152" s="21">
        <f>EXP(-LN(2)/25)*BQ151+(1-EXP(-LN(2)/25))/(LN(2)/25)*Calculateur!BL152*Calculateur!BN152*VLOOKUP('Données projet'!$B$11,Paramètres!$A$1:$I$89,3,0)*0.475*44/12</f>
        <v>0.59744821023365735</v>
      </c>
      <c r="BR152" s="21">
        <f>EXP(-LN(2)/2)*BR151+(1-EXP(-LN(2)/2))/(LN(2)/2)*BL152*BO152*VLOOKUP('Données projet'!$B$11,Paramètres!$A$1:$I$89,3,0)*0.475*44/12</f>
        <v>2.8322409143847752E-14</v>
      </c>
      <c r="BS152" s="22">
        <f t="shared" si="117"/>
        <v>20.30800169025219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7">
        <f t="shared" si="110"/>
        <v>581.19001082450416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319</v>
      </c>
      <c r="O153" s="13">
        <f>N153*VLOOKUP('Données projet'!$B$9,Paramètres!$A$1:$I$89,3,0)*VLOOKUP('Données projet'!$B$9,Paramètres!$A$1:$I$89,5,0)</f>
        <v>253.79640000000001</v>
      </c>
      <c r="P153" s="13">
        <f t="shared" si="141"/>
        <v>61.39816832228076</v>
      </c>
      <c r="Q153" s="20">
        <f t="shared" si="108"/>
        <v>548.96387316130563</v>
      </c>
      <c r="R153" s="59">
        <f t="shared" si="109"/>
        <v>842.29720649463889</v>
      </c>
      <c r="S153" s="59">
        <f ca="1">AVERAGE(OFFSET($R$3,0,0,'Données projet'!$E$9+1,1))-AVERAGE(OFFSET($H$3,0,0,'Données projet'!$E$9+1,1))</f>
        <v>244.71206779102869</v>
      </c>
      <c r="T153" s="59">
        <f t="shared" si="142"/>
        <v>248.77995374147798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9.4305220398576832</v>
      </c>
      <c r="AA153" s="21">
        <f>EXP(-LN(2)/25)*AA152+(1-EXP(-LN(2)/25))/(LN(2)/25)*Calculateur!V153*Calculateur!X153*VLOOKUP('Données projet'!$B$9,Paramètres!$A$1:$I$89,3,0)*0.475*44/12</f>
        <v>0.49535336682989839</v>
      </c>
      <c r="AB153" s="21">
        <f>EXP(-LN(2)/2)*AB152+(1-EXP(-LN(2)/2))/(LN(2)/2)*V153*Y153*VLOOKUP('Données projet'!$B$9,Paramètres!$A$1:$I$89,3,0)*0.475*44/12</f>
        <v>1.7849230425270164E-11</v>
      </c>
      <c r="AC153" s="22">
        <f t="shared" si="111"/>
        <v>9.9258754067054298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290.17948717948696</v>
      </c>
      <c r="AJ153" s="13">
        <f>AI153*VLOOKUP('Données projet'!$B$10,Paramètres!$A$1:$I$89,3,0)*VLOOKUP('Données projet'!$B$10,Paramètres!$A$1:$I$89,5,0)</f>
        <v>194.65239999999986</v>
      </c>
      <c r="AK153" s="13">
        <f t="shared" si="143"/>
        <v>48.567079789480402</v>
      </c>
      <c r="AL153" s="20">
        <f t="shared" si="112"/>
        <v>423.60726063334477</v>
      </c>
      <c r="AM153" s="59">
        <f t="shared" si="113"/>
        <v>716.94059396667808</v>
      </c>
      <c r="AN153" s="59">
        <f ca="1">AVERAGE(OFFSET($AM$3,0,0,'Données projet'!$E$10+1,1))-AVERAGE(OFFSET($H$3,0,0,'Données projet'!$E$10+1,1))</f>
        <v>177.71717275462748</v>
      </c>
      <c r="AO153" s="59">
        <f t="shared" si="144"/>
        <v>183.73714278300957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13.439201956697264</v>
      </c>
      <c r="AV153" s="21">
        <f>EXP(-LN(2)/25)*AV152+(1-EXP(-LN(2)/25))/(LN(2)/25)*Calculateur!AQ153*Calculateur!AS153*VLOOKUP('Données projet'!$B$10,Paramètres!$A$1:$I$89,3,0)*0.475*44/12</f>
        <v>0.49915138038731199</v>
      </c>
      <c r="AW153" s="21">
        <f>EXP(-LN(2)/2)*AW152+(1-EXP(-LN(2)/2))/(LN(2)/2)*AQ153*AT153*VLOOKUP('Données projet'!$B$10,Paramètres!$A$1:$I$89,3,0)*0.475*44/12</f>
        <v>2.9825688760622637E-11</v>
      </c>
      <c r="AX153" s="21">
        <f t="shared" si="114"/>
        <v>13.938353337114401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-1.383341441396624E-13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325.66150195494157</v>
      </c>
      <c r="BJ153" s="59">
        <f t="shared" si="146"/>
        <v>429.07526815514467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19.324041548525866</v>
      </c>
      <c r="BQ153" s="21">
        <f>EXP(-LN(2)/25)*BQ152+(1-EXP(-LN(2)/25))/(LN(2)/25)*Calculateur!BL153*Calculateur!BN153*VLOOKUP('Données projet'!$B$11,Paramètres!$A$1:$I$89,3,0)*0.475*44/12</f>
        <v>0.58111095750638209</v>
      </c>
      <c r="BR153" s="21">
        <f>EXP(-LN(2)/2)*BR152+(1-EXP(-LN(2)/2))/(LN(2)/2)*BL153*BO153*VLOOKUP('Données projet'!$B$11,Paramètres!$A$1:$I$89,3,0)*0.475*44/12</f>
        <v>2.0026967565154626E-14</v>
      </c>
      <c r="BS153" s="22">
        <f t="shared" si="117"/>
        <v>19.90515250603227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7">
        <f t="shared" si="110"/>
        <v>583.06264753826849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319</v>
      </c>
      <c r="O154" s="13">
        <f>N154*VLOOKUP('Données projet'!$B$9,Paramètres!$A$1:$I$89,3,0)*VLOOKUP('Données projet'!$B$9,Paramètres!$A$1:$I$89,5,0)</f>
        <v>253.79640000000001</v>
      </c>
      <c r="P154" s="13">
        <f t="shared" si="141"/>
        <v>61.39816832228076</v>
      </c>
      <c r="Q154" s="20">
        <f t="shared" ref="Q154:Q203" si="162">(O154+P154)*0.475*44/12</f>
        <v>548.96387316130563</v>
      </c>
      <c r="R154" s="59">
        <f t="shared" si="109"/>
        <v>842.29720649463889</v>
      </c>
      <c r="S154" s="59">
        <f ca="1">AVERAGE(OFFSET($R$3,0,0,'Données projet'!$E$9+1,1))-AVERAGE(OFFSET($H$3,0,0,'Données projet'!$E$9+1,1))</f>
        <v>244.71206779102869</v>
      </c>
      <c r="T154" s="59">
        <f t="shared" si="142"/>
        <v>248.77995374147798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9.2455952547065507</v>
      </c>
      <c r="AA154" s="21">
        <f>EXP(-LN(2)/25)*AA153+(1-EXP(-LN(2)/25))/(LN(2)/25)*Calculateur!V154*Calculateur!X154*VLOOKUP('Données projet'!$B$9,Paramètres!$A$1:$I$89,3,0)*0.475*44/12</f>
        <v>0.48180790296443338</v>
      </c>
      <c r="AB154" s="21">
        <f>EXP(-LN(2)/2)*AB153+(1-EXP(-LN(2)/2))/(LN(2)/2)*V154*Y154*VLOOKUP('Données projet'!$B$9,Paramètres!$A$1:$I$89,3,0)*0.475*44/12</f>
        <v>1.2621311872669777E-11</v>
      </c>
      <c r="AC154" s="22">
        <f t="shared" ref="AC154:AC203" si="163">SUM(Z154:AB154)</f>
        <v>9.7274031576836055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290.17948717948696</v>
      </c>
      <c r="AJ154" s="13">
        <f>AI154*VLOOKUP('Données projet'!$B$10,Paramètres!$A$1:$I$89,3,0)*VLOOKUP('Données projet'!$B$10,Paramètres!$A$1:$I$89,5,0)</f>
        <v>194.65239999999986</v>
      </c>
      <c r="AK154" s="13">
        <f t="shared" ref="AK154:AK203" si="164">EXP(-1.0587+0.8836*LN(AJ154)+0.284)</f>
        <v>48.567079789480402</v>
      </c>
      <c r="AL154" s="20">
        <f t="shared" ref="AL154:AL203" si="165">(AJ154+AK154)*0.475*44/12</f>
        <v>423.60726063334477</v>
      </c>
      <c r="AM154" s="59">
        <f t="shared" si="113"/>
        <v>716.94059396667808</v>
      </c>
      <c r="AN154" s="59">
        <f ca="1">AVERAGE(OFFSET($AM$3,0,0,'Données projet'!$E$10+1,1))-AVERAGE(OFFSET($H$3,0,0,'Données projet'!$E$10+1,1))</f>
        <v>177.71717275462748</v>
      </c>
      <c r="AO154" s="59">
        <f t="shared" si="144"/>
        <v>183.73714278300957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13.175667403430229</v>
      </c>
      <c r="AV154" s="21">
        <f>EXP(-LN(2)/25)*AV153+(1-EXP(-LN(2)/25))/(LN(2)/25)*Calculateur!AQ154*Calculateur!AS154*VLOOKUP('Données projet'!$B$10,Paramètres!$A$1:$I$89,3,0)*0.475*44/12</f>
        <v>0.4855020596413907</v>
      </c>
      <c r="AW154" s="21">
        <f>EXP(-LN(2)/2)*AW153+(1-EXP(-LN(2)/2))/(LN(2)/2)*AQ154*AT154*VLOOKUP('Données projet'!$B$10,Paramètres!$A$1:$I$89,3,0)*0.475*44/12</f>
        <v>2.1089946776195661E-11</v>
      </c>
      <c r="AX154" s="21">
        <f t="shared" ref="AX154:AX203" si="166">SUM(AU154:AW154)</f>
        <v>13.66116946309271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-1.383341441396624E-13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325.66150195494157</v>
      </c>
      <c r="BJ154" s="59">
        <f t="shared" si="146"/>
        <v>429.07526815514467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18.945108880260797</v>
      </c>
      <c r="BQ154" s="21">
        <f>EXP(-LN(2)/25)*BQ153+(1-EXP(-LN(2)/25))/(LN(2)/25)*Calculateur!BL154*Calculateur!BN154*VLOOKUP('Données projet'!$B$11,Paramètres!$A$1:$I$89,3,0)*0.475*44/12</f>
        <v>0.56522044781407299</v>
      </c>
      <c r="BR154" s="21">
        <f>EXP(-LN(2)/2)*BR153+(1-EXP(-LN(2)/2))/(LN(2)/2)*BL154*BO154*VLOOKUP('Données projet'!$B$11,Paramètres!$A$1:$I$89,3,0)*0.475*44/12</f>
        <v>1.4161204571923878E-14</v>
      </c>
      <c r="BS154" s="22">
        <f t="shared" ref="BS154:BS203" si="169">SUM(BP154:BR154)</f>
        <v>19.510329328074885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7">
        <f t="shared" si="110"/>
        <v>584.93501369207979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319</v>
      </c>
      <c r="O155" s="13">
        <f>N155*VLOOKUP('Données projet'!$B$9,Paramètres!$A$1:$I$89,3,0)*VLOOKUP('Données projet'!$B$9,Paramètres!$A$1:$I$89,5,0)</f>
        <v>253.79640000000001</v>
      </c>
      <c r="P155" s="13">
        <f t="shared" si="141"/>
        <v>61.39816832228076</v>
      </c>
      <c r="Q155" s="20">
        <f t="shared" si="162"/>
        <v>548.96387316130563</v>
      </c>
      <c r="R155" s="59">
        <f t="shared" si="109"/>
        <v>842.29720649463889</v>
      </c>
      <c r="S155" s="59">
        <f ca="1">AVERAGE(OFFSET($R$3,0,0,'Données projet'!$E$9+1,1))-AVERAGE(OFFSET($H$3,0,0,'Données projet'!$E$9+1,1))</f>
        <v>244.71206779102869</v>
      </c>
      <c r="T155" s="59">
        <f t="shared" si="142"/>
        <v>248.77995374147798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9.0642947710180302</v>
      </c>
      <c r="AA155" s="21">
        <f>EXP(-LN(2)/25)*AA154+(1-EXP(-LN(2)/25))/(LN(2)/25)*Calculateur!V155*Calculateur!X155*VLOOKUP('Données projet'!$B$9,Paramètres!$A$1:$I$89,3,0)*0.475*44/12</f>
        <v>0.46863284052069454</v>
      </c>
      <c r="AB155" s="21">
        <f>EXP(-LN(2)/2)*AB154+(1-EXP(-LN(2)/2))/(LN(2)/2)*V155*Y155*VLOOKUP('Données projet'!$B$9,Paramètres!$A$1:$I$89,3,0)*0.475*44/12</f>
        <v>8.9246152126350821E-12</v>
      </c>
      <c r="AC155" s="22">
        <f t="shared" si="163"/>
        <v>9.5329276115476489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290.17948717948696</v>
      </c>
      <c r="AJ155" s="13">
        <f>AI155*VLOOKUP('Données projet'!$B$10,Paramètres!$A$1:$I$89,3,0)*VLOOKUP('Données projet'!$B$10,Paramètres!$A$1:$I$89,5,0)</f>
        <v>194.65239999999986</v>
      </c>
      <c r="AK155" s="13">
        <f t="shared" si="164"/>
        <v>48.567079789480402</v>
      </c>
      <c r="AL155" s="20">
        <f t="shared" si="165"/>
        <v>423.60726063334477</v>
      </c>
      <c r="AM155" s="59">
        <f t="shared" si="113"/>
        <v>716.94059396667808</v>
      </c>
      <c r="AN155" s="59">
        <f ca="1">AVERAGE(OFFSET($AM$3,0,0,'Données projet'!$E$10+1,1))-AVERAGE(OFFSET($H$3,0,0,'Données projet'!$E$10+1,1))</f>
        <v>177.71717275462748</v>
      </c>
      <c r="AO155" s="59">
        <f t="shared" si="144"/>
        <v>183.73714278300957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12.917300602012553</v>
      </c>
      <c r="AV155" s="21">
        <f>EXP(-LN(2)/25)*AV154+(1-EXP(-LN(2)/25))/(LN(2)/25)*Calculateur!AQ155*Calculateur!AS155*VLOOKUP('Données projet'!$B$10,Paramètres!$A$1:$I$89,3,0)*0.475*44/12</f>
        <v>0.47222598028905322</v>
      </c>
      <c r="AW155" s="21">
        <f>EXP(-LN(2)/2)*AW154+(1-EXP(-LN(2)/2))/(LN(2)/2)*AQ155*AT155*VLOOKUP('Données projet'!$B$10,Paramètres!$A$1:$I$89,3,0)*0.475*44/12</f>
        <v>1.4912844380311318E-11</v>
      </c>
      <c r="AX155" s="21">
        <f t="shared" si="166"/>
        <v>13.389526582316519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-1.383341441396624E-13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325.66150195494157</v>
      </c>
      <c r="BJ155" s="59">
        <f t="shared" si="146"/>
        <v>429.07526815514467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18.573606850494301</v>
      </c>
      <c r="BQ155" s="21">
        <f>EXP(-LN(2)/25)*BQ154+(1-EXP(-LN(2)/25))/(LN(2)/25)*Calculateur!BL155*Calculateur!BN155*VLOOKUP('Données projet'!$B$11,Paramètres!$A$1:$I$89,3,0)*0.475*44/12</f>
        <v>0.54976446494494569</v>
      </c>
      <c r="BR155" s="21">
        <f>EXP(-LN(2)/2)*BR154+(1-EXP(-LN(2)/2))/(LN(2)/2)*BL155*BO155*VLOOKUP('Données projet'!$B$11,Paramètres!$A$1:$I$89,3,0)*0.475*44/12</f>
        <v>1.0013483782577315E-14</v>
      </c>
      <c r="BS155" s="22">
        <f t="shared" si="169"/>
        <v>19.123371315439258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7">
        <f t="shared" si="110"/>
        <v>586.80711127239806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319</v>
      </c>
      <c r="O156" s="13">
        <f>N156*VLOOKUP('Données projet'!$B$9,Paramètres!$A$1:$I$89,3,0)*VLOOKUP('Données projet'!$B$9,Paramètres!$A$1:$I$89,5,0)</f>
        <v>253.79640000000001</v>
      </c>
      <c r="P156" s="13">
        <f t="shared" si="141"/>
        <v>61.39816832228076</v>
      </c>
      <c r="Q156" s="20">
        <f t="shared" si="162"/>
        <v>548.96387316130563</v>
      </c>
      <c r="R156" s="59">
        <f t="shared" si="109"/>
        <v>842.29720649463889</v>
      </c>
      <c r="S156" s="59">
        <f ca="1">AVERAGE(OFFSET($R$3,0,0,'Données projet'!$E$9+1,1))-AVERAGE(OFFSET($H$3,0,0,'Données projet'!$E$9+1,1))</f>
        <v>244.71206779102869</v>
      </c>
      <c r="T156" s="59">
        <f t="shared" si="142"/>
        <v>248.77995374147798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8.886549479232265</v>
      </c>
      <c r="AA156" s="21">
        <f>EXP(-LN(2)/25)*AA155+(1-EXP(-LN(2)/25))/(LN(2)/25)*Calculateur!V156*Calculateur!X156*VLOOKUP('Données projet'!$B$9,Paramètres!$A$1:$I$89,3,0)*0.475*44/12</f>
        <v>0.45581805085232613</v>
      </c>
      <c r="AB156" s="21">
        <f>EXP(-LN(2)/2)*AB155+(1-EXP(-LN(2)/2))/(LN(2)/2)*V156*Y156*VLOOKUP('Données projet'!$B$9,Paramètres!$A$1:$I$89,3,0)*0.475*44/12</f>
        <v>6.3106559363348884E-12</v>
      </c>
      <c r="AC156" s="22">
        <f t="shared" si="163"/>
        <v>9.3423675300909022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290.17948717948696</v>
      </c>
      <c r="AJ156" s="13">
        <f>AI156*VLOOKUP('Données projet'!$B$10,Paramètres!$A$1:$I$89,3,0)*VLOOKUP('Données projet'!$B$10,Paramètres!$A$1:$I$89,5,0)</f>
        <v>194.65239999999986</v>
      </c>
      <c r="AK156" s="13">
        <f t="shared" si="164"/>
        <v>48.567079789480402</v>
      </c>
      <c r="AL156" s="20">
        <f t="shared" si="165"/>
        <v>423.60726063334477</v>
      </c>
      <c r="AM156" s="59">
        <f t="shared" si="113"/>
        <v>716.94059396667808</v>
      </c>
      <c r="AN156" s="59">
        <f ca="1">AVERAGE(OFFSET($AM$3,0,0,'Données projet'!$E$10+1,1))-AVERAGE(OFFSET($H$3,0,0,'Données projet'!$E$10+1,1))</f>
        <v>177.71717275462748</v>
      </c>
      <c r="AO156" s="59">
        <f t="shared" si="144"/>
        <v>183.73714278300957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12.664000215982488</v>
      </c>
      <c r="AV156" s="21">
        <f>EXP(-LN(2)/25)*AV155+(1-EXP(-LN(2)/25))/(LN(2)/25)*Calculateur!AQ156*Calculateur!AS156*VLOOKUP('Données projet'!$B$10,Paramètres!$A$1:$I$89,3,0)*0.475*44/12</f>
        <v>0.45931293602476403</v>
      </c>
      <c r="AW156" s="21">
        <f>EXP(-LN(2)/2)*AW155+(1-EXP(-LN(2)/2))/(LN(2)/2)*AQ156*AT156*VLOOKUP('Données projet'!$B$10,Paramètres!$A$1:$I$89,3,0)*0.475*44/12</f>
        <v>1.0544973388097831E-11</v>
      </c>
      <c r="AX156" s="21">
        <f t="shared" si="166"/>
        <v>13.123313152017797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-1.383341441396624E-13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325.66150195494157</v>
      </c>
      <c r="BJ156" s="59">
        <f t="shared" si="146"/>
        <v>429.07526815514467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18.20938974893766</v>
      </c>
      <c r="BQ156" s="21">
        <f>EXP(-LN(2)/25)*BQ155+(1-EXP(-LN(2)/25))/(LN(2)/25)*Calculateur!BL156*Calculateur!BN156*VLOOKUP('Données projet'!$B$11,Paramètres!$A$1:$I$89,3,0)*0.475*44/12</f>
        <v>0.53473112674016943</v>
      </c>
      <c r="BR156" s="21">
        <f>EXP(-LN(2)/2)*BR155+(1-EXP(-LN(2)/2))/(LN(2)/2)*BL156*BO156*VLOOKUP('Données projet'!$B$11,Paramètres!$A$1:$I$89,3,0)*0.475*44/12</f>
        <v>7.0806022859619397E-15</v>
      </c>
      <c r="BS156" s="22">
        <f t="shared" si="169"/>
        <v>18.744120875677837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7">
        <f t="shared" si="110"/>
        <v>588.67894223821463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319</v>
      </c>
      <c r="O157" s="13">
        <f>N157*VLOOKUP('Données projet'!$B$9,Paramètres!$A$1:$I$89,3,0)*VLOOKUP('Données projet'!$B$9,Paramètres!$A$1:$I$89,5,0)</f>
        <v>253.79640000000001</v>
      </c>
      <c r="P157" s="13">
        <f t="shared" si="141"/>
        <v>61.39816832228076</v>
      </c>
      <c r="Q157" s="20">
        <f t="shared" si="162"/>
        <v>548.96387316130563</v>
      </c>
      <c r="R157" s="59">
        <f t="shared" si="109"/>
        <v>842.29720649463889</v>
      </c>
      <c r="S157" s="59">
        <f ca="1">AVERAGE(OFFSET($R$3,0,0,'Données projet'!$E$9+1,1))-AVERAGE(OFFSET($H$3,0,0,'Données projet'!$E$9+1,1))</f>
        <v>244.71206779102869</v>
      </c>
      <c r="T157" s="59">
        <f t="shared" si="142"/>
        <v>248.77995374147798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8.712289664204496</v>
      </c>
      <c r="AA157" s="21">
        <f>EXP(-LN(2)/25)*AA156+(1-EXP(-LN(2)/25))/(LN(2)/25)*Calculateur!V157*Calculateur!X157*VLOOKUP('Données projet'!$B$9,Paramètres!$A$1:$I$89,3,0)*0.475*44/12</f>
        <v>0.44335368228133976</v>
      </c>
      <c r="AB157" s="21">
        <f>EXP(-LN(2)/2)*AB156+(1-EXP(-LN(2)/2))/(LN(2)/2)*V157*Y157*VLOOKUP('Données projet'!$B$9,Paramètres!$A$1:$I$89,3,0)*0.475*44/12</f>
        <v>4.4623076063175411E-12</v>
      </c>
      <c r="AC157" s="22">
        <f t="shared" si="163"/>
        <v>9.1556433464902973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290.17948717948696</v>
      </c>
      <c r="AJ157" s="13">
        <f>AI157*VLOOKUP('Données projet'!$B$10,Paramètres!$A$1:$I$89,3,0)*VLOOKUP('Données projet'!$B$10,Paramètres!$A$1:$I$89,5,0)</f>
        <v>194.65239999999986</v>
      </c>
      <c r="AK157" s="13">
        <f t="shared" si="164"/>
        <v>48.567079789480402</v>
      </c>
      <c r="AL157" s="20">
        <f t="shared" si="165"/>
        <v>423.60726063334477</v>
      </c>
      <c r="AM157" s="59">
        <f t="shared" si="113"/>
        <v>716.94059396667808</v>
      </c>
      <c r="AN157" s="59">
        <f ca="1">AVERAGE(OFFSET($AM$3,0,0,'Données projet'!$E$10+1,1))-AVERAGE(OFFSET($H$3,0,0,'Données projet'!$E$10+1,1))</f>
        <v>177.71717275462748</v>
      </c>
      <c r="AO157" s="59">
        <f t="shared" si="144"/>
        <v>183.73714278300957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12.415666896024495</v>
      </c>
      <c r="AV157" s="21">
        <f>EXP(-LN(2)/25)*AV156+(1-EXP(-LN(2)/25))/(LN(2)/25)*Calculateur!AQ157*Calculateur!AS157*VLOOKUP('Données projet'!$B$10,Paramètres!$A$1:$I$89,3,0)*0.475*44/12</f>
        <v>0.4467529996349493</v>
      </c>
      <c r="AW157" s="21">
        <f>EXP(-LN(2)/2)*AW156+(1-EXP(-LN(2)/2))/(LN(2)/2)*AQ157*AT157*VLOOKUP('Données projet'!$B$10,Paramètres!$A$1:$I$89,3,0)*0.475*44/12</f>
        <v>7.4564221901556592E-12</v>
      </c>
      <c r="AX157" s="21">
        <f t="shared" si="166"/>
        <v>12.862419895666902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-1.383341441396624E-13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325.66150195494157</v>
      </c>
      <c r="BJ157" s="59">
        <f t="shared" si="146"/>
        <v>429.07526815514467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17.852314722592052</v>
      </c>
      <c r="BQ157" s="21">
        <f>EXP(-LN(2)/25)*BQ156+(1-EXP(-LN(2)/25))/(LN(2)/25)*Calculateur!BL157*Calculateur!BN157*VLOOKUP('Données projet'!$B$11,Paramètres!$A$1:$I$89,3,0)*0.475*44/12</f>
        <v>0.52010887595917166</v>
      </c>
      <c r="BR157" s="21">
        <f>EXP(-LN(2)/2)*BR156+(1-EXP(-LN(2)/2))/(LN(2)/2)*BL157*BO157*VLOOKUP('Données projet'!$B$11,Paramètres!$A$1:$I$89,3,0)*0.475*44/12</f>
        <v>5.0067418912886582E-15</v>
      </c>
      <c r="BS157" s="22">
        <f t="shared" si="169"/>
        <v>18.372423598551226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7">
        <f t="shared" si="110"/>
        <v>590.55050852160866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319</v>
      </c>
      <c r="O158" s="13">
        <f>N158*VLOOKUP('Données projet'!$B$9,Paramètres!$A$1:$I$89,3,0)*VLOOKUP('Données projet'!$B$9,Paramètres!$A$1:$I$89,5,0)</f>
        <v>253.79640000000001</v>
      </c>
      <c r="P158" s="13">
        <f t="shared" si="141"/>
        <v>61.39816832228076</v>
      </c>
      <c r="Q158" s="20">
        <f t="shared" si="162"/>
        <v>548.96387316130563</v>
      </c>
      <c r="R158" s="59">
        <f t="shared" si="109"/>
        <v>842.29720649463889</v>
      </c>
      <c r="S158" s="59">
        <f ca="1">AVERAGE(OFFSET($R$3,0,0,'Données projet'!$E$9+1,1))-AVERAGE(OFFSET($H$3,0,0,'Données projet'!$E$9+1,1))</f>
        <v>244.71206779102869</v>
      </c>
      <c r="T158" s="59">
        <f t="shared" si="142"/>
        <v>248.77995374147798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8.5414469778614297</v>
      </c>
      <c r="AA158" s="21">
        <f>EXP(-LN(2)/25)*AA157+(1-EXP(-LN(2)/25))/(LN(2)/25)*Calculateur!V158*Calculateur!X158*VLOOKUP('Données projet'!$B$9,Paramètres!$A$1:$I$89,3,0)*0.475*44/12</f>
        <v>0.43123015252439967</v>
      </c>
      <c r="AB158" s="21">
        <f>EXP(-LN(2)/2)*AB157+(1-EXP(-LN(2)/2))/(LN(2)/2)*V158*Y158*VLOOKUP('Données projet'!$B$9,Paramètres!$A$1:$I$89,3,0)*0.475*44/12</f>
        <v>3.1553279681674442E-12</v>
      </c>
      <c r="AC158" s="22">
        <f t="shared" si="163"/>
        <v>8.9726771303889841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290.17948717948696</v>
      </c>
      <c r="AJ158" s="13">
        <f>AI158*VLOOKUP('Données projet'!$B$10,Paramètres!$A$1:$I$89,3,0)*VLOOKUP('Données projet'!$B$10,Paramètres!$A$1:$I$89,5,0)</f>
        <v>194.65239999999986</v>
      </c>
      <c r="AK158" s="13">
        <f t="shared" si="164"/>
        <v>48.567079789480402</v>
      </c>
      <c r="AL158" s="20">
        <f t="shared" si="165"/>
        <v>423.60726063334477</v>
      </c>
      <c r="AM158" s="59">
        <f t="shared" si="113"/>
        <v>716.94059396667808</v>
      </c>
      <c r="AN158" s="59">
        <f ca="1">AVERAGE(OFFSET($AM$3,0,0,'Données projet'!$E$10+1,1))-AVERAGE(OFFSET($H$3,0,0,'Données projet'!$E$10+1,1))</f>
        <v>177.71717275462748</v>
      </c>
      <c r="AO158" s="59">
        <f t="shared" si="144"/>
        <v>183.73714278300957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12.172203241002508</v>
      </c>
      <c r="AV158" s="21">
        <f>EXP(-LN(2)/25)*AV157+(1-EXP(-LN(2)/25))/(LN(2)/25)*Calculateur!AQ158*Calculateur!AS158*VLOOKUP('Données projet'!$B$10,Paramètres!$A$1:$I$89,3,0)*0.475*44/12</f>
        <v>0.43453651536621241</v>
      </c>
      <c r="AW158" s="21">
        <f>EXP(-LN(2)/2)*AW157+(1-EXP(-LN(2)/2))/(LN(2)/2)*AQ158*AT158*VLOOKUP('Données projet'!$B$10,Paramètres!$A$1:$I$89,3,0)*0.475*44/12</f>
        <v>5.2724866940489153E-12</v>
      </c>
      <c r="AX158" s="21">
        <f t="shared" si="166"/>
        <v>12.606739756373994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-1.383341441396624E-13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325.66150195494157</v>
      </c>
      <c r="BJ158" s="59">
        <f t="shared" si="146"/>
        <v>429.07526815514467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17.502241719718818</v>
      </c>
      <c r="BQ158" s="21">
        <f>EXP(-LN(2)/25)*BQ157+(1-EXP(-LN(2)/25))/(LN(2)/25)*Calculateur!BL158*Calculateur!BN158*VLOOKUP('Données projet'!$B$11,Paramètres!$A$1:$I$89,3,0)*0.475*44/12</f>
        <v>0.50588647139473109</v>
      </c>
      <c r="BR158" s="21">
        <f>EXP(-LN(2)/2)*BR157+(1-EXP(-LN(2)/2))/(LN(2)/2)*BL158*BO158*VLOOKUP('Données projet'!$B$11,Paramètres!$A$1:$I$89,3,0)*0.475*44/12</f>
        <v>3.5403011429809706E-15</v>
      </c>
      <c r="BS158" s="22">
        <f t="shared" si="169"/>
        <v>18.008128191113553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7">
        <f t="shared" si="110"/>
        <v>592.42181202828726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319</v>
      </c>
      <c r="O159" s="13">
        <f>N159*VLOOKUP('Données projet'!$B$9,Paramètres!$A$1:$I$89,3,0)*VLOOKUP('Données projet'!$B$9,Paramètres!$A$1:$I$89,5,0)</f>
        <v>253.79640000000001</v>
      </c>
      <c r="P159" s="13">
        <f t="shared" si="141"/>
        <v>61.39816832228076</v>
      </c>
      <c r="Q159" s="20">
        <f t="shared" si="162"/>
        <v>548.96387316130563</v>
      </c>
      <c r="R159" s="59">
        <f t="shared" si="109"/>
        <v>842.29720649463889</v>
      </c>
      <c r="S159" s="59">
        <f ca="1">AVERAGE(OFFSET($R$3,0,0,'Données projet'!$E$9+1,1))-AVERAGE(OFFSET($H$3,0,0,'Données projet'!$E$9+1,1))</f>
        <v>244.71206779102869</v>
      </c>
      <c r="T159" s="59">
        <f t="shared" si="142"/>
        <v>248.77995374147798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8.3739544123938021</v>
      </c>
      <c r="AA159" s="21">
        <f>EXP(-LN(2)/25)*AA158+(1-EXP(-LN(2)/25))/(LN(2)/25)*Calculateur!V159*Calculateur!X159*VLOOKUP('Données projet'!$B$9,Paramètres!$A$1:$I$89,3,0)*0.475*44/12</f>
        <v>0.41943814132621182</v>
      </c>
      <c r="AB159" s="21">
        <f>EXP(-LN(2)/2)*AB158+(1-EXP(-LN(2)/2))/(LN(2)/2)*V159*Y159*VLOOKUP('Données projet'!$B$9,Paramètres!$A$1:$I$89,3,0)*0.475*44/12</f>
        <v>2.2311538031587705E-12</v>
      </c>
      <c r="AC159" s="22">
        <f t="shared" si="163"/>
        <v>8.7933925537222457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290.17948717948696</v>
      </c>
      <c r="AJ159" s="13">
        <f>AI159*VLOOKUP('Données projet'!$B$10,Paramètres!$A$1:$I$89,3,0)*VLOOKUP('Données projet'!$B$10,Paramètres!$A$1:$I$89,5,0)</f>
        <v>194.65239999999986</v>
      </c>
      <c r="AK159" s="13">
        <f t="shared" si="164"/>
        <v>48.567079789480402</v>
      </c>
      <c r="AL159" s="20">
        <f t="shared" si="165"/>
        <v>423.60726063334477</v>
      </c>
      <c r="AM159" s="59">
        <f t="shared" si="113"/>
        <v>716.94059396667808</v>
      </c>
      <c r="AN159" s="59">
        <f ca="1">AVERAGE(OFFSET($AM$3,0,0,'Données projet'!$E$10+1,1))-AVERAGE(OFFSET($H$3,0,0,'Données projet'!$E$10+1,1))</f>
        <v>177.71717275462748</v>
      </c>
      <c r="AO159" s="59">
        <f t="shared" si="144"/>
        <v>183.73714278300957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11.933513759757336</v>
      </c>
      <c r="AV159" s="21">
        <f>EXP(-LN(2)/25)*AV158+(1-EXP(-LN(2)/25))/(LN(2)/25)*Calculateur!AQ159*Calculateur!AS159*VLOOKUP('Données projet'!$B$10,Paramètres!$A$1:$I$89,3,0)*0.475*44/12</f>
        <v>0.42265409150224115</v>
      </c>
      <c r="AW159" s="21">
        <f>EXP(-LN(2)/2)*AW158+(1-EXP(-LN(2)/2))/(LN(2)/2)*AQ159*AT159*VLOOKUP('Données projet'!$B$10,Paramètres!$A$1:$I$89,3,0)*0.475*44/12</f>
        <v>3.7282110950778296E-12</v>
      </c>
      <c r="AX159" s="21">
        <f t="shared" si="166"/>
        <v>12.356167851263306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-1.383341441396624E-13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325.66150195494157</v>
      </c>
      <c r="BJ159" s="59">
        <f t="shared" si="146"/>
        <v>429.07526815514467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17.15903343490848</v>
      </c>
      <c r="BQ159" s="21">
        <f>EXP(-LN(2)/25)*BQ158+(1-EXP(-LN(2)/25))/(LN(2)/25)*Calculateur!BL159*Calculateur!BN159*VLOOKUP('Données projet'!$B$11,Paramètres!$A$1:$I$89,3,0)*0.475*44/12</f>
        <v>0.49205297923102886</v>
      </c>
      <c r="BR159" s="21">
        <f>EXP(-LN(2)/2)*BR158+(1-EXP(-LN(2)/2))/(LN(2)/2)*BL159*BO159*VLOOKUP('Données projet'!$B$11,Paramètres!$A$1:$I$89,3,0)*0.475*44/12</f>
        <v>2.5033709456443295E-15</v>
      </c>
      <c r="BS159" s="22">
        <f t="shared" si="169"/>
        <v>17.651086414139513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7">
        <f t="shared" si="110"/>
        <v>594.29285463811289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319</v>
      </c>
      <c r="O160" s="13">
        <f>N160*VLOOKUP('Données projet'!$B$9,Paramètres!$A$1:$I$89,3,0)*VLOOKUP('Données projet'!$B$9,Paramètres!$A$1:$I$89,5,0)</f>
        <v>253.79640000000001</v>
      </c>
      <c r="P160" s="13">
        <f t="shared" si="141"/>
        <v>61.39816832228076</v>
      </c>
      <c r="Q160" s="20">
        <f t="shared" si="162"/>
        <v>548.96387316130563</v>
      </c>
      <c r="R160" s="59">
        <f t="shared" si="109"/>
        <v>842.29720649463889</v>
      </c>
      <c r="S160" s="59">
        <f ca="1">AVERAGE(OFFSET($R$3,0,0,'Données projet'!$E$9+1,1))-AVERAGE(OFFSET($H$3,0,0,'Données projet'!$E$9+1,1))</f>
        <v>244.71206779102869</v>
      </c>
      <c r="T160" s="59">
        <f t="shared" si="142"/>
        <v>248.77995374147798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8.2097462739746163</v>
      </c>
      <c r="AA160" s="21">
        <f>EXP(-LN(2)/25)*AA159+(1-EXP(-LN(2)/25))/(LN(2)/25)*Calculateur!V160*Calculateur!X160*VLOOKUP('Données projet'!$B$9,Paramètres!$A$1:$I$89,3,0)*0.475*44/12</f>
        <v>0.40796858329435337</v>
      </c>
      <c r="AB160" s="21">
        <f>EXP(-LN(2)/2)*AB159+(1-EXP(-LN(2)/2))/(LN(2)/2)*V160*Y160*VLOOKUP('Données projet'!$B$9,Paramètres!$A$1:$I$89,3,0)*0.475*44/12</f>
        <v>1.5776639840837221E-12</v>
      </c>
      <c r="AC160" s="22">
        <f t="shared" si="163"/>
        <v>8.6177148572705473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290.17948717948696</v>
      </c>
      <c r="AJ160" s="13">
        <f>AI160*VLOOKUP('Données projet'!$B$10,Paramètres!$A$1:$I$89,3,0)*VLOOKUP('Données projet'!$B$10,Paramètres!$A$1:$I$89,5,0)</f>
        <v>194.65239999999986</v>
      </c>
      <c r="AK160" s="13">
        <f t="shared" si="164"/>
        <v>48.567079789480402</v>
      </c>
      <c r="AL160" s="20">
        <f t="shared" si="165"/>
        <v>423.60726063334477</v>
      </c>
      <c r="AM160" s="59">
        <f t="shared" si="113"/>
        <v>716.94059396667808</v>
      </c>
      <c r="AN160" s="59">
        <f ca="1">AVERAGE(OFFSET($AM$3,0,0,'Données projet'!$E$10+1,1))-AVERAGE(OFFSET($H$3,0,0,'Données projet'!$E$10+1,1))</f>
        <v>177.71717275462748</v>
      </c>
      <c r="AO160" s="59">
        <f t="shared" si="144"/>
        <v>183.73714278300957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11.699504833653174</v>
      </c>
      <c r="AV160" s="21">
        <f>EXP(-LN(2)/25)*AV159+(1-EXP(-LN(2)/25))/(LN(2)/25)*Calculateur!AQ160*Calculateur!AS160*VLOOKUP('Données projet'!$B$10,Paramètres!$A$1:$I$89,3,0)*0.475*44/12</f>
        <v>0.41109659314369967</v>
      </c>
      <c r="AW160" s="21">
        <f>EXP(-LN(2)/2)*AW159+(1-EXP(-LN(2)/2))/(LN(2)/2)*AQ160*AT160*VLOOKUP('Données projet'!$B$10,Paramètres!$A$1:$I$89,3,0)*0.475*44/12</f>
        <v>2.6362433470244577E-12</v>
      </c>
      <c r="AX160" s="21">
        <f t="shared" si="166"/>
        <v>12.11060142679951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-1.383341441396624E-13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325.66150195494157</v>
      </c>
      <c r="BJ160" s="59">
        <f t="shared" si="146"/>
        <v>429.07526815514467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16.822555255226892</v>
      </c>
      <c r="BQ160" s="21">
        <f>EXP(-LN(2)/25)*BQ159+(1-EXP(-LN(2)/25))/(LN(2)/25)*Calculateur!BL160*Calculateur!BN160*VLOOKUP('Données projet'!$B$11,Paramètres!$A$1:$I$89,3,0)*0.475*44/12</f>
        <v>0.47859776463801479</v>
      </c>
      <c r="BR160" s="21">
        <f>EXP(-LN(2)/2)*BR159+(1-EXP(-LN(2)/2))/(LN(2)/2)*BL160*BO160*VLOOKUP('Données projet'!$B$11,Paramètres!$A$1:$I$89,3,0)*0.475*44/12</f>
        <v>1.7701505714904855E-15</v>
      </c>
      <c r="BS160" s="22">
        <f t="shared" si="169"/>
        <v>17.301153019864906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7">
        <f t="shared" si="110"/>
        <v>596.16363820561605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319</v>
      </c>
      <c r="O161" s="13">
        <f>N161*VLOOKUP('Données projet'!$B$9,Paramètres!$A$1:$I$89,3,0)*VLOOKUP('Données projet'!$B$9,Paramètres!$A$1:$I$89,5,0)</f>
        <v>253.79640000000001</v>
      </c>
      <c r="P161" s="13">
        <f t="shared" si="141"/>
        <v>61.39816832228076</v>
      </c>
      <c r="Q161" s="20">
        <f t="shared" si="162"/>
        <v>548.96387316130563</v>
      </c>
      <c r="R161" s="59">
        <f t="shared" si="109"/>
        <v>842.29720649463889</v>
      </c>
      <c r="S161" s="59">
        <f ca="1">AVERAGE(OFFSET($R$3,0,0,'Données projet'!$E$9+1,1))-AVERAGE(OFFSET($H$3,0,0,'Données projet'!$E$9+1,1))</f>
        <v>244.71206779102869</v>
      </c>
      <c r="T161" s="59">
        <f t="shared" si="142"/>
        <v>248.77995374147798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8.048758156992756</v>
      </c>
      <c r="AA161" s="21">
        <f>EXP(-LN(2)/25)*AA160+(1-EXP(-LN(2)/25))/(LN(2)/25)*Calculateur!V161*Calculateur!X161*VLOOKUP('Données projet'!$B$9,Paramètres!$A$1:$I$89,3,0)*0.475*44/12</f>
        <v>0.39681266093003392</v>
      </c>
      <c r="AB161" s="21">
        <f>EXP(-LN(2)/2)*AB160+(1-EXP(-LN(2)/2))/(LN(2)/2)*V161*Y161*VLOOKUP('Données projet'!$B$9,Paramètres!$A$1:$I$89,3,0)*0.475*44/12</f>
        <v>1.1155769015793853E-12</v>
      </c>
      <c r="AC161" s="22">
        <f t="shared" si="163"/>
        <v>8.4455708179239046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290.17948717948696</v>
      </c>
      <c r="AJ161" s="13">
        <f>AI161*VLOOKUP('Données projet'!$B$10,Paramètres!$A$1:$I$89,3,0)*VLOOKUP('Données projet'!$B$10,Paramètres!$A$1:$I$89,5,0)</f>
        <v>194.65239999999986</v>
      </c>
      <c r="AK161" s="13">
        <f t="shared" si="164"/>
        <v>48.567079789480402</v>
      </c>
      <c r="AL161" s="20">
        <f t="shared" si="165"/>
        <v>423.60726063334477</v>
      </c>
      <c r="AM161" s="59">
        <f t="shared" si="113"/>
        <v>716.94059396667808</v>
      </c>
      <c r="AN161" s="59">
        <f ca="1">AVERAGE(OFFSET($AM$3,0,0,'Données projet'!$E$10+1,1))-AVERAGE(OFFSET($H$3,0,0,'Données projet'!$E$10+1,1))</f>
        <v>177.71717275462748</v>
      </c>
      <c r="AO161" s="59">
        <f t="shared" si="144"/>
        <v>183.73714278300957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11.470084679858562</v>
      </c>
      <c r="AV161" s="21">
        <f>EXP(-LN(2)/25)*AV160+(1-EXP(-LN(2)/25))/(LN(2)/25)*Calculateur!AQ161*Calculateur!AS161*VLOOKUP('Données projet'!$B$10,Paramètres!$A$1:$I$89,3,0)*0.475*44/12</f>
        <v>0.39985513518555493</v>
      </c>
      <c r="AW161" s="21">
        <f>EXP(-LN(2)/2)*AW160+(1-EXP(-LN(2)/2))/(LN(2)/2)*AQ161*AT161*VLOOKUP('Données projet'!$B$10,Paramètres!$A$1:$I$89,3,0)*0.475*44/12</f>
        <v>1.8641055475389148E-12</v>
      </c>
      <c r="AX161" s="21">
        <f t="shared" si="166"/>
        <v>11.869939815045981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-1.383341441396624E-13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325.66150195494157</v>
      </c>
      <c r="BJ161" s="59">
        <f t="shared" si="146"/>
        <v>429.07526815514467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16.492675207417435</v>
      </c>
      <c r="BQ161" s="21">
        <f>EXP(-LN(2)/25)*BQ160+(1-EXP(-LN(2)/25))/(LN(2)/25)*Calculateur!BL161*Calculateur!BN161*VLOOKUP('Données projet'!$B$11,Paramètres!$A$1:$I$89,3,0)*0.475*44/12</f>
        <v>0.46551048359562569</v>
      </c>
      <c r="BR161" s="21">
        <f>EXP(-LN(2)/2)*BR160+(1-EXP(-LN(2)/2))/(LN(2)/2)*BL161*BO161*VLOOKUP('Données projet'!$B$11,Paramètres!$A$1:$I$89,3,0)*0.475*44/12</f>
        <v>1.2516854728221649E-15</v>
      </c>
      <c r="BS161" s="22">
        <f t="shared" si="169"/>
        <v>16.95818569101306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7">
        <f t="shared" si="110"/>
        <v>598.03416456049399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319</v>
      </c>
      <c r="O162" s="13">
        <f>N162*VLOOKUP('Données projet'!$B$9,Paramètres!$A$1:$I$89,3,0)*VLOOKUP('Données projet'!$B$9,Paramètres!$A$1:$I$89,5,0)</f>
        <v>253.79640000000001</v>
      </c>
      <c r="P162" s="13">
        <f t="shared" si="141"/>
        <v>61.39816832228076</v>
      </c>
      <c r="Q162" s="20">
        <f t="shared" si="162"/>
        <v>548.96387316130563</v>
      </c>
      <c r="R162" s="59">
        <f t="shared" si="109"/>
        <v>842.29720649463889</v>
      </c>
      <c r="S162" s="59">
        <f ca="1">AVERAGE(OFFSET($R$3,0,0,'Données projet'!$E$9+1,1))-AVERAGE(OFFSET($H$3,0,0,'Données projet'!$E$9+1,1))</f>
        <v>244.71206779102869</v>
      </c>
      <c r="T162" s="59">
        <f t="shared" si="142"/>
        <v>248.77995374147798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7.8909269187918545</v>
      </c>
      <c r="AA162" s="21">
        <f>EXP(-LN(2)/25)*AA161+(1-EXP(-LN(2)/25))/(LN(2)/25)*Calculateur!V162*Calculateur!X162*VLOOKUP('Données projet'!$B$9,Paramètres!$A$1:$I$89,3,0)*0.475*44/12</f>
        <v>0.38596179784943124</v>
      </c>
      <c r="AB162" s="21">
        <f>EXP(-LN(2)/2)*AB161+(1-EXP(-LN(2)/2))/(LN(2)/2)*V162*Y162*VLOOKUP('Données projet'!$B$9,Paramètres!$A$1:$I$89,3,0)*0.475*44/12</f>
        <v>7.8883199204186105E-13</v>
      </c>
      <c r="AC162" s="22">
        <f t="shared" si="163"/>
        <v>8.276888716642075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290.17948717948696</v>
      </c>
      <c r="AJ162" s="13">
        <f>AI162*VLOOKUP('Données projet'!$B$10,Paramètres!$A$1:$I$89,3,0)*VLOOKUP('Données projet'!$B$10,Paramètres!$A$1:$I$89,5,0)</f>
        <v>194.65239999999986</v>
      </c>
      <c r="AK162" s="13">
        <f t="shared" si="164"/>
        <v>48.567079789480402</v>
      </c>
      <c r="AL162" s="20">
        <f t="shared" si="165"/>
        <v>423.60726063334477</v>
      </c>
      <c r="AM162" s="59">
        <f t="shared" si="113"/>
        <v>716.94059396667808</v>
      </c>
      <c r="AN162" s="59">
        <f ca="1">AVERAGE(OFFSET($AM$3,0,0,'Données projet'!$E$10+1,1))-AVERAGE(OFFSET($H$3,0,0,'Données projet'!$E$10+1,1))</f>
        <v>177.71717275462748</v>
      </c>
      <c r="AO162" s="59">
        <f t="shared" si="144"/>
        <v>183.73714278300957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11.245163315347387</v>
      </c>
      <c r="AV162" s="21">
        <f>EXP(-LN(2)/25)*AV161+(1-EXP(-LN(2)/25))/(LN(2)/25)*Calculateur!AQ162*Calculateur!AS162*VLOOKUP('Données projet'!$B$10,Paramètres!$A$1:$I$89,3,0)*0.475*44/12</f>
        <v>0.38892107548643823</v>
      </c>
      <c r="AW162" s="21">
        <f>EXP(-LN(2)/2)*AW161+(1-EXP(-LN(2)/2))/(LN(2)/2)*AQ162*AT162*VLOOKUP('Données projet'!$B$10,Paramètres!$A$1:$I$89,3,0)*0.475*44/12</f>
        <v>1.3181216735122288E-12</v>
      </c>
      <c r="AX162" s="21">
        <f t="shared" si="166"/>
        <v>11.634084390835143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-1.383341441396624E-13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325.66150195494157</v>
      </c>
      <c r="BJ162" s="59">
        <f t="shared" si="146"/>
        <v>429.07526815514467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16.169263906138557</v>
      </c>
      <c r="BQ162" s="21">
        <f>EXP(-LN(2)/25)*BQ161+(1-EXP(-LN(2)/25))/(LN(2)/25)*Calculateur!BL162*Calculateur!BN162*VLOOKUP('Données projet'!$B$11,Paramètres!$A$1:$I$89,3,0)*0.475*44/12</f>
        <v>0.45278107494157094</v>
      </c>
      <c r="BR162" s="21">
        <f>EXP(-LN(2)/2)*BR161+(1-EXP(-LN(2)/2))/(LN(2)/2)*BL162*BO162*VLOOKUP('Données projet'!$B$11,Paramètres!$A$1:$I$89,3,0)*0.475*44/12</f>
        <v>8.8507528574524295E-16</v>
      </c>
      <c r="BS162" s="22">
        <f t="shared" si="169"/>
        <v>16.622044981080126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7">
        <f t="shared" si="110"/>
        <v>599.90443550809846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319</v>
      </c>
      <c r="O163" s="13">
        <f>N163*VLOOKUP('Données projet'!$B$9,Paramètres!$A$1:$I$89,3,0)*VLOOKUP('Données projet'!$B$9,Paramètres!$A$1:$I$89,5,0)</f>
        <v>253.79640000000001</v>
      </c>
      <c r="P163" s="13">
        <f t="shared" si="141"/>
        <v>61.39816832228076</v>
      </c>
      <c r="Q163" s="20">
        <f t="shared" si="162"/>
        <v>548.96387316130563</v>
      </c>
      <c r="R163" s="59">
        <f t="shared" si="109"/>
        <v>842.29720649463889</v>
      </c>
      <c r="S163" s="59">
        <f ca="1">AVERAGE(OFFSET($R$3,0,0,'Données projet'!$E$9+1,1))-AVERAGE(OFFSET($H$3,0,0,'Données projet'!$E$9+1,1))</f>
        <v>244.71206779102869</v>
      </c>
      <c r="T163" s="59">
        <f t="shared" si="142"/>
        <v>248.77995374147798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7.7361906549045232</v>
      </c>
      <c r="AA163" s="21">
        <f>EXP(-LN(2)/25)*AA162+(1-EXP(-LN(2)/25))/(LN(2)/25)*Calculateur!V163*Calculateur!X163*VLOOKUP('Données projet'!$B$9,Paramètres!$A$1:$I$89,3,0)*0.475*44/12</f>
        <v>0.37540765219038974</v>
      </c>
      <c r="AB163" s="21">
        <f>EXP(-LN(2)/2)*AB162+(1-EXP(-LN(2)/2))/(LN(2)/2)*V163*Y163*VLOOKUP('Données projet'!$B$9,Paramètres!$A$1:$I$89,3,0)*0.475*44/12</f>
        <v>5.5778845078969263E-13</v>
      </c>
      <c r="AC163" s="22">
        <f t="shared" si="163"/>
        <v>8.1115983070954698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290.17948717948696</v>
      </c>
      <c r="AJ163" s="13">
        <f>AI163*VLOOKUP('Données projet'!$B$10,Paramètres!$A$1:$I$89,3,0)*VLOOKUP('Données projet'!$B$10,Paramètres!$A$1:$I$89,5,0)</f>
        <v>194.65239999999986</v>
      </c>
      <c r="AK163" s="13">
        <f t="shared" si="164"/>
        <v>48.567079789480402</v>
      </c>
      <c r="AL163" s="20">
        <f t="shared" si="165"/>
        <v>423.60726063334477</v>
      </c>
      <c r="AM163" s="59">
        <f t="shared" si="113"/>
        <v>716.94059396667808</v>
      </c>
      <c r="AN163" s="59">
        <f ca="1">AVERAGE(OFFSET($AM$3,0,0,'Données projet'!$E$10+1,1))-AVERAGE(OFFSET($H$3,0,0,'Données projet'!$E$10+1,1))</f>
        <v>177.71717275462748</v>
      </c>
      <c r="AO163" s="59">
        <f t="shared" si="144"/>
        <v>183.73714278300957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11.024652521605789</v>
      </c>
      <c r="AV163" s="21">
        <f>EXP(-LN(2)/25)*AV162+(1-EXP(-LN(2)/25))/(LN(2)/25)*Calculateur!AQ163*Calculateur!AS163*VLOOKUP('Données projet'!$B$10,Paramètres!$A$1:$I$89,3,0)*0.475*44/12</f>
        <v>0.37828600822479108</v>
      </c>
      <c r="AW163" s="21">
        <f>EXP(-LN(2)/2)*AW162+(1-EXP(-LN(2)/2))/(LN(2)/2)*AQ163*AT163*VLOOKUP('Données projet'!$B$10,Paramètres!$A$1:$I$89,3,0)*0.475*44/12</f>
        <v>9.320527737694574E-13</v>
      </c>
      <c r="AX163" s="21">
        <f t="shared" si="166"/>
        <v>11.402938529831513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-1.383341441396624E-13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325.66150195494157</v>
      </c>
      <c r="BJ163" s="59">
        <f t="shared" si="146"/>
        <v>429.07526815514467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15.852194503216344</v>
      </c>
      <c r="BQ163" s="21">
        <f>EXP(-LN(2)/25)*BQ162+(1-EXP(-LN(2)/25))/(LN(2)/25)*Calculateur!BL163*Calculateur!BN163*VLOOKUP('Données projet'!$B$11,Paramètres!$A$1:$I$89,3,0)*0.475*44/12</f>
        <v>0.44039975263657177</v>
      </c>
      <c r="BR163" s="21">
        <f>EXP(-LN(2)/2)*BR162+(1-EXP(-LN(2)/2))/(LN(2)/2)*BL163*BO163*VLOOKUP('Données projet'!$B$11,Paramètres!$A$1:$I$89,3,0)*0.475*44/12</f>
        <v>6.2584273641108257E-16</v>
      </c>
      <c r="BS163" s="22">
        <f t="shared" si="169"/>
        <v>16.292594255852915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7">
        <f t="shared" si="110"/>
        <v>601.77445282990868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319</v>
      </c>
      <c r="O164" s="13">
        <f>N164*VLOOKUP('Données projet'!$B$9,Paramètres!$A$1:$I$89,3,0)*VLOOKUP('Données projet'!$B$9,Paramètres!$A$1:$I$89,5,0)</f>
        <v>253.79640000000001</v>
      </c>
      <c r="P164" s="13">
        <f t="shared" si="141"/>
        <v>61.39816832228076</v>
      </c>
      <c r="Q164" s="20">
        <f t="shared" si="162"/>
        <v>548.96387316130563</v>
      </c>
      <c r="R164" s="59">
        <f t="shared" si="109"/>
        <v>842.29720649463889</v>
      </c>
      <c r="S164" s="59">
        <f ca="1">AVERAGE(OFFSET($R$3,0,0,'Données projet'!$E$9+1,1))-AVERAGE(OFFSET($H$3,0,0,'Données projet'!$E$9+1,1))</f>
        <v>244.71206779102869</v>
      </c>
      <c r="T164" s="59">
        <f t="shared" si="142"/>
        <v>248.77995374147798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7.5844886747722207</v>
      </c>
      <c r="AA164" s="21">
        <f>EXP(-LN(2)/25)*AA163+(1-EXP(-LN(2)/25))/(LN(2)/25)*Calculateur!V164*Calculateur!X164*VLOOKUP('Données projet'!$B$9,Paramètres!$A$1:$I$89,3,0)*0.475*44/12</f>
        <v>0.36514211019941312</v>
      </c>
      <c r="AB164" s="21">
        <f>EXP(-LN(2)/2)*AB163+(1-EXP(-LN(2)/2))/(LN(2)/2)*V164*Y164*VLOOKUP('Données projet'!$B$9,Paramètres!$A$1:$I$89,3,0)*0.475*44/12</f>
        <v>3.9441599602093053E-13</v>
      </c>
      <c r="AC164" s="22">
        <f t="shared" si="163"/>
        <v>7.9496307849720278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290.17948717948696</v>
      </c>
      <c r="AJ164" s="13">
        <f>AI164*VLOOKUP('Données projet'!$B$10,Paramètres!$A$1:$I$89,3,0)*VLOOKUP('Données projet'!$B$10,Paramètres!$A$1:$I$89,5,0)</f>
        <v>194.65239999999986</v>
      </c>
      <c r="AK164" s="13">
        <f t="shared" si="164"/>
        <v>48.567079789480402</v>
      </c>
      <c r="AL164" s="20">
        <f t="shared" si="165"/>
        <v>423.60726063334477</v>
      </c>
      <c r="AM164" s="59">
        <f t="shared" si="113"/>
        <v>716.94059396667808</v>
      </c>
      <c r="AN164" s="59">
        <f ca="1">AVERAGE(OFFSET($AM$3,0,0,'Données projet'!$E$10+1,1))-AVERAGE(OFFSET($H$3,0,0,'Données projet'!$E$10+1,1))</f>
        <v>177.71717275462748</v>
      </c>
      <c r="AO164" s="59">
        <f t="shared" si="144"/>
        <v>183.73714278300957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10.80846581003116</v>
      </c>
      <c r="AV164" s="21">
        <f>EXP(-LN(2)/25)*AV163+(1-EXP(-LN(2)/25))/(LN(2)/25)*Calculateur!AQ164*Calculateur!AS164*VLOOKUP('Données projet'!$B$10,Paramètres!$A$1:$I$89,3,0)*0.475*44/12</f>
        <v>0.36794175743668756</v>
      </c>
      <c r="AW164" s="21">
        <f>EXP(-LN(2)/2)*AW163+(1-EXP(-LN(2)/2))/(LN(2)/2)*AQ164*AT164*VLOOKUP('Données projet'!$B$10,Paramètres!$A$1:$I$89,3,0)*0.475*44/12</f>
        <v>6.5906083675611441E-13</v>
      </c>
      <c r="AX164" s="21">
        <f t="shared" si="166"/>
        <v>11.176407567468507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-1.383341441396624E-13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325.66150195494157</v>
      </c>
      <c r="BJ164" s="59">
        <f t="shared" si="146"/>
        <v>429.07526815514467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15.541342637892196</v>
      </c>
      <c r="BQ164" s="21">
        <f>EXP(-LN(2)/25)*BQ163+(1-EXP(-LN(2)/25))/(LN(2)/25)*Calculateur!BL164*Calculateur!BN164*VLOOKUP('Données projet'!$B$11,Paramètres!$A$1:$I$89,3,0)*0.475*44/12</f>
        <v>0.42835699824110829</v>
      </c>
      <c r="BR164" s="21">
        <f>EXP(-LN(2)/2)*BR163+(1-EXP(-LN(2)/2))/(LN(2)/2)*BL164*BO164*VLOOKUP('Données projet'!$B$11,Paramètres!$A$1:$I$89,3,0)*0.475*44/12</f>
        <v>4.4253764287262152E-16</v>
      </c>
      <c r="BS164" s="22">
        <f t="shared" si="169"/>
        <v>15.969699636133305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7">
        <f t="shared" si="110"/>
        <v>603.64421828399406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319</v>
      </c>
      <c r="O165" s="13">
        <f>N165*VLOOKUP('Données projet'!$B$9,Paramètres!$A$1:$I$89,3,0)*VLOOKUP('Données projet'!$B$9,Paramètres!$A$1:$I$89,5,0)</f>
        <v>253.79640000000001</v>
      </c>
      <c r="P165" s="13">
        <f t="shared" si="141"/>
        <v>61.39816832228076</v>
      </c>
      <c r="Q165" s="20">
        <f t="shared" si="162"/>
        <v>548.96387316130563</v>
      </c>
      <c r="R165" s="59">
        <f t="shared" si="109"/>
        <v>842.29720649463889</v>
      </c>
      <c r="S165" s="59">
        <f ca="1">AVERAGE(OFFSET($R$3,0,0,'Données projet'!$E$9+1,1))-AVERAGE(OFFSET($H$3,0,0,'Données projet'!$E$9+1,1))</f>
        <v>244.71206779102869</v>
      </c>
      <c r="T165" s="59">
        <f t="shared" si="142"/>
        <v>248.77995374147798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7.4357614779412415</v>
      </c>
      <c r="AA165" s="21">
        <f>EXP(-LN(2)/25)*AA164+(1-EXP(-LN(2)/25))/(LN(2)/25)*Calculateur!V165*Calculateur!X165*VLOOKUP('Données projet'!$B$9,Paramètres!$A$1:$I$89,3,0)*0.475*44/12</f>
        <v>0.35515727999402114</v>
      </c>
      <c r="AB165" s="21">
        <f>EXP(-LN(2)/2)*AB164+(1-EXP(-LN(2)/2))/(LN(2)/2)*V165*Y165*VLOOKUP('Données projet'!$B$9,Paramètres!$A$1:$I$89,3,0)*0.475*44/12</f>
        <v>2.7889422539484632E-13</v>
      </c>
      <c r="AC165" s="22">
        <f t="shared" si="163"/>
        <v>7.7909187579355414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290.17948717948696</v>
      </c>
      <c r="AJ165" s="13">
        <f>AI165*VLOOKUP('Données projet'!$B$10,Paramètres!$A$1:$I$89,3,0)*VLOOKUP('Données projet'!$B$10,Paramètres!$A$1:$I$89,5,0)</f>
        <v>194.65239999999986</v>
      </c>
      <c r="AK165" s="13">
        <f t="shared" si="164"/>
        <v>48.567079789480402</v>
      </c>
      <c r="AL165" s="20">
        <f t="shared" si="165"/>
        <v>423.60726063334477</v>
      </c>
      <c r="AM165" s="59">
        <f t="shared" si="113"/>
        <v>716.94059396667808</v>
      </c>
      <c r="AN165" s="59">
        <f ca="1">AVERAGE(OFFSET($AM$3,0,0,'Données projet'!$E$10+1,1))-AVERAGE(OFFSET($H$3,0,0,'Données projet'!$E$10+1,1))</f>
        <v>177.71717275462748</v>
      </c>
      <c r="AO165" s="59">
        <f t="shared" si="144"/>
        <v>183.73714278300957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10.596518388009637</v>
      </c>
      <c r="AV165" s="21">
        <f>EXP(-LN(2)/25)*AV164+(1-EXP(-LN(2)/25))/(LN(2)/25)*Calculateur!AQ165*Calculateur!AS165*VLOOKUP('Données projet'!$B$10,Paramètres!$A$1:$I$89,3,0)*0.475*44/12</f>
        <v>0.35788037073036527</v>
      </c>
      <c r="AW165" s="21">
        <f>EXP(-LN(2)/2)*AW164+(1-EXP(-LN(2)/2))/(LN(2)/2)*AQ165*AT165*VLOOKUP('Données projet'!$B$10,Paramètres!$A$1:$I$89,3,0)*0.475*44/12</f>
        <v>4.660263868847287E-13</v>
      </c>
      <c r="AX165" s="21">
        <f t="shared" si="166"/>
        <v>10.954398758740467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-1.383341441396624E-13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325.66150195494157</v>
      </c>
      <c r="BJ165" s="59">
        <f t="shared" si="146"/>
        <v>429.07526815514467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15.236586388046138</v>
      </c>
      <c r="BQ165" s="21">
        <f>EXP(-LN(2)/25)*BQ164+(1-EXP(-LN(2)/25))/(LN(2)/25)*Calculateur!BL165*Calculateur!BN165*VLOOKUP('Données projet'!$B$11,Paramètres!$A$1:$I$89,3,0)*0.475*44/12</f>
        <v>0.41664355359788968</v>
      </c>
      <c r="BR165" s="21">
        <f>EXP(-LN(2)/2)*BR164+(1-EXP(-LN(2)/2))/(LN(2)/2)*BL165*BO165*VLOOKUP('Données projet'!$B$11,Paramètres!$A$1:$I$89,3,0)*0.475*44/12</f>
        <v>3.1292136820554133E-16</v>
      </c>
      <c r="BS165" s="22">
        <f t="shared" si="169"/>
        <v>15.653229941644028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7">
        <f t="shared" si="110"/>
        <v>605.51373360546404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319</v>
      </c>
      <c r="O166" s="13">
        <f>N166*VLOOKUP('Données projet'!$B$9,Paramètres!$A$1:$I$89,3,0)*VLOOKUP('Données projet'!$B$9,Paramètres!$A$1:$I$89,5,0)</f>
        <v>253.79640000000001</v>
      </c>
      <c r="P166" s="13">
        <f t="shared" si="141"/>
        <v>61.39816832228076</v>
      </c>
      <c r="Q166" s="20">
        <f t="shared" si="162"/>
        <v>548.96387316130563</v>
      </c>
      <c r="R166" s="59">
        <f t="shared" si="109"/>
        <v>842.29720649463889</v>
      </c>
      <c r="S166" s="59">
        <f ca="1">AVERAGE(OFFSET($R$3,0,0,'Données projet'!$E$9+1,1))-AVERAGE(OFFSET($H$3,0,0,'Données projet'!$E$9+1,1))</f>
        <v>244.71206779102869</v>
      </c>
      <c r="T166" s="59">
        <f t="shared" si="142"/>
        <v>248.77995374147798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7.2899507307254847</v>
      </c>
      <c r="AA166" s="21">
        <f>EXP(-LN(2)/25)*AA165+(1-EXP(-LN(2)/25))/(LN(2)/25)*Calculateur!V166*Calculateur!X166*VLOOKUP('Données projet'!$B$9,Paramètres!$A$1:$I$89,3,0)*0.475*44/12</f>
        <v>0.345445485495675</v>
      </c>
      <c r="AB166" s="21">
        <f>EXP(-LN(2)/2)*AB165+(1-EXP(-LN(2)/2))/(LN(2)/2)*V166*Y166*VLOOKUP('Données projet'!$B$9,Paramètres!$A$1:$I$89,3,0)*0.475*44/12</f>
        <v>1.9720799801046526E-13</v>
      </c>
      <c r="AC166" s="22">
        <f t="shared" si="163"/>
        <v>7.6353962162213573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290.17948717948696</v>
      </c>
      <c r="AJ166" s="13">
        <f>AI166*VLOOKUP('Données projet'!$B$10,Paramètres!$A$1:$I$89,3,0)*VLOOKUP('Données projet'!$B$10,Paramètres!$A$1:$I$89,5,0)</f>
        <v>194.65239999999986</v>
      </c>
      <c r="AK166" s="13">
        <f t="shared" si="164"/>
        <v>48.567079789480402</v>
      </c>
      <c r="AL166" s="20">
        <f t="shared" si="165"/>
        <v>423.60726063334477</v>
      </c>
      <c r="AM166" s="59">
        <f t="shared" si="113"/>
        <v>716.94059396667808</v>
      </c>
      <c r="AN166" s="59">
        <f ca="1">AVERAGE(OFFSET($AM$3,0,0,'Données projet'!$E$10+1,1))-AVERAGE(OFFSET($H$3,0,0,'Données projet'!$E$10+1,1))</f>
        <v>177.71717275462748</v>
      </c>
      <c r="AO166" s="59">
        <f t="shared" si="144"/>
        <v>183.73714278300957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10.388727125658793</v>
      </c>
      <c r="AV166" s="21">
        <f>EXP(-LN(2)/25)*AV165+(1-EXP(-LN(2)/25))/(LN(2)/25)*Calculateur!AQ166*Calculateur!AS166*VLOOKUP('Données projet'!$B$10,Paramètres!$A$1:$I$89,3,0)*0.475*44/12</f>
        <v>0.34809411317263267</v>
      </c>
      <c r="AW166" s="21">
        <f>EXP(-LN(2)/2)*AW165+(1-EXP(-LN(2)/2))/(LN(2)/2)*AQ166*AT166*VLOOKUP('Données projet'!$B$10,Paramètres!$A$1:$I$89,3,0)*0.475*44/12</f>
        <v>3.2953041837805721E-13</v>
      </c>
      <c r="AX166" s="21">
        <f t="shared" si="166"/>
        <v>10.736821238831755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-1.383341441396624E-13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325.66150195494157</v>
      </c>
      <c r="BJ166" s="59">
        <f t="shared" si="146"/>
        <v>429.07526815514467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14.937806222376603</v>
      </c>
      <c r="BQ166" s="21">
        <f>EXP(-LN(2)/25)*BQ165+(1-EXP(-LN(2)/25))/(LN(2)/25)*Calculateur!BL166*Calculateur!BN166*VLOOKUP('Données projet'!$B$11,Paramètres!$A$1:$I$89,3,0)*0.475*44/12</f>
        <v>0.40525041371442316</v>
      </c>
      <c r="BR166" s="21">
        <f>EXP(-LN(2)/2)*BR165+(1-EXP(-LN(2)/2))/(LN(2)/2)*BL166*BO166*VLOOKUP('Données projet'!$B$11,Paramètres!$A$1:$I$89,3,0)*0.475*44/12</f>
        <v>2.2126882143631081E-16</v>
      </c>
      <c r="BS166" s="22">
        <f t="shared" si="169"/>
        <v>15.343056636091026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7">
        <f t="shared" si="110"/>
        <v>607.38300050690668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319</v>
      </c>
      <c r="O167" s="13">
        <f>N167*VLOOKUP('Données projet'!$B$9,Paramètres!$A$1:$I$89,3,0)*VLOOKUP('Données projet'!$B$9,Paramètres!$A$1:$I$89,5,0)</f>
        <v>253.79640000000001</v>
      </c>
      <c r="P167" s="13">
        <f t="shared" si="141"/>
        <v>61.39816832228076</v>
      </c>
      <c r="Q167" s="20">
        <f t="shared" si="162"/>
        <v>548.96387316130563</v>
      </c>
      <c r="R167" s="59">
        <f t="shared" si="109"/>
        <v>842.29720649463889</v>
      </c>
      <c r="S167" s="59">
        <f ca="1">AVERAGE(OFFSET($R$3,0,0,'Données projet'!$E$9+1,1))-AVERAGE(OFFSET($H$3,0,0,'Données projet'!$E$9+1,1))</f>
        <v>244.71206779102869</v>
      </c>
      <c r="T167" s="59">
        <f t="shared" si="142"/>
        <v>248.77995374147798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7.1469992433268548</v>
      </c>
      <c r="AA167" s="21">
        <f>EXP(-LN(2)/25)*AA166+(1-EXP(-LN(2)/25))/(LN(2)/25)*Calculateur!V167*Calculateur!X167*VLOOKUP('Données projet'!$B$9,Paramètres!$A$1:$I$89,3,0)*0.475*44/12</f>
        <v>0.33599926052860724</v>
      </c>
      <c r="AB167" s="21">
        <f>EXP(-LN(2)/2)*AB166+(1-EXP(-LN(2)/2))/(LN(2)/2)*V167*Y167*VLOOKUP('Données projet'!$B$9,Paramètres!$A$1:$I$89,3,0)*0.475*44/12</f>
        <v>1.3944711269742316E-13</v>
      </c>
      <c r="AC167" s="22">
        <f t="shared" si="163"/>
        <v>7.4829985038556011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290.17948717948696</v>
      </c>
      <c r="AJ167" s="13">
        <f>AI167*VLOOKUP('Données projet'!$B$10,Paramètres!$A$1:$I$89,3,0)*VLOOKUP('Données projet'!$B$10,Paramètres!$A$1:$I$89,5,0)</f>
        <v>194.65239999999986</v>
      </c>
      <c r="AK167" s="13">
        <f t="shared" si="164"/>
        <v>48.567079789480402</v>
      </c>
      <c r="AL167" s="20">
        <f t="shared" si="165"/>
        <v>423.60726063334477</v>
      </c>
      <c r="AM167" s="59">
        <f t="shared" si="113"/>
        <v>716.94059396667808</v>
      </c>
      <c r="AN167" s="59">
        <f ca="1">AVERAGE(OFFSET($AM$3,0,0,'Données projet'!$E$10+1,1))-AVERAGE(OFFSET($H$3,0,0,'Données projet'!$E$10+1,1))</f>
        <v>177.71717275462748</v>
      </c>
      <c r="AO167" s="59">
        <f t="shared" si="144"/>
        <v>183.73714278300957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10.185010523222493</v>
      </c>
      <c r="AV167" s="21">
        <f>EXP(-LN(2)/25)*AV166+(1-EXP(-LN(2)/25))/(LN(2)/25)*Calculateur!AQ167*Calculateur!AS167*VLOOKUP('Données projet'!$B$10,Paramètres!$A$1:$I$89,3,0)*0.475*44/12</f>
        <v>0.3385754613424532</v>
      </c>
      <c r="AW167" s="21">
        <f>EXP(-LN(2)/2)*AW166+(1-EXP(-LN(2)/2))/(LN(2)/2)*AQ167*AT167*VLOOKUP('Données projet'!$B$10,Paramètres!$A$1:$I$89,3,0)*0.475*44/12</f>
        <v>2.3301319344236435E-13</v>
      </c>
      <c r="AX167" s="21">
        <f t="shared" si="166"/>
        <v>10.523585984565178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-1.383341441396624E-13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325.66150195494157</v>
      </c>
      <c r="BJ167" s="59">
        <f t="shared" si="146"/>
        <v>429.07526815514467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14.644884953517941</v>
      </c>
      <c r="BQ167" s="21">
        <f>EXP(-LN(2)/25)*BQ166+(1-EXP(-LN(2)/25))/(LN(2)/25)*Calculateur!BL167*Calculateur!BN167*VLOOKUP('Données projet'!$B$11,Paramètres!$A$1:$I$89,3,0)*0.475*44/12</f>
        <v>0.39416881984020924</v>
      </c>
      <c r="BR167" s="21">
        <f>EXP(-LN(2)/2)*BR166+(1-EXP(-LN(2)/2))/(LN(2)/2)*BL167*BO167*VLOOKUP('Données projet'!$B$11,Paramètres!$A$1:$I$89,3,0)*0.475*44/12</f>
        <v>1.5646068410277069E-16</v>
      </c>
      <c r="BS167" s="22">
        <f t="shared" si="169"/>
        <v>15.03905377335815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7">
        <f t="shared" si="110"/>
        <v>609.25202067881696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319</v>
      </c>
      <c r="O168" s="13">
        <f>N168*VLOOKUP('Données projet'!$B$9,Paramètres!$A$1:$I$89,3,0)*VLOOKUP('Données projet'!$B$9,Paramètres!$A$1:$I$89,5,0)</f>
        <v>253.79640000000001</v>
      </c>
      <c r="P168" s="13">
        <f t="shared" si="141"/>
        <v>61.39816832228076</v>
      </c>
      <c r="Q168" s="20">
        <f t="shared" si="162"/>
        <v>548.96387316130563</v>
      </c>
      <c r="R168" s="59">
        <f t="shared" si="109"/>
        <v>842.29720649463889</v>
      </c>
      <c r="S168" s="59">
        <f ca="1">AVERAGE(OFFSET($R$3,0,0,'Données projet'!$E$9+1,1))-AVERAGE(OFFSET($H$3,0,0,'Données projet'!$E$9+1,1))</f>
        <v>244.71206779102869</v>
      </c>
      <c r="T168" s="59">
        <f t="shared" si="142"/>
        <v>248.77995374147798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7.0068509474043141</v>
      </c>
      <c r="AA168" s="21">
        <f>EXP(-LN(2)/25)*AA167+(1-EXP(-LN(2)/25))/(LN(2)/25)*Calculateur!V168*Calculateur!X168*VLOOKUP('Données projet'!$B$9,Paramètres!$A$1:$I$89,3,0)*0.475*44/12</f>
        <v>0.3268113430800193</v>
      </c>
      <c r="AB168" s="21">
        <f>EXP(-LN(2)/2)*AB167+(1-EXP(-LN(2)/2))/(LN(2)/2)*V168*Y168*VLOOKUP('Données projet'!$B$9,Paramètres!$A$1:$I$89,3,0)*0.475*44/12</f>
        <v>9.8603999005232631E-14</v>
      </c>
      <c r="AC168" s="22">
        <f t="shared" si="163"/>
        <v>7.3336622904844324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290.17948717948696</v>
      </c>
      <c r="AJ168" s="13">
        <f>AI168*VLOOKUP('Données projet'!$B$10,Paramètres!$A$1:$I$89,3,0)*VLOOKUP('Données projet'!$B$10,Paramètres!$A$1:$I$89,5,0)</f>
        <v>194.65239999999986</v>
      </c>
      <c r="AK168" s="13">
        <f t="shared" si="164"/>
        <v>48.567079789480402</v>
      </c>
      <c r="AL168" s="20">
        <f t="shared" si="165"/>
        <v>423.60726063334477</v>
      </c>
      <c r="AM168" s="59">
        <f t="shared" si="113"/>
        <v>716.94059396667808</v>
      </c>
      <c r="AN168" s="59">
        <f ca="1">AVERAGE(OFFSET($AM$3,0,0,'Données projet'!$E$10+1,1))-AVERAGE(OFFSET($H$3,0,0,'Données projet'!$E$10+1,1))</f>
        <v>177.71717275462748</v>
      </c>
      <c r="AO168" s="59">
        <f t="shared" si="144"/>
        <v>183.73714278300957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9.9852886791051105</v>
      </c>
      <c r="AV168" s="21">
        <f>EXP(-LN(2)/25)*AV167+(1-EXP(-LN(2)/25))/(LN(2)/25)*Calculateur!AQ168*Calculateur!AS168*VLOOKUP('Données projet'!$B$10,Paramètres!$A$1:$I$89,3,0)*0.475*44/12</f>
        <v>0.32931709754713412</v>
      </c>
      <c r="AW168" s="21">
        <f>EXP(-LN(2)/2)*AW167+(1-EXP(-LN(2)/2))/(LN(2)/2)*AQ168*AT168*VLOOKUP('Données projet'!$B$10,Paramètres!$A$1:$I$89,3,0)*0.475*44/12</f>
        <v>1.647652091890286E-13</v>
      </c>
      <c r="AX168" s="21">
        <f t="shared" si="166"/>
        <v>10.31460577665241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-1.383341441396624E-13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325.66150195494157</v>
      </c>
      <c r="BJ168" s="59">
        <f t="shared" si="146"/>
        <v>429.07526815514467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14.357707692077264</v>
      </c>
      <c r="BQ168" s="21">
        <f>EXP(-LN(2)/25)*BQ167+(1-EXP(-LN(2)/25))/(LN(2)/25)*Calculateur!BL168*Calculateur!BN168*VLOOKUP('Données projet'!$B$11,Paramètres!$A$1:$I$89,3,0)*0.475*44/12</f>
        <v>0.38339025273324134</v>
      </c>
      <c r="BR168" s="21">
        <f>EXP(-LN(2)/2)*BR167+(1-EXP(-LN(2)/2))/(LN(2)/2)*BL168*BO168*VLOOKUP('Données projet'!$B$11,Paramètres!$A$1:$I$89,3,0)*0.475*44/12</f>
        <v>1.1063441071815542E-16</v>
      </c>
      <c r="BS168" s="22">
        <f t="shared" si="169"/>
        <v>14.741097944810505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7">
        <f t="shared" si="110"/>
        <v>611.12079579001363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319</v>
      </c>
      <c r="O169" s="13">
        <f>N169*VLOOKUP('Données projet'!$B$9,Paramètres!$A$1:$I$89,3,0)*VLOOKUP('Données projet'!$B$9,Paramètres!$A$1:$I$89,5,0)</f>
        <v>253.79640000000001</v>
      </c>
      <c r="P169" s="13">
        <f t="shared" si="141"/>
        <v>61.39816832228076</v>
      </c>
      <c r="Q169" s="20">
        <f t="shared" si="162"/>
        <v>548.96387316130563</v>
      </c>
      <c r="R169" s="59">
        <f t="shared" si="109"/>
        <v>842.29720649463889</v>
      </c>
      <c r="S169" s="59">
        <f ca="1">AVERAGE(OFFSET($R$3,0,0,'Données projet'!$E$9+1,1))-AVERAGE(OFFSET($H$3,0,0,'Données projet'!$E$9+1,1))</f>
        <v>244.71206779102869</v>
      </c>
      <c r="T169" s="59">
        <f t="shared" si="142"/>
        <v>248.77995374147798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6.8694508740827951</v>
      </c>
      <c r="AA169" s="21">
        <f>EXP(-LN(2)/25)*AA168+(1-EXP(-LN(2)/25))/(LN(2)/25)*Calculateur!V169*Calculateur!X169*VLOOKUP('Données projet'!$B$9,Paramètres!$A$1:$I$89,3,0)*0.475*44/12</f>
        <v>0.3178746697172346</v>
      </c>
      <c r="AB169" s="21">
        <f>EXP(-LN(2)/2)*AB168+(1-EXP(-LN(2)/2))/(LN(2)/2)*V169*Y169*VLOOKUP('Données projet'!$B$9,Paramètres!$A$1:$I$89,3,0)*0.475*44/12</f>
        <v>6.9723556348711579E-14</v>
      </c>
      <c r="AC169" s="22">
        <f t="shared" si="163"/>
        <v>7.1873255438000996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290.17948717948696</v>
      </c>
      <c r="AJ169" s="13">
        <f>AI169*VLOOKUP('Données projet'!$B$10,Paramètres!$A$1:$I$89,3,0)*VLOOKUP('Données projet'!$B$10,Paramètres!$A$1:$I$89,5,0)</f>
        <v>194.65239999999986</v>
      </c>
      <c r="AK169" s="13">
        <f t="shared" si="164"/>
        <v>48.567079789480402</v>
      </c>
      <c r="AL169" s="20">
        <f t="shared" si="165"/>
        <v>423.60726063334477</v>
      </c>
      <c r="AM169" s="59">
        <f t="shared" si="113"/>
        <v>716.94059396667808</v>
      </c>
      <c r="AN169" s="59">
        <f ca="1">AVERAGE(OFFSET($AM$3,0,0,'Données projet'!$E$10+1,1))-AVERAGE(OFFSET($H$3,0,0,'Données projet'!$E$10+1,1))</f>
        <v>177.71717275462748</v>
      </c>
      <c r="AO169" s="59">
        <f t="shared" si="144"/>
        <v>183.73714278300957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9.7894832585325737</v>
      </c>
      <c r="AV169" s="21">
        <f>EXP(-LN(2)/25)*AV168+(1-EXP(-LN(2)/25))/(LN(2)/25)*Calculateur!AQ169*Calculateur!AS169*VLOOKUP('Données projet'!$B$10,Paramètres!$A$1:$I$89,3,0)*0.475*44/12</f>
        <v>0.32031190419667421</v>
      </c>
      <c r="AW169" s="21">
        <f>EXP(-LN(2)/2)*AW168+(1-EXP(-LN(2)/2))/(LN(2)/2)*AQ169*AT169*VLOOKUP('Données projet'!$B$10,Paramètres!$A$1:$I$89,3,0)*0.475*44/12</f>
        <v>1.1650659672118218E-13</v>
      </c>
      <c r="AX169" s="21">
        <f t="shared" si="166"/>
        <v>10.109795162729366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-1.383341441396624E-13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325.66150195494157</v>
      </c>
      <c r="BJ169" s="59">
        <f t="shared" si="146"/>
        <v>429.07526815514467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14.076161801572606</v>
      </c>
      <c r="BQ169" s="21">
        <f>EXP(-LN(2)/25)*BQ168+(1-EXP(-LN(2)/25))/(LN(2)/25)*Calculateur!BL169*Calculateur!BN169*VLOOKUP('Données projet'!$B$11,Paramètres!$A$1:$I$89,3,0)*0.475*44/12</f>
        <v>0.37290642611063374</v>
      </c>
      <c r="BR169" s="21">
        <f>EXP(-LN(2)/2)*BR168+(1-EXP(-LN(2)/2))/(LN(2)/2)*BL169*BO169*VLOOKUP('Données projet'!$B$11,Paramètres!$A$1:$I$89,3,0)*0.475*44/12</f>
        <v>7.8230342051385358E-17</v>
      </c>
      <c r="BS169" s="22">
        <f t="shared" si="169"/>
        <v>14.44906822768324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7">
        <f t="shared" si="110"/>
        <v>612.98932748804623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319</v>
      </c>
      <c r="O170" s="13">
        <f>N170*VLOOKUP('Données projet'!$B$9,Paramètres!$A$1:$I$89,3,0)*VLOOKUP('Données projet'!$B$9,Paramètres!$A$1:$I$89,5,0)</f>
        <v>253.79640000000001</v>
      </c>
      <c r="P170" s="13">
        <f t="shared" si="141"/>
        <v>61.39816832228076</v>
      </c>
      <c r="Q170" s="20">
        <f t="shared" si="162"/>
        <v>548.96387316130563</v>
      </c>
      <c r="R170" s="59">
        <f t="shared" si="109"/>
        <v>842.29720649463889</v>
      </c>
      <c r="S170" s="59">
        <f ca="1">AVERAGE(OFFSET($R$3,0,0,'Données projet'!$E$9+1,1))-AVERAGE(OFFSET($H$3,0,0,'Données projet'!$E$9+1,1))</f>
        <v>244.71206779102869</v>
      </c>
      <c r="T170" s="59">
        <f t="shared" si="142"/>
        <v>248.77995374147798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6.7347451323933409</v>
      </c>
      <c r="AA170" s="21">
        <f>EXP(-LN(2)/25)*AA169+(1-EXP(-LN(2)/25))/(LN(2)/25)*Calculateur!V170*Calculateur!X170*VLOOKUP('Données projet'!$B$9,Paramètres!$A$1:$I$89,3,0)*0.475*44/12</f>
        <v>0.30918237015751443</v>
      </c>
      <c r="AB170" s="21">
        <f>EXP(-LN(2)/2)*AB169+(1-EXP(-LN(2)/2))/(LN(2)/2)*V170*Y170*VLOOKUP('Données projet'!$B$9,Paramètres!$A$1:$I$89,3,0)*0.475*44/12</f>
        <v>4.9301999502616316E-14</v>
      </c>
      <c r="AC170" s="22">
        <f t="shared" si="163"/>
        <v>7.0439275025509049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290.17948717948696</v>
      </c>
      <c r="AJ170" s="13">
        <f>AI170*VLOOKUP('Données projet'!$B$10,Paramètres!$A$1:$I$89,3,0)*VLOOKUP('Données projet'!$B$10,Paramètres!$A$1:$I$89,5,0)</f>
        <v>194.65239999999986</v>
      </c>
      <c r="AK170" s="13">
        <f t="shared" si="164"/>
        <v>48.567079789480402</v>
      </c>
      <c r="AL170" s="20">
        <f t="shared" si="165"/>
        <v>423.60726063334477</v>
      </c>
      <c r="AM170" s="59">
        <f t="shared" si="113"/>
        <v>716.94059396667808</v>
      </c>
      <c r="AN170" s="59">
        <f ca="1">AVERAGE(OFFSET($AM$3,0,0,'Données projet'!$E$10+1,1))-AVERAGE(OFFSET($H$3,0,0,'Données projet'!$E$10+1,1))</f>
        <v>177.71717275462748</v>
      </c>
      <c r="AO170" s="59">
        <f t="shared" si="144"/>
        <v>183.73714278300957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9.59751746282795</v>
      </c>
      <c r="AV170" s="21">
        <f>EXP(-LN(2)/25)*AV169+(1-EXP(-LN(2)/25))/(LN(2)/25)*Calculateur!AQ170*Calculateur!AS170*VLOOKUP('Données projet'!$B$10,Paramètres!$A$1:$I$89,3,0)*0.475*44/12</f>
        <v>0.31155295833194518</v>
      </c>
      <c r="AW170" s="21">
        <f>EXP(-LN(2)/2)*AW169+(1-EXP(-LN(2)/2))/(LN(2)/2)*AQ170*AT170*VLOOKUP('Données projet'!$B$10,Paramètres!$A$1:$I$89,3,0)*0.475*44/12</f>
        <v>8.2382604594514302E-14</v>
      </c>
      <c r="AX170" s="21">
        <f t="shared" si="166"/>
        <v>9.9090704211599778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-1.383341441396624E-13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325.66150195494157</v>
      </c>
      <c r="BJ170" s="59">
        <f t="shared" si="146"/>
        <v>429.07526815514467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13.800136854254708</v>
      </c>
      <c r="BQ170" s="21">
        <f>EXP(-LN(2)/25)*BQ169+(1-EXP(-LN(2)/25))/(LN(2)/25)*Calculateur!BL170*Calculateur!BN170*VLOOKUP('Données projet'!$B$11,Paramètres!$A$1:$I$89,3,0)*0.475*44/12</f>
        <v>0.36270928027834182</v>
      </c>
      <c r="BR170" s="21">
        <f>EXP(-LN(2)/2)*BR169+(1-EXP(-LN(2)/2))/(LN(2)/2)*BL170*BO170*VLOOKUP('Données projet'!$B$11,Paramètres!$A$1:$I$89,3,0)*0.475*44/12</f>
        <v>5.5317205359077715E-17</v>
      </c>
      <c r="BS170" s="22">
        <f t="shared" si="169"/>
        <v>14.16284613453305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7">
        <f t="shared" si="110"/>
        <v>614.85761739959128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319</v>
      </c>
      <c r="O171" s="13">
        <f>N171*VLOOKUP('Données projet'!$B$9,Paramètres!$A$1:$I$89,3,0)*VLOOKUP('Données projet'!$B$9,Paramètres!$A$1:$I$89,5,0)</f>
        <v>253.79640000000001</v>
      </c>
      <c r="P171" s="13">
        <f t="shared" si="141"/>
        <v>61.39816832228076</v>
      </c>
      <c r="Q171" s="20">
        <f t="shared" si="162"/>
        <v>548.96387316130563</v>
      </c>
      <c r="R171" s="59">
        <f t="shared" si="109"/>
        <v>842.29720649463889</v>
      </c>
      <c r="S171" s="59">
        <f ca="1">AVERAGE(OFFSET($R$3,0,0,'Données projet'!$E$9+1,1))-AVERAGE(OFFSET($H$3,0,0,'Données projet'!$E$9+1,1))</f>
        <v>244.71206779102869</v>
      </c>
      <c r="T171" s="59">
        <f t="shared" si="142"/>
        <v>248.77995374147798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6.6026808881360282</v>
      </c>
      <c r="AA171" s="21">
        <f>EXP(-LN(2)/25)*AA170+(1-EXP(-LN(2)/25))/(LN(2)/25)*Calculateur!V171*Calculateur!X171*VLOOKUP('Données projet'!$B$9,Paramètres!$A$1:$I$89,3,0)*0.475*44/12</f>
        <v>0.30072776198636297</v>
      </c>
      <c r="AB171" s="21">
        <f>EXP(-LN(2)/2)*AB170+(1-EXP(-LN(2)/2))/(LN(2)/2)*V171*Y171*VLOOKUP('Données projet'!$B$9,Paramètres!$A$1:$I$89,3,0)*0.475*44/12</f>
        <v>3.486177817435579E-14</v>
      </c>
      <c r="AC171" s="22">
        <f t="shared" si="163"/>
        <v>6.9034086501224259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290.17948717948696</v>
      </c>
      <c r="AJ171" s="13">
        <f>AI171*VLOOKUP('Données projet'!$B$10,Paramètres!$A$1:$I$89,3,0)*VLOOKUP('Données projet'!$B$10,Paramètres!$A$1:$I$89,5,0)</f>
        <v>194.65239999999986</v>
      </c>
      <c r="AK171" s="13">
        <f t="shared" si="164"/>
        <v>48.567079789480402</v>
      </c>
      <c r="AL171" s="20">
        <f t="shared" si="165"/>
        <v>423.60726063334477</v>
      </c>
      <c r="AM171" s="59">
        <f t="shared" si="113"/>
        <v>716.94059396667808</v>
      </c>
      <c r="AN171" s="59">
        <f ca="1">AVERAGE(OFFSET($AM$3,0,0,'Données projet'!$E$10+1,1))-AVERAGE(OFFSET($H$3,0,0,'Données projet'!$E$10+1,1))</f>
        <v>177.71717275462748</v>
      </c>
      <c r="AO171" s="59">
        <f t="shared" si="144"/>
        <v>183.73714278300957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9.4093159992895217</v>
      </c>
      <c r="AV171" s="21">
        <f>EXP(-LN(2)/25)*AV170+(1-EXP(-LN(2)/25))/(LN(2)/25)*Calculateur!AQ171*Calculateur!AS171*VLOOKUP('Données projet'!$B$10,Paramètres!$A$1:$I$89,3,0)*0.475*44/12</f>
        <v>0.30303352630250013</v>
      </c>
      <c r="AW171" s="21">
        <f>EXP(-LN(2)/2)*AW170+(1-EXP(-LN(2)/2))/(LN(2)/2)*AQ171*AT171*VLOOKUP('Données projet'!$B$10,Paramètres!$A$1:$I$89,3,0)*0.475*44/12</f>
        <v>5.8253298360591088E-14</v>
      </c>
      <c r="AX171" s="21">
        <f t="shared" si="166"/>
        <v>9.7123495255920798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-1.383341441396624E-13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325.66150195494157</v>
      </c>
      <c r="BJ171" s="59">
        <f t="shared" si="146"/>
        <v>429.07526815514467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13.52952458779512</v>
      </c>
      <c r="BQ171" s="21">
        <f>EXP(-LN(2)/25)*BQ170+(1-EXP(-LN(2)/25))/(LN(2)/25)*Calculateur!BL171*Calculateur!BN171*VLOOKUP('Données projet'!$B$11,Paramètres!$A$1:$I$89,3,0)*0.475*44/12</f>
        <v>0.35279097593507847</v>
      </c>
      <c r="BR171" s="21">
        <f>EXP(-LN(2)/2)*BR170+(1-EXP(-LN(2)/2))/(LN(2)/2)*BL171*BO171*VLOOKUP('Données projet'!$B$11,Paramètres!$A$1:$I$89,3,0)*0.475*44/12</f>
        <v>3.9115171025692685E-17</v>
      </c>
      <c r="BS171" s="22">
        <f t="shared" si="169"/>
        <v>13.882315563730199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7">
        <f t="shared" si="110"/>
        <v>616.72566713084029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319</v>
      </c>
      <c r="O172" s="13">
        <f>N172*VLOOKUP('Données projet'!$B$9,Paramètres!$A$1:$I$89,3,0)*VLOOKUP('Données projet'!$B$9,Paramètres!$A$1:$I$89,5,0)</f>
        <v>253.79640000000001</v>
      </c>
      <c r="P172" s="13">
        <f t="shared" si="141"/>
        <v>61.39816832228076</v>
      </c>
      <c r="Q172" s="20">
        <f t="shared" si="162"/>
        <v>548.96387316130563</v>
      </c>
      <c r="R172" s="59">
        <f t="shared" si="109"/>
        <v>842.29720649463889</v>
      </c>
      <c r="S172" s="59">
        <f ca="1">AVERAGE(OFFSET($R$3,0,0,'Données projet'!$E$9+1,1))-AVERAGE(OFFSET($H$3,0,0,'Données projet'!$E$9+1,1))</f>
        <v>244.71206779102869</v>
      </c>
      <c r="T172" s="59">
        <f t="shared" si="142"/>
        <v>248.77995374147798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6.4732063431573659</v>
      </c>
      <c r="AA172" s="21">
        <f>EXP(-LN(2)/25)*AA171+(1-EXP(-LN(2)/25))/(LN(2)/25)*Calculateur!V172*Calculateur!X172*VLOOKUP('Données projet'!$B$9,Paramètres!$A$1:$I$89,3,0)*0.475*44/12</f>
        <v>0.29250434552026022</v>
      </c>
      <c r="AB172" s="21">
        <f>EXP(-LN(2)/2)*AB171+(1-EXP(-LN(2)/2))/(LN(2)/2)*V172*Y172*VLOOKUP('Données projet'!$B$9,Paramètres!$A$1:$I$89,3,0)*0.475*44/12</f>
        <v>2.4650999751308158E-14</v>
      </c>
      <c r="AC172" s="22">
        <f t="shared" si="163"/>
        <v>6.7657106886776512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290.17948717948696</v>
      </c>
      <c r="AJ172" s="13">
        <f>AI172*VLOOKUP('Données projet'!$B$10,Paramètres!$A$1:$I$89,3,0)*VLOOKUP('Données projet'!$B$10,Paramètres!$A$1:$I$89,5,0)</f>
        <v>194.65239999999986</v>
      </c>
      <c r="AK172" s="13">
        <f t="shared" si="164"/>
        <v>48.567079789480402</v>
      </c>
      <c r="AL172" s="20">
        <f t="shared" si="165"/>
        <v>423.60726063334477</v>
      </c>
      <c r="AM172" s="59">
        <f t="shared" si="113"/>
        <v>716.94059396667808</v>
      </c>
      <c r="AN172" s="59">
        <f ca="1">AVERAGE(OFFSET($AM$3,0,0,'Données projet'!$E$10+1,1))-AVERAGE(OFFSET($H$3,0,0,'Données projet'!$E$10+1,1))</f>
        <v>177.71717275462748</v>
      </c>
      <c r="AO172" s="59">
        <f t="shared" si="144"/>
        <v>183.73714278300957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9.2248050516595228</v>
      </c>
      <c r="AV172" s="21">
        <f>EXP(-LN(2)/25)*AV171+(1-EXP(-LN(2)/25))/(LN(2)/25)*Calculateur!AQ172*Calculateur!AS172*VLOOKUP('Données projet'!$B$10,Paramètres!$A$1:$I$89,3,0)*0.475*44/12</f>
        <v>0.29474705858991773</v>
      </c>
      <c r="AW172" s="21">
        <f>EXP(-LN(2)/2)*AW171+(1-EXP(-LN(2)/2))/(LN(2)/2)*AQ172*AT172*VLOOKUP('Données projet'!$B$10,Paramètres!$A$1:$I$89,3,0)*0.475*44/12</f>
        <v>4.1191302297257151E-14</v>
      </c>
      <c r="AX172" s="21">
        <f t="shared" si="166"/>
        <v>9.5195521102494816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-1.383341441396624E-13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325.66150195494157</v>
      </c>
      <c r="BJ172" s="59">
        <f t="shared" si="146"/>
        <v>429.07526815514467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13.264218862823618</v>
      </c>
      <c r="BQ172" s="21">
        <f>EXP(-LN(2)/25)*BQ171+(1-EXP(-LN(2)/25))/(LN(2)/25)*Calculateur!BL172*Calculateur!BN172*VLOOKUP('Données projet'!$B$11,Paramètres!$A$1:$I$89,3,0)*0.475*44/12</f>
        <v>0.34314388814566266</v>
      </c>
      <c r="BR172" s="21">
        <f>EXP(-LN(2)/2)*BR171+(1-EXP(-LN(2)/2))/(LN(2)/2)*BL172*BO172*VLOOKUP('Données projet'!$B$11,Paramètres!$A$1:$I$89,3,0)*0.475*44/12</f>
        <v>2.7658602679538864E-17</v>
      </c>
      <c r="BS172" s="22">
        <f t="shared" si="169"/>
        <v>13.607362750969282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7">
        <f t="shared" si="110"/>
        <v>618.59347826787666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319</v>
      </c>
      <c r="O173" s="13">
        <f>N173*VLOOKUP('Données projet'!$B$9,Paramètres!$A$1:$I$89,3,0)*VLOOKUP('Données projet'!$B$9,Paramètres!$A$1:$I$89,5,0)</f>
        <v>253.79640000000001</v>
      </c>
      <c r="P173" s="13">
        <f t="shared" si="141"/>
        <v>61.39816832228076</v>
      </c>
      <c r="Q173" s="20">
        <f t="shared" si="162"/>
        <v>548.96387316130563</v>
      </c>
      <c r="R173" s="59">
        <f t="shared" si="109"/>
        <v>842.29720649463889</v>
      </c>
      <c r="S173" s="59">
        <f ca="1">AVERAGE(OFFSET($R$3,0,0,'Données projet'!$E$9+1,1))-AVERAGE(OFFSET($H$3,0,0,'Données projet'!$E$9+1,1))</f>
        <v>244.71206779102869</v>
      </c>
      <c r="T173" s="59">
        <f t="shared" si="142"/>
        <v>248.77995374147798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6.34627071503406</v>
      </c>
      <c r="AA173" s="21">
        <f>EXP(-LN(2)/25)*AA172+(1-EXP(-LN(2)/25))/(LN(2)/25)*Calculateur!V173*Calculateur!X173*VLOOKUP('Données projet'!$B$9,Paramètres!$A$1:$I$89,3,0)*0.475*44/12</f>
        <v>0.2845057988098737</v>
      </c>
      <c r="AB173" s="21">
        <f>EXP(-LN(2)/2)*AB172+(1-EXP(-LN(2)/2))/(LN(2)/2)*V173*Y173*VLOOKUP('Données projet'!$B$9,Paramètres!$A$1:$I$89,3,0)*0.475*44/12</f>
        <v>1.7430889087177895E-14</v>
      </c>
      <c r="AC173" s="22">
        <f t="shared" si="163"/>
        <v>6.6307765138439514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290.17948717948696</v>
      </c>
      <c r="AJ173" s="13">
        <f>AI173*VLOOKUP('Données projet'!$B$10,Paramètres!$A$1:$I$89,3,0)*VLOOKUP('Données projet'!$B$10,Paramètres!$A$1:$I$89,5,0)</f>
        <v>194.65239999999986</v>
      </c>
      <c r="AK173" s="13">
        <f t="shared" si="164"/>
        <v>48.567079789480402</v>
      </c>
      <c r="AL173" s="20">
        <f t="shared" si="165"/>
        <v>423.60726063334477</v>
      </c>
      <c r="AM173" s="59">
        <f t="shared" si="113"/>
        <v>716.94059396667808</v>
      </c>
      <c r="AN173" s="59">
        <f ca="1">AVERAGE(OFFSET($AM$3,0,0,'Données projet'!$E$10+1,1))-AVERAGE(OFFSET($H$3,0,0,'Données projet'!$E$10+1,1))</f>
        <v>177.71717275462748</v>
      </c>
      <c r="AO173" s="59">
        <f t="shared" si="144"/>
        <v>183.73714278300957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9.0439122511719834</v>
      </c>
      <c r="AV173" s="21">
        <f>EXP(-LN(2)/25)*AV172+(1-EXP(-LN(2)/25))/(LN(2)/25)*Calculateur!AQ173*Calculateur!AS173*VLOOKUP('Données projet'!$B$10,Paramètres!$A$1:$I$89,3,0)*0.475*44/12</f>
        <v>0.28668718477270227</v>
      </c>
      <c r="AW173" s="21">
        <f>EXP(-LN(2)/2)*AW172+(1-EXP(-LN(2)/2))/(LN(2)/2)*AQ173*AT173*VLOOKUP('Données projet'!$B$10,Paramètres!$A$1:$I$89,3,0)*0.475*44/12</f>
        <v>2.9126649180295544E-14</v>
      </c>
      <c r="AX173" s="21">
        <f t="shared" si="166"/>
        <v>9.3305994359447144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-1.383341441396624E-13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325.66150195494157</v>
      </c>
      <c r="BJ173" s="59">
        <f t="shared" si="146"/>
        <v>429.07526815514467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13.004115621298295</v>
      </c>
      <c r="BQ173" s="21">
        <f>EXP(-LN(2)/25)*BQ172+(1-EXP(-LN(2)/25))/(LN(2)/25)*Calculateur!BL173*Calculateur!BN173*VLOOKUP('Données projet'!$B$11,Paramètres!$A$1:$I$89,3,0)*0.475*44/12</f>
        <v>0.33376060047916672</v>
      </c>
      <c r="BR173" s="21">
        <f>EXP(-LN(2)/2)*BR172+(1-EXP(-LN(2)/2))/(LN(2)/2)*BL173*BO173*VLOOKUP('Données projet'!$B$11,Paramètres!$A$1:$I$89,3,0)*0.475*44/12</f>
        <v>1.9557585512846346E-17</v>
      </c>
      <c r="BS173" s="22">
        <f t="shared" si="169"/>
        <v>13.337876221777462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7">
        <f t="shared" si="110"/>
        <v>620.46105237704444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319</v>
      </c>
      <c r="O174" s="13">
        <f>N174*VLOOKUP('Données projet'!$B$9,Paramètres!$A$1:$I$89,3,0)*VLOOKUP('Données projet'!$B$9,Paramètres!$A$1:$I$89,5,0)</f>
        <v>253.79640000000001</v>
      </c>
      <c r="P174" s="13">
        <f t="shared" si="141"/>
        <v>61.39816832228076</v>
      </c>
      <c r="Q174" s="20">
        <f t="shared" si="162"/>
        <v>548.96387316130563</v>
      </c>
      <c r="R174" s="59">
        <f t="shared" si="109"/>
        <v>842.29720649463889</v>
      </c>
      <c r="S174" s="59">
        <f ca="1">AVERAGE(OFFSET($R$3,0,0,'Données projet'!$E$9+1,1))-AVERAGE(OFFSET($H$3,0,0,'Données projet'!$E$9+1,1))</f>
        <v>244.71206779102869</v>
      </c>
      <c r="T174" s="59">
        <f t="shared" si="142"/>
        <v>248.77995374147798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6.2218242171551639</v>
      </c>
      <c r="AA174" s="21">
        <f>EXP(-LN(2)/25)*AA173+(1-EXP(-LN(2)/25))/(LN(2)/25)*Calculateur!V174*Calculateur!X174*VLOOKUP('Données projet'!$B$9,Paramètres!$A$1:$I$89,3,0)*0.475*44/12</f>
        <v>0.27672597277990801</v>
      </c>
      <c r="AB174" s="21">
        <f>EXP(-LN(2)/2)*AB173+(1-EXP(-LN(2)/2))/(LN(2)/2)*V174*Y174*VLOOKUP('Données projet'!$B$9,Paramètres!$A$1:$I$89,3,0)*0.475*44/12</f>
        <v>1.2325499875654079E-14</v>
      </c>
      <c r="AC174" s="22">
        <f t="shared" si="163"/>
        <v>6.4985501899350844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290.17948717948696</v>
      </c>
      <c r="AJ174" s="13">
        <f>AI174*VLOOKUP('Données projet'!$B$10,Paramètres!$A$1:$I$89,3,0)*VLOOKUP('Données projet'!$B$10,Paramètres!$A$1:$I$89,5,0)</f>
        <v>194.65239999999986</v>
      </c>
      <c r="AK174" s="13">
        <f t="shared" si="164"/>
        <v>48.567079789480402</v>
      </c>
      <c r="AL174" s="20">
        <f t="shared" si="165"/>
        <v>423.60726063334477</v>
      </c>
      <c r="AM174" s="59">
        <f t="shared" si="113"/>
        <v>716.94059396667808</v>
      </c>
      <c r="AN174" s="59">
        <f ca="1">AVERAGE(OFFSET($AM$3,0,0,'Données projet'!$E$10+1,1))-AVERAGE(OFFSET($H$3,0,0,'Données projet'!$E$10+1,1))</f>
        <v>177.71717275462748</v>
      </c>
      <c r="AO174" s="59">
        <f t="shared" si="144"/>
        <v>183.73714278300957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8.8665666481682912</v>
      </c>
      <c r="AV174" s="21">
        <f>EXP(-LN(2)/25)*AV173+(1-EXP(-LN(2)/25))/(LN(2)/25)*Calculateur!AQ174*Calculateur!AS174*VLOOKUP('Données projet'!$B$10,Paramètres!$A$1:$I$89,3,0)*0.475*44/12</f>
        <v>0.27884770862886893</v>
      </c>
      <c r="AW174" s="21">
        <f>EXP(-LN(2)/2)*AW173+(1-EXP(-LN(2)/2))/(LN(2)/2)*AQ174*AT174*VLOOKUP('Données projet'!$B$10,Paramètres!$A$1:$I$89,3,0)*0.475*44/12</f>
        <v>2.0595651148628575E-14</v>
      </c>
      <c r="AX174" s="21">
        <f t="shared" si="166"/>
        <v>9.1454143567971808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-1.383341441396624E-13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325.66150195494157</v>
      </c>
      <c r="BJ174" s="59">
        <f t="shared" si="146"/>
        <v>429.07526815514467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12.749112845691972</v>
      </c>
      <c r="BQ174" s="21">
        <f>EXP(-LN(2)/25)*BQ173+(1-EXP(-LN(2)/25))/(LN(2)/25)*Calculateur!BL174*Calculateur!BN174*VLOOKUP('Données projet'!$B$11,Paramètres!$A$1:$I$89,3,0)*0.475*44/12</f>
        <v>0.32463389930735675</v>
      </c>
      <c r="BR174" s="21">
        <f>EXP(-LN(2)/2)*BR173+(1-EXP(-LN(2)/2))/(LN(2)/2)*BL174*BO174*VLOOKUP('Données projet'!$B$11,Paramètres!$A$1:$I$89,3,0)*0.475*44/12</f>
        <v>1.3829301339769433E-17</v>
      </c>
      <c r="BS174" s="22">
        <f t="shared" si="169"/>
        <v>13.073746744999328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7">
        <f t="shared" si="110"/>
        <v>622.32839100530805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319</v>
      </c>
      <c r="O175" s="13">
        <f>N175*VLOOKUP('Données projet'!$B$9,Paramètres!$A$1:$I$89,3,0)*VLOOKUP('Données projet'!$B$9,Paramètres!$A$1:$I$89,5,0)</f>
        <v>253.79640000000001</v>
      </c>
      <c r="P175" s="13">
        <f t="shared" si="141"/>
        <v>61.39816832228076</v>
      </c>
      <c r="Q175" s="20">
        <f t="shared" si="162"/>
        <v>548.96387316130563</v>
      </c>
      <c r="R175" s="59">
        <f t="shared" si="109"/>
        <v>842.29720649463889</v>
      </c>
      <c r="S175" s="59">
        <f ca="1">AVERAGE(OFFSET($R$3,0,0,'Données projet'!$E$9+1,1))-AVERAGE(OFFSET($H$3,0,0,'Données projet'!$E$9+1,1))</f>
        <v>244.71206779102869</v>
      </c>
      <c r="T175" s="59">
        <f t="shared" si="142"/>
        <v>248.77995374147798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6.0998180391948047</v>
      </c>
      <c r="AA175" s="21">
        <f>EXP(-LN(2)/25)*AA174+(1-EXP(-LN(2)/25))/(LN(2)/25)*Calculateur!V175*Calculateur!X175*VLOOKUP('Données projet'!$B$9,Paramètres!$A$1:$I$89,3,0)*0.475*44/12</f>
        <v>0.26915888650185499</v>
      </c>
      <c r="AB175" s="21">
        <f>EXP(-LN(2)/2)*AB174+(1-EXP(-LN(2)/2))/(LN(2)/2)*V175*Y175*VLOOKUP('Données projet'!$B$9,Paramètres!$A$1:$I$89,3,0)*0.475*44/12</f>
        <v>8.7154445435889474E-15</v>
      </c>
      <c r="AC175" s="22">
        <f t="shared" si="163"/>
        <v>6.3689769256966686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290.17948717948696</v>
      </c>
      <c r="AJ175" s="13">
        <f>AI175*VLOOKUP('Données projet'!$B$10,Paramètres!$A$1:$I$89,3,0)*VLOOKUP('Données projet'!$B$10,Paramètres!$A$1:$I$89,5,0)</f>
        <v>194.65239999999986</v>
      </c>
      <c r="AK175" s="13">
        <f t="shared" si="164"/>
        <v>48.567079789480402</v>
      </c>
      <c r="AL175" s="20">
        <f t="shared" si="165"/>
        <v>423.60726063334477</v>
      </c>
      <c r="AM175" s="59">
        <f t="shared" si="113"/>
        <v>716.94059396667808</v>
      </c>
      <c r="AN175" s="59">
        <f ca="1">AVERAGE(OFFSET($AM$3,0,0,'Données projet'!$E$10+1,1))-AVERAGE(OFFSET($H$3,0,0,'Données projet'!$E$10+1,1))</f>
        <v>177.71717275462748</v>
      </c>
      <c r="AO175" s="59">
        <f t="shared" si="144"/>
        <v>183.73714278300957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8.692698684269363</v>
      </c>
      <c r="AV175" s="21">
        <f>EXP(-LN(2)/25)*AV174+(1-EXP(-LN(2)/25))/(LN(2)/25)*Calculateur!AQ175*Calculateur!AS175*VLOOKUP('Données projet'!$B$10,Paramètres!$A$1:$I$89,3,0)*0.475*44/12</f>
        <v>0.2712226033724488</v>
      </c>
      <c r="AW175" s="21">
        <f>EXP(-LN(2)/2)*AW174+(1-EXP(-LN(2)/2))/(LN(2)/2)*AQ175*AT175*VLOOKUP('Données projet'!$B$10,Paramètres!$A$1:$I$89,3,0)*0.475*44/12</f>
        <v>1.4563324590147772E-14</v>
      </c>
      <c r="AX175" s="21">
        <f t="shared" si="166"/>
        <v>8.9639212876418259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-1.383341441396624E-13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325.66150195494157</v>
      </c>
      <c r="BJ175" s="59">
        <f t="shared" si="146"/>
        <v>429.07526815514467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12.499110518978952</v>
      </c>
      <c r="BQ175" s="21">
        <f>EXP(-LN(2)/25)*BQ174+(1-EXP(-LN(2)/25))/(LN(2)/25)*Calculateur!BL175*Calculateur!BN175*VLOOKUP('Données projet'!$B$11,Paramètres!$A$1:$I$89,3,0)*0.475*44/12</f>
        <v>0.31575676825904225</v>
      </c>
      <c r="BR175" s="21">
        <f>EXP(-LN(2)/2)*BR174+(1-EXP(-LN(2)/2))/(LN(2)/2)*BL175*BO175*VLOOKUP('Données projet'!$B$11,Paramètres!$A$1:$I$89,3,0)*0.475*44/12</f>
        <v>9.7787927564231743E-18</v>
      </c>
      <c r="BS175" s="22">
        <f t="shared" si="169"/>
        <v>12.814867287237995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7">
        <f t="shared" si="110"/>
        <v>624.19549568060279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319</v>
      </c>
      <c r="O176" s="13">
        <f>N176*VLOOKUP('Données projet'!$B$9,Paramètres!$A$1:$I$89,3,0)*VLOOKUP('Données projet'!$B$9,Paramètres!$A$1:$I$89,5,0)</f>
        <v>253.79640000000001</v>
      </c>
      <c r="P176" s="13">
        <f t="shared" si="141"/>
        <v>61.39816832228076</v>
      </c>
      <c r="Q176" s="20">
        <f t="shared" si="162"/>
        <v>548.96387316130563</v>
      </c>
      <c r="R176" s="59">
        <f t="shared" si="109"/>
        <v>842.29720649463889</v>
      </c>
      <c r="S176" s="59">
        <f ca="1">AVERAGE(OFFSET($R$3,0,0,'Données projet'!$E$9+1,1))-AVERAGE(OFFSET($H$3,0,0,'Données projet'!$E$9+1,1))</f>
        <v>244.71206779102869</v>
      </c>
      <c r="T176" s="59">
        <f t="shared" si="142"/>
        <v>248.77995374147798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5.9802043279678276</v>
      </c>
      <c r="AA176" s="21">
        <f>EXP(-LN(2)/25)*AA175+(1-EXP(-LN(2)/25))/(LN(2)/25)*Calculateur!V176*Calculateur!X176*VLOOKUP('Données projet'!$B$9,Paramètres!$A$1:$I$89,3,0)*0.475*44/12</f>
        <v>0.26179872259601111</v>
      </c>
      <c r="AB176" s="21">
        <f>EXP(-LN(2)/2)*AB175+(1-EXP(-LN(2)/2))/(LN(2)/2)*V176*Y176*VLOOKUP('Données projet'!$B$9,Paramètres!$A$1:$I$89,3,0)*0.475*44/12</f>
        <v>6.1627499378270395E-15</v>
      </c>
      <c r="AC176" s="22">
        <f t="shared" si="163"/>
        <v>6.2420030505638451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290.17948717948696</v>
      </c>
      <c r="AJ176" s="13">
        <f>AI176*VLOOKUP('Données projet'!$B$10,Paramètres!$A$1:$I$89,3,0)*VLOOKUP('Données projet'!$B$10,Paramètres!$A$1:$I$89,5,0)</f>
        <v>194.65239999999986</v>
      </c>
      <c r="AK176" s="13">
        <f t="shared" si="164"/>
        <v>48.567079789480402</v>
      </c>
      <c r="AL176" s="20">
        <f t="shared" si="165"/>
        <v>423.60726063334477</v>
      </c>
      <c r="AM176" s="59">
        <f t="shared" si="113"/>
        <v>716.94059396667808</v>
      </c>
      <c r="AN176" s="59">
        <f ca="1">AVERAGE(OFFSET($AM$3,0,0,'Données projet'!$E$10+1,1))-AVERAGE(OFFSET($H$3,0,0,'Données projet'!$E$10+1,1))</f>
        <v>177.71717275462748</v>
      </c>
      <c r="AO176" s="59">
        <f t="shared" si="144"/>
        <v>183.73714278300957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8.5222401650935069</v>
      </c>
      <c r="AV176" s="21">
        <f>EXP(-LN(2)/25)*AV175+(1-EXP(-LN(2)/25))/(LN(2)/25)*Calculateur!AQ176*Calculateur!AS176*VLOOKUP('Données projet'!$B$10,Paramètres!$A$1:$I$89,3,0)*0.475*44/12</f>
        <v>0.26380600702025236</v>
      </c>
      <c r="AW176" s="21">
        <f>EXP(-LN(2)/2)*AW175+(1-EXP(-LN(2)/2))/(LN(2)/2)*AQ176*AT176*VLOOKUP('Données projet'!$B$10,Paramètres!$A$1:$I$89,3,0)*0.475*44/12</f>
        <v>1.0297825574314288E-14</v>
      </c>
      <c r="AX176" s="21">
        <f t="shared" si="166"/>
        <v>8.7860461721137693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-1.383341441396624E-13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325.66150195494157</v>
      </c>
      <c r="BJ176" s="59">
        <f t="shared" si="146"/>
        <v>429.07526815514467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12.254010585406414</v>
      </c>
      <c r="BQ176" s="21">
        <f>EXP(-LN(2)/25)*BQ175+(1-EXP(-LN(2)/25))/(LN(2)/25)*Calculateur!BL176*Calculateur!BN176*VLOOKUP('Données projet'!$B$11,Paramètres!$A$1:$I$89,3,0)*0.475*44/12</f>
        <v>0.30712238282607196</v>
      </c>
      <c r="BR176" s="21">
        <f>EXP(-LN(2)/2)*BR175+(1-EXP(-LN(2)/2))/(LN(2)/2)*BL176*BO176*VLOOKUP('Données projet'!$B$11,Paramètres!$A$1:$I$89,3,0)*0.475*44/12</f>
        <v>6.9146506698847182E-18</v>
      </c>
      <c r="BS176" s="22">
        <f t="shared" si="169"/>
        <v>12.561132968232487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7">
        <f t="shared" si="110"/>
        <v>626.06236791217816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319</v>
      </c>
      <c r="O177" s="13">
        <f>N177*VLOOKUP('Données projet'!$B$9,Paramètres!$A$1:$I$89,3,0)*VLOOKUP('Données projet'!$B$9,Paramètres!$A$1:$I$89,5,0)</f>
        <v>253.79640000000001</v>
      </c>
      <c r="P177" s="13">
        <f t="shared" si="141"/>
        <v>61.39816832228076</v>
      </c>
      <c r="Q177" s="20">
        <f t="shared" si="162"/>
        <v>548.96387316130563</v>
      </c>
      <c r="R177" s="59">
        <f t="shared" si="109"/>
        <v>842.29720649463889</v>
      </c>
      <c r="S177" s="59">
        <f ca="1">AVERAGE(OFFSET($R$3,0,0,'Données projet'!$E$9+1,1))-AVERAGE(OFFSET($H$3,0,0,'Données projet'!$E$9+1,1))</f>
        <v>244.71206779102869</v>
      </c>
      <c r="T177" s="59">
        <f t="shared" si="142"/>
        <v>248.77995374147798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5.8629361686608519</v>
      </c>
      <c r="AA177" s="21">
        <f>EXP(-LN(2)/25)*AA176+(1-EXP(-LN(2)/25))/(LN(2)/25)*Calculateur!V177*Calculateur!X177*VLOOKUP('Données projet'!$B$9,Paramètres!$A$1:$I$89,3,0)*0.475*44/12</f>
        <v>0.2546398227592267</v>
      </c>
      <c r="AB177" s="21">
        <f>EXP(-LN(2)/2)*AB176+(1-EXP(-LN(2)/2))/(LN(2)/2)*V177*Y177*VLOOKUP('Données projet'!$B$9,Paramètres!$A$1:$I$89,3,0)*0.475*44/12</f>
        <v>4.3577222717944737E-15</v>
      </c>
      <c r="AC177" s="22">
        <f t="shared" si="163"/>
        <v>6.1175759914200833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290.17948717948696</v>
      </c>
      <c r="AJ177" s="13">
        <f>AI177*VLOOKUP('Données projet'!$B$10,Paramètres!$A$1:$I$89,3,0)*VLOOKUP('Données projet'!$B$10,Paramètres!$A$1:$I$89,5,0)</f>
        <v>194.65239999999986</v>
      </c>
      <c r="AK177" s="13">
        <f t="shared" si="164"/>
        <v>48.567079789480402</v>
      </c>
      <c r="AL177" s="20">
        <f t="shared" si="165"/>
        <v>423.60726063334477</v>
      </c>
      <c r="AM177" s="59">
        <f t="shared" si="113"/>
        <v>716.94059396667808</v>
      </c>
      <c r="AN177" s="59">
        <f ca="1">AVERAGE(OFFSET($AM$3,0,0,'Données projet'!$E$10+1,1))-AVERAGE(OFFSET($H$3,0,0,'Données projet'!$E$10+1,1))</f>
        <v>177.71717275462748</v>
      </c>
      <c r="AO177" s="59">
        <f t="shared" si="144"/>
        <v>183.73714278300957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8.3551242335092581</v>
      </c>
      <c r="AV177" s="21">
        <f>EXP(-LN(2)/25)*AV176+(1-EXP(-LN(2)/25))/(LN(2)/25)*Calculateur!AQ177*Calculateur!AS177*VLOOKUP('Données projet'!$B$10,Paramètres!$A$1:$I$89,3,0)*0.475*44/12</f>
        <v>0.2565922178853286</v>
      </c>
      <c r="AW177" s="21">
        <f>EXP(-LN(2)/2)*AW176+(1-EXP(-LN(2)/2))/(LN(2)/2)*AQ177*AT177*VLOOKUP('Données projet'!$B$10,Paramètres!$A$1:$I$89,3,0)*0.475*44/12</f>
        <v>7.281662295073886E-15</v>
      </c>
      <c r="AX177" s="21">
        <f t="shared" si="166"/>
        <v>8.6117164513945941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-1.383341441396624E-13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325.66150195494157</v>
      </c>
      <c r="BJ177" s="59">
        <f t="shared" si="146"/>
        <v>429.07526815514467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12.013716912035035</v>
      </c>
      <c r="BQ177" s="21">
        <f>EXP(-LN(2)/25)*BQ176+(1-EXP(-LN(2)/25))/(LN(2)/25)*Calculateur!BL177*Calculateur!BN177*VLOOKUP('Données projet'!$B$11,Paramètres!$A$1:$I$89,3,0)*0.475*44/12</f>
        <v>0.29872410511682884</v>
      </c>
      <c r="BR177" s="21">
        <f>EXP(-LN(2)/2)*BR176+(1-EXP(-LN(2)/2))/(LN(2)/2)*BL177*BO177*VLOOKUP('Données projet'!$B$11,Paramètres!$A$1:$I$89,3,0)*0.475*44/12</f>
        <v>4.8893963782115879E-18</v>
      </c>
      <c r="BS177" s="22">
        <f t="shared" si="169"/>
        <v>12.312441017151864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7">
        <f t="shared" si="110"/>
        <v>627.92900919093245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319</v>
      </c>
      <c r="O178" s="13">
        <f>N178*VLOOKUP('Données projet'!$B$9,Paramètres!$A$1:$I$89,3,0)*VLOOKUP('Données projet'!$B$9,Paramètres!$A$1:$I$89,5,0)</f>
        <v>253.79640000000001</v>
      </c>
      <c r="P178" s="13">
        <f t="shared" si="141"/>
        <v>61.39816832228076</v>
      </c>
      <c r="Q178" s="20">
        <f t="shared" si="162"/>
        <v>548.96387316130563</v>
      </c>
      <c r="R178" s="59">
        <f t="shared" si="109"/>
        <v>842.29720649463889</v>
      </c>
      <c r="S178" s="59">
        <f ca="1">AVERAGE(OFFSET($R$3,0,0,'Données projet'!$E$9+1,1))-AVERAGE(OFFSET($H$3,0,0,'Données projet'!$E$9+1,1))</f>
        <v>244.71206779102869</v>
      </c>
      <c r="T178" s="59">
        <f t="shared" si="142"/>
        <v>248.77995374147798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5.7479675664313712</v>
      </c>
      <c r="AA178" s="21">
        <f>EXP(-LN(2)/25)*AA177+(1-EXP(-LN(2)/25))/(LN(2)/25)*Calculateur!V178*Calculateur!X178*VLOOKUP('Données projet'!$B$9,Paramètres!$A$1:$I$89,3,0)*0.475*44/12</f>
        <v>0.24767668341494936</v>
      </c>
      <c r="AB178" s="21">
        <f>EXP(-LN(2)/2)*AB177+(1-EXP(-LN(2)/2))/(LN(2)/2)*V178*Y178*VLOOKUP('Données projet'!$B$9,Paramètres!$A$1:$I$89,3,0)*0.475*44/12</f>
        <v>3.0813749689135197E-15</v>
      </c>
      <c r="AC178" s="22">
        <f t="shared" si="163"/>
        <v>5.9956442498463236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290.17948717948696</v>
      </c>
      <c r="AJ178" s="13">
        <f>AI178*VLOOKUP('Données projet'!$B$10,Paramètres!$A$1:$I$89,3,0)*VLOOKUP('Données projet'!$B$10,Paramètres!$A$1:$I$89,5,0)</f>
        <v>194.65239999999986</v>
      </c>
      <c r="AK178" s="13">
        <f t="shared" si="164"/>
        <v>48.567079789480402</v>
      </c>
      <c r="AL178" s="20">
        <f t="shared" si="165"/>
        <v>423.60726063334477</v>
      </c>
      <c r="AM178" s="59">
        <f t="shared" si="113"/>
        <v>716.94059396667808</v>
      </c>
      <c r="AN178" s="59">
        <f ca="1">AVERAGE(OFFSET($AM$3,0,0,'Données projet'!$E$10+1,1))-AVERAGE(OFFSET($H$3,0,0,'Données projet'!$E$10+1,1))</f>
        <v>177.71717275462748</v>
      </c>
      <c r="AO178" s="59">
        <f t="shared" si="144"/>
        <v>183.73714278300957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8.1912853434127229</v>
      </c>
      <c r="AV178" s="21">
        <f>EXP(-LN(2)/25)*AV177+(1-EXP(-LN(2)/25))/(LN(2)/25)*Calculateur!AQ178*Calculateur!AS178*VLOOKUP('Données projet'!$B$10,Paramètres!$A$1:$I$89,3,0)*0.475*44/12</f>
        <v>0.249575690193656</v>
      </c>
      <c r="AW178" s="21">
        <f>EXP(-LN(2)/2)*AW177+(1-EXP(-LN(2)/2))/(LN(2)/2)*AQ178*AT178*VLOOKUP('Données projet'!$B$10,Paramètres!$A$1:$I$89,3,0)*0.475*44/12</f>
        <v>5.1489127871571439E-15</v>
      </c>
      <c r="AX178" s="21">
        <f t="shared" si="166"/>
        <v>8.4408610336063834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-1.383341441396624E-13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325.66150195494157</v>
      </c>
      <c r="BJ178" s="59">
        <f t="shared" si="146"/>
        <v>429.07526815514467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11.778135251033799</v>
      </c>
      <c r="BQ178" s="21">
        <f>EXP(-LN(2)/25)*BQ177+(1-EXP(-LN(2)/25))/(LN(2)/25)*Calculateur!BL178*Calculateur!BN178*VLOOKUP('Données projet'!$B$11,Paramètres!$A$1:$I$89,3,0)*0.475*44/12</f>
        <v>0.29055547875319121</v>
      </c>
      <c r="BR178" s="21">
        <f>EXP(-LN(2)/2)*BR177+(1-EXP(-LN(2)/2))/(LN(2)/2)*BL178*BO178*VLOOKUP('Données projet'!$B$11,Paramètres!$A$1:$I$89,3,0)*0.475*44/12</f>
        <v>3.4573253349423595E-18</v>
      </c>
      <c r="BS178" s="22">
        <f t="shared" si="169"/>
        <v>12.06869072978699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7">
        <f t="shared" si="110"/>
        <v>629.79542098973843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319</v>
      </c>
      <c r="O179" s="13">
        <f>N179*VLOOKUP('Données projet'!$B$9,Paramètres!$A$1:$I$89,3,0)*VLOOKUP('Données projet'!$B$9,Paramètres!$A$1:$I$89,5,0)</f>
        <v>253.79640000000001</v>
      </c>
      <c r="P179" s="13">
        <f t="shared" si="141"/>
        <v>61.39816832228076</v>
      </c>
      <c r="Q179" s="20">
        <f t="shared" si="162"/>
        <v>548.96387316130563</v>
      </c>
      <c r="R179" s="59">
        <f t="shared" si="109"/>
        <v>842.29720649463889</v>
      </c>
      <c r="S179" s="59">
        <f ca="1">AVERAGE(OFFSET($R$3,0,0,'Données projet'!$E$9+1,1))-AVERAGE(OFFSET($H$3,0,0,'Données projet'!$E$9+1,1))</f>
        <v>244.71206779102869</v>
      </c>
      <c r="T179" s="59">
        <f t="shared" si="142"/>
        <v>248.77995374147798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5.6352534283676876</v>
      </c>
      <c r="AA179" s="21">
        <f>EXP(-LN(2)/25)*AA178+(1-EXP(-LN(2)/25))/(LN(2)/25)*Calculateur!V179*Calculateur!X179*VLOOKUP('Données projet'!$B$9,Paramètres!$A$1:$I$89,3,0)*0.475*44/12</f>
        <v>0.24090395148221685</v>
      </c>
      <c r="AB179" s="21">
        <f>EXP(-LN(2)/2)*AB178+(1-EXP(-LN(2)/2))/(LN(2)/2)*V179*Y179*VLOOKUP('Données projet'!$B$9,Paramètres!$A$1:$I$89,3,0)*0.475*44/12</f>
        <v>2.1788611358972368E-15</v>
      </c>
      <c r="AC179" s="22">
        <f t="shared" si="163"/>
        <v>5.8761573798499063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290.17948717948696</v>
      </c>
      <c r="AJ179" s="13">
        <f>AI179*VLOOKUP('Données projet'!$B$10,Paramètres!$A$1:$I$89,3,0)*VLOOKUP('Données projet'!$B$10,Paramètres!$A$1:$I$89,5,0)</f>
        <v>194.65239999999986</v>
      </c>
      <c r="AK179" s="13">
        <f t="shared" si="164"/>
        <v>48.567079789480402</v>
      </c>
      <c r="AL179" s="20">
        <f t="shared" si="165"/>
        <v>423.60726063334477</v>
      </c>
      <c r="AM179" s="59">
        <f t="shared" si="113"/>
        <v>716.94059396667808</v>
      </c>
      <c r="AN179" s="59">
        <f ca="1">AVERAGE(OFFSET($AM$3,0,0,'Données projet'!$E$10+1,1))-AVERAGE(OFFSET($H$3,0,0,'Données projet'!$E$10+1,1))</f>
        <v>177.71717275462748</v>
      </c>
      <c r="AO179" s="59">
        <f t="shared" si="144"/>
        <v>183.73714278300957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8.0306592340191258</v>
      </c>
      <c r="AV179" s="21">
        <f>EXP(-LN(2)/25)*AV178+(1-EXP(-LN(2)/25))/(LN(2)/25)*Calculateur!AQ179*Calculateur!AS179*VLOOKUP('Données projet'!$B$10,Paramètres!$A$1:$I$89,3,0)*0.475*44/12</f>
        <v>0.24275102982069535</v>
      </c>
      <c r="AW179" s="21">
        <f>EXP(-LN(2)/2)*AW178+(1-EXP(-LN(2)/2))/(LN(2)/2)*AQ179*AT179*VLOOKUP('Données projet'!$B$10,Paramètres!$A$1:$I$89,3,0)*0.475*44/12</f>
        <v>3.640831147536943E-15</v>
      </c>
      <c r="AX179" s="21">
        <f t="shared" si="166"/>
        <v>8.2734102638398248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-1.383341441396624E-13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325.66150195494157</v>
      </c>
      <c r="BJ179" s="59">
        <f t="shared" si="146"/>
        <v>429.07526815514467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11.547173202714173</v>
      </c>
      <c r="BQ179" s="21">
        <f>EXP(-LN(2)/25)*BQ178+(1-EXP(-LN(2)/25))/(LN(2)/25)*Calculateur!BL179*Calculateur!BN179*VLOOKUP('Données projet'!$B$11,Paramètres!$A$1:$I$89,3,0)*0.475*44/12</f>
        <v>0.28261022390703666</v>
      </c>
      <c r="BR179" s="21">
        <f>EXP(-LN(2)/2)*BR178+(1-EXP(-LN(2)/2))/(LN(2)/2)*BL179*BO179*VLOOKUP('Données projet'!$B$11,Paramètres!$A$1:$I$89,3,0)*0.475*44/12</f>
        <v>2.4446981891057944E-18</v>
      </c>
      <c r="BS179" s="22">
        <f t="shared" si="169"/>
        <v>11.82978342662121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7">
        <f t="shared" si="110"/>
        <v>631.6616047637641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319</v>
      </c>
      <c r="O180" s="13">
        <f>N180*VLOOKUP('Données projet'!$B$9,Paramètres!$A$1:$I$89,3,0)*VLOOKUP('Données projet'!$B$9,Paramètres!$A$1:$I$89,5,0)</f>
        <v>253.79640000000001</v>
      </c>
      <c r="P180" s="13">
        <f t="shared" si="141"/>
        <v>61.39816832228076</v>
      </c>
      <c r="Q180" s="20">
        <f t="shared" si="162"/>
        <v>548.96387316130563</v>
      </c>
      <c r="R180" s="59">
        <f t="shared" si="109"/>
        <v>842.29720649463889</v>
      </c>
      <c r="S180" s="59">
        <f ca="1">AVERAGE(OFFSET($R$3,0,0,'Données projet'!$E$9+1,1))-AVERAGE(OFFSET($H$3,0,0,'Données projet'!$E$9+1,1))</f>
        <v>244.71206779102869</v>
      </c>
      <c r="T180" s="59">
        <f t="shared" si="142"/>
        <v>248.77995374147798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5.5247495458025968</v>
      </c>
      <c r="AA180" s="21">
        <f>EXP(-LN(2)/25)*AA179+(1-EXP(-LN(2)/25))/(LN(2)/25)*Calculateur!V180*Calculateur!X180*VLOOKUP('Données projet'!$B$9,Paramètres!$A$1:$I$89,3,0)*0.475*44/12</f>
        <v>0.23431642026034741</v>
      </c>
      <c r="AB180" s="21">
        <f>EXP(-LN(2)/2)*AB179+(1-EXP(-LN(2)/2))/(LN(2)/2)*V180*Y180*VLOOKUP('Données projet'!$B$9,Paramètres!$A$1:$I$89,3,0)*0.475*44/12</f>
        <v>1.5406874844567599E-15</v>
      </c>
      <c r="AC180" s="22">
        <f t="shared" si="163"/>
        <v>5.7590659660629457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290.17948717948696</v>
      </c>
      <c r="AJ180" s="13">
        <f>AI180*VLOOKUP('Données projet'!$B$10,Paramètres!$A$1:$I$89,3,0)*VLOOKUP('Données projet'!$B$10,Paramètres!$A$1:$I$89,5,0)</f>
        <v>194.65239999999986</v>
      </c>
      <c r="AK180" s="13">
        <f t="shared" si="164"/>
        <v>48.567079789480402</v>
      </c>
      <c r="AL180" s="20">
        <f t="shared" si="165"/>
        <v>423.60726063334477</v>
      </c>
      <c r="AM180" s="59">
        <f t="shared" si="113"/>
        <v>716.94059396667808</v>
      </c>
      <c r="AN180" s="59">
        <f ca="1">AVERAGE(OFFSET($AM$3,0,0,'Données projet'!$E$10+1,1))-AVERAGE(OFFSET($H$3,0,0,'Données projet'!$E$10+1,1))</f>
        <v>177.71717275462748</v>
      </c>
      <c r="AO180" s="59">
        <f t="shared" si="144"/>
        <v>183.73714278300957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7.8731829046584849</v>
      </c>
      <c r="AV180" s="21">
        <f>EXP(-LN(2)/25)*AV179+(1-EXP(-LN(2)/25))/(LN(2)/25)*Calculateur!AQ180*Calculateur!AS180*VLOOKUP('Données projet'!$B$10,Paramètres!$A$1:$I$89,3,0)*0.475*44/12</f>
        <v>0.23611299014452661</v>
      </c>
      <c r="AW180" s="21">
        <f>EXP(-LN(2)/2)*AW179+(1-EXP(-LN(2)/2))/(LN(2)/2)*AQ180*AT180*VLOOKUP('Données projet'!$B$10,Paramètres!$A$1:$I$89,3,0)*0.475*44/12</f>
        <v>2.5744563935785719E-15</v>
      </c>
      <c r="AX180" s="21">
        <f t="shared" si="166"/>
        <v>8.1092958948030134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-1.383341441396624E-13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325.66150195494157</v>
      </c>
      <c r="BJ180" s="59">
        <f t="shared" si="146"/>
        <v>429.07526815514467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11.320740179289155</v>
      </c>
      <c r="BQ180" s="21">
        <f>EXP(-LN(2)/25)*BQ179+(1-EXP(-LN(2)/25))/(LN(2)/25)*Calculateur!BL180*Calculateur!BN180*VLOOKUP('Données projet'!$B$11,Paramètres!$A$1:$I$89,3,0)*0.475*44/12</f>
        <v>0.27488223247247301</v>
      </c>
      <c r="BR180" s="21">
        <f>EXP(-LN(2)/2)*BR179+(1-EXP(-LN(2)/2))/(LN(2)/2)*BL180*BO180*VLOOKUP('Données projet'!$B$11,Paramètres!$A$1:$I$89,3,0)*0.475*44/12</f>
        <v>1.7286626674711799E-18</v>
      </c>
      <c r="BS180" s="22">
        <f t="shared" si="169"/>
        <v>11.595622411761628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7">
        <f t="shared" si="110"/>
        <v>633.52756195078257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319</v>
      </c>
      <c r="O181" s="13">
        <f>N181*VLOOKUP('Données projet'!$B$9,Paramètres!$A$1:$I$89,3,0)*VLOOKUP('Données projet'!$B$9,Paramètres!$A$1:$I$89,5,0)</f>
        <v>253.79640000000001</v>
      </c>
      <c r="P181" s="13">
        <f t="shared" si="141"/>
        <v>61.39816832228076</v>
      </c>
      <c r="Q181" s="20">
        <f t="shared" si="162"/>
        <v>548.96387316130563</v>
      </c>
      <c r="R181" s="59">
        <f t="shared" si="109"/>
        <v>842.29720649463889</v>
      </c>
      <c r="S181" s="59">
        <f ca="1">AVERAGE(OFFSET($R$3,0,0,'Données projet'!$E$9+1,1))-AVERAGE(OFFSET($H$3,0,0,'Données projet'!$E$9+1,1))</f>
        <v>244.71206779102869</v>
      </c>
      <c r="T181" s="59">
        <f t="shared" si="142"/>
        <v>248.77995374147798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5.4164125769738938</v>
      </c>
      <c r="AA181" s="21">
        <f>EXP(-LN(2)/25)*AA180+(1-EXP(-LN(2)/25))/(LN(2)/25)*Calculateur!V181*Calculateur!X181*VLOOKUP('Données projet'!$B$9,Paramètres!$A$1:$I$89,3,0)*0.475*44/12</f>
        <v>0.2279090254261632</v>
      </c>
      <c r="AB181" s="21">
        <f>EXP(-LN(2)/2)*AB180+(1-EXP(-LN(2)/2))/(LN(2)/2)*V181*Y181*VLOOKUP('Données projet'!$B$9,Paramètres!$A$1:$I$89,3,0)*0.475*44/12</f>
        <v>1.0894305679486184E-15</v>
      </c>
      <c r="AC181" s="22">
        <f t="shared" si="163"/>
        <v>5.6443216024000575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290.17948717948696</v>
      </c>
      <c r="AJ181" s="13">
        <f>AI181*VLOOKUP('Données projet'!$B$10,Paramètres!$A$1:$I$89,3,0)*VLOOKUP('Données projet'!$B$10,Paramètres!$A$1:$I$89,5,0)</f>
        <v>194.65239999999986</v>
      </c>
      <c r="AK181" s="13">
        <f t="shared" si="164"/>
        <v>48.567079789480402</v>
      </c>
      <c r="AL181" s="20">
        <f t="shared" si="165"/>
        <v>423.60726063334477</v>
      </c>
      <c r="AM181" s="59">
        <f t="shared" si="113"/>
        <v>716.94059396667808</v>
      </c>
      <c r="AN181" s="59">
        <f ca="1">AVERAGE(OFFSET($AM$3,0,0,'Données projet'!$E$10+1,1))-AVERAGE(OFFSET($H$3,0,0,'Données projet'!$E$10+1,1))</f>
        <v>177.71717275462748</v>
      </c>
      <c r="AO181" s="59">
        <f t="shared" si="144"/>
        <v>183.73714278300957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7.7187945900655288</v>
      </c>
      <c r="AV181" s="21">
        <f>EXP(-LN(2)/25)*AV180+(1-EXP(-LN(2)/25))/(LN(2)/25)*Calculateur!AQ181*Calculateur!AS181*VLOOKUP('Données projet'!$B$10,Paramètres!$A$1:$I$89,3,0)*0.475*44/12</f>
        <v>0.22965646801238201</v>
      </c>
      <c r="AW181" s="21">
        <f>EXP(-LN(2)/2)*AW180+(1-EXP(-LN(2)/2))/(LN(2)/2)*AQ181*AT181*VLOOKUP('Données projet'!$B$10,Paramètres!$A$1:$I$89,3,0)*0.475*44/12</f>
        <v>1.8204155737684715E-15</v>
      </c>
      <c r="AX181" s="21">
        <f t="shared" si="166"/>
        <v>7.9484510580779126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-1.383341441396624E-13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325.66150195494157</v>
      </c>
      <c r="BJ181" s="59">
        <f t="shared" si="146"/>
        <v>429.07526815514467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11.098747369342995</v>
      </c>
      <c r="BQ181" s="21">
        <f>EXP(-LN(2)/25)*BQ180+(1-EXP(-LN(2)/25))/(LN(2)/25)*Calculateur!BL181*Calculateur!BN181*VLOOKUP('Données projet'!$B$11,Paramètres!$A$1:$I$89,3,0)*0.475*44/12</f>
        <v>0.26736556337008488</v>
      </c>
      <c r="BR181" s="21">
        <f>EXP(-LN(2)/2)*BR180+(1-EXP(-LN(2)/2))/(LN(2)/2)*BL181*BO181*VLOOKUP('Données projet'!$B$11,Paramètres!$A$1:$I$89,3,0)*0.475*44/12</f>
        <v>1.2223490945528974E-18</v>
      </c>
      <c r="BS181" s="22">
        <f t="shared" si="169"/>
        <v>11.366112932713079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7">
        <f t="shared" si="110"/>
        <v>635.39329397147765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319</v>
      </c>
      <c r="O182" s="13">
        <f>N182*VLOOKUP('Données projet'!$B$9,Paramètres!$A$1:$I$89,3,0)*VLOOKUP('Données projet'!$B$9,Paramètres!$A$1:$I$89,5,0)</f>
        <v>253.79640000000001</v>
      </c>
      <c r="P182" s="13">
        <f t="shared" si="141"/>
        <v>61.39816832228076</v>
      </c>
      <c r="Q182" s="20">
        <f t="shared" si="162"/>
        <v>548.96387316130563</v>
      </c>
      <c r="R182" s="59">
        <f t="shared" si="109"/>
        <v>842.29720649463889</v>
      </c>
      <c r="S182" s="59">
        <f ca="1">AVERAGE(OFFSET($R$3,0,0,'Données projet'!$E$9+1,1))-AVERAGE(OFFSET($H$3,0,0,'Données projet'!$E$9+1,1))</f>
        <v>244.71206779102869</v>
      </c>
      <c r="T182" s="59">
        <f t="shared" si="142"/>
        <v>248.77995374147798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5.3102000300248955</v>
      </c>
      <c r="AA182" s="21">
        <f>EXP(-LN(2)/25)*AA181+(1-EXP(-LN(2)/25))/(LN(2)/25)*Calculateur!V182*Calculateur!X182*VLOOKUP('Données projet'!$B$9,Paramètres!$A$1:$I$89,3,0)*0.475*44/12</f>
        <v>0.22167684114067002</v>
      </c>
      <c r="AB182" s="21">
        <f>EXP(-LN(2)/2)*AB181+(1-EXP(-LN(2)/2))/(LN(2)/2)*V182*Y182*VLOOKUP('Données projet'!$B$9,Paramètres!$A$1:$I$89,3,0)*0.475*44/12</f>
        <v>7.7034374222837993E-16</v>
      </c>
      <c r="AC182" s="22">
        <f t="shared" si="163"/>
        <v>5.5318768711655668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290.17948717948696</v>
      </c>
      <c r="AJ182" s="13">
        <f>AI182*VLOOKUP('Données projet'!$B$10,Paramètres!$A$1:$I$89,3,0)*VLOOKUP('Données projet'!$B$10,Paramètres!$A$1:$I$89,5,0)</f>
        <v>194.65239999999986</v>
      </c>
      <c r="AK182" s="13">
        <f t="shared" si="164"/>
        <v>48.567079789480402</v>
      </c>
      <c r="AL182" s="20">
        <f t="shared" si="165"/>
        <v>423.60726063334477</v>
      </c>
      <c r="AM182" s="59">
        <f t="shared" si="113"/>
        <v>716.94059396667808</v>
      </c>
      <c r="AN182" s="59">
        <f ca="1">AVERAGE(OFFSET($AM$3,0,0,'Données projet'!$E$10+1,1))-AVERAGE(OFFSET($H$3,0,0,'Données projet'!$E$10+1,1))</f>
        <v>177.71717275462748</v>
      </c>
      <c r="AO182" s="59">
        <f t="shared" si="144"/>
        <v>183.73714278300957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7.5674337361541673</v>
      </c>
      <c r="AV182" s="21">
        <f>EXP(-LN(2)/25)*AV181+(1-EXP(-LN(2)/25))/(LN(2)/25)*Calculateur!AQ182*Calculateur!AS182*VLOOKUP('Données projet'!$B$10,Paramètres!$A$1:$I$89,3,0)*0.475*44/12</f>
        <v>0.22337649981747465</v>
      </c>
      <c r="AW182" s="21">
        <f>EXP(-LN(2)/2)*AW181+(1-EXP(-LN(2)/2))/(LN(2)/2)*AQ182*AT182*VLOOKUP('Données projet'!$B$10,Paramètres!$A$1:$I$89,3,0)*0.475*44/12</f>
        <v>1.287228196789286E-15</v>
      </c>
      <c r="AX182" s="21">
        <f t="shared" si="166"/>
        <v>7.7908102359716427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-1.383341441396624E-13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325.66150195494157</v>
      </c>
      <c r="BJ182" s="59">
        <f t="shared" si="146"/>
        <v>429.07526815514467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10.881107702997635</v>
      </c>
      <c r="BQ182" s="21">
        <f>EXP(-LN(2)/25)*BQ181+(1-EXP(-LN(2)/25))/(LN(2)/25)*Calculateur!BL182*Calculateur!BN182*VLOOKUP('Données projet'!$B$11,Paramètres!$A$1:$I$89,3,0)*0.475*44/12</f>
        <v>0.260054437979586</v>
      </c>
      <c r="BR182" s="21">
        <f>EXP(-LN(2)/2)*BR181+(1-EXP(-LN(2)/2))/(LN(2)/2)*BL182*BO182*VLOOKUP('Données projet'!$B$11,Paramètres!$A$1:$I$89,3,0)*0.475*44/12</f>
        <v>8.6433133373559017E-19</v>
      </c>
      <c r="BS182" s="22">
        <f t="shared" si="169"/>
        <v>11.141162140977221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7">
        <f t="shared" si="110"/>
        <v>637.25880222974092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319</v>
      </c>
      <c r="O183" s="13">
        <f>N183*VLOOKUP('Données projet'!$B$9,Paramètres!$A$1:$I$89,3,0)*VLOOKUP('Données projet'!$B$9,Paramètres!$A$1:$I$89,5,0)</f>
        <v>253.79640000000001</v>
      </c>
      <c r="P183" s="13">
        <f t="shared" si="141"/>
        <v>61.39816832228076</v>
      </c>
      <c r="Q183" s="20">
        <f t="shared" si="162"/>
        <v>548.96387316130563</v>
      </c>
      <c r="R183" s="59">
        <f t="shared" si="109"/>
        <v>842.29720649463889</v>
      </c>
      <c r="S183" s="59">
        <f ca="1">AVERAGE(OFFSET($R$3,0,0,'Données projet'!$E$9+1,1))-AVERAGE(OFFSET($H$3,0,0,'Données projet'!$E$9+1,1))</f>
        <v>244.71206779102869</v>
      </c>
      <c r="T183" s="59">
        <f t="shared" si="142"/>
        <v>248.77995374147798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5.2060702463383102</v>
      </c>
      <c r="AA183" s="21">
        <f>EXP(-LN(2)/25)*AA182+(1-EXP(-LN(2)/25))/(LN(2)/25)*Calculateur!V183*Calculateur!X183*VLOOKUP('Données projet'!$B$9,Paramètres!$A$1:$I$89,3,0)*0.475*44/12</f>
        <v>0.21561507626219997</v>
      </c>
      <c r="AB183" s="21">
        <f>EXP(-LN(2)/2)*AB182+(1-EXP(-LN(2)/2))/(LN(2)/2)*V183*Y183*VLOOKUP('Données projet'!$B$9,Paramètres!$A$1:$I$89,3,0)*0.475*44/12</f>
        <v>5.4471528397430921E-16</v>
      </c>
      <c r="AC183" s="22">
        <f t="shared" si="163"/>
        <v>5.4216853226005108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290.17948717948696</v>
      </c>
      <c r="AJ183" s="13">
        <f>AI183*VLOOKUP('Données projet'!$B$10,Paramètres!$A$1:$I$89,3,0)*VLOOKUP('Données projet'!$B$10,Paramètres!$A$1:$I$89,5,0)</f>
        <v>194.65239999999986</v>
      </c>
      <c r="AK183" s="13">
        <f t="shared" si="164"/>
        <v>48.567079789480402</v>
      </c>
      <c r="AL183" s="20">
        <f t="shared" si="165"/>
        <v>423.60726063334477</v>
      </c>
      <c r="AM183" s="59">
        <f t="shared" si="113"/>
        <v>716.94059396667808</v>
      </c>
      <c r="AN183" s="59">
        <f ca="1">AVERAGE(OFFSET($AM$3,0,0,'Données projet'!$E$10+1,1))-AVERAGE(OFFSET($H$3,0,0,'Données projet'!$E$10+1,1))</f>
        <v>177.71717275462748</v>
      </c>
      <c r="AO183" s="59">
        <f t="shared" si="144"/>
        <v>183.73714278300957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7.4190409762670031</v>
      </c>
      <c r="AV183" s="21">
        <f>EXP(-LN(2)/25)*AV182+(1-EXP(-LN(2)/25))/(LN(2)/25)*Calculateur!AQ183*Calculateur!AS183*VLOOKUP('Données projet'!$B$10,Paramètres!$A$1:$I$89,3,0)*0.475*44/12</f>
        <v>0.2172682576831062</v>
      </c>
      <c r="AW183" s="21">
        <f>EXP(-LN(2)/2)*AW182+(1-EXP(-LN(2)/2))/(LN(2)/2)*AQ183*AT183*VLOOKUP('Données projet'!$B$10,Paramètres!$A$1:$I$89,3,0)*0.475*44/12</f>
        <v>9.1020778688423574E-16</v>
      </c>
      <c r="AX183" s="21">
        <f t="shared" si="166"/>
        <v>7.6363092339501106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-1.383341441396624E-13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325.66150195494157</v>
      </c>
      <c r="BJ183" s="59">
        <f t="shared" si="146"/>
        <v>429.07526815514467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10.667735817762219</v>
      </c>
      <c r="BQ183" s="21">
        <f>EXP(-LN(2)/25)*BQ182+(1-EXP(-LN(2)/25))/(LN(2)/25)*Calculateur!BL183*Calculateur!BN183*VLOOKUP('Données projet'!$B$11,Paramètres!$A$1:$I$89,3,0)*0.475*44/12</f>
        <v>0.25294323569736571</v>
      </c>
      <c r="BR183" s="21">
        <f>EXP(-LN(2)/2)*BR182+(1-EXP(-LN(2)/2))/(LN(2)/2)*BL183*BO183*VLOOKUP('Données projet'!$B$11,Paramètres!$A$1:$I$89,3,0)*0.475*44/12</f>
        <v>6.1117454727644878E-19</v>
      </c>
      <c r="BS183" s="22">
        <f t="shared" si="169"/>
        <v>10.920679053459585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7">
        <f t="shared" si="110"/>
        <v>639.12408811296234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319</v>
      </c>
      <c r="O184" s="13">
        <f>N184*VLOOKUP('Données projet'!$B$9,Paramètres!$A$1:$I$89,3,0)*VLOOKUP('Données projet'!$B$9,Paramètres!$A$1:$I$89,5,0)</f>
        <v>253.79640000000001</v>
      </c>
      <c r="P184" s="13">
        <f t="shared" si="141"/>
        <v>61.39816832228076</v>
      </c>
      <c r="Q184" s="20">
        <f t="shared" si="162"/>
        <v>548.96387316130563</v>
      </c>
      <c r="R184" s="59">
        <f t="shared" si="109"/>
        <v>842.29720649463889</v>
      </c>
      <c r="S184" s="59">
        <f ca="1">AVERAGE(OFFSET($R$3,0,0,'Données projet'!$E$9+1,1))-AVERAGE(OFFSET($H$3,0,0,'Données projet'!$E$9+1,1))</f>
        <v>244.71206779102869</v>
      </c>
      <c r="T184" s="59">
        <f t="shared" si="142"/>
        <v>248.77995374147798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5.1039823841969225</v>
      </c>
      <c r="AA184" s="21">
        <f>EXP(-LN(2)/25)*AA183+(1-EXP(-LN(2)/25))/(LN(2)/25)*Calculateur!V184*Calculateur!X184*VLOOKUP('Données projet'!$B$9,Paramètres!$A$1:$I$89,3,0)*0.475*44/12</f>
        <v>0.20971907066310605</v>
      </c>
      <c r="AB184" s="21">
        <f>EXP(-LN(2)/2)*AB183+(1-EXP(-LN(2)/2))/(LN(2)/2)*V184*Y184*VLOOKUP('Données projet'!$B$9,Paramètres!$A$1:$I$89,3,0)*0.475*44/12</f>
        <v>3.8517187111418997E-16</v>
      </c>
      <c r="AC184" s="22">
        <f t="shared" si="163"/>
        <v>5.3137014548600288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290.17948717948696</v>
      </c>
      <c r="AJ184" s="13">
        <f>AI184*VLOOKUP('Données projet'!$B$10,Paramètres!$A$1:$I$89,3,0)*VLOOKUP('Données projet'!$B$10,Paramètres!$A$1:$I$89,5,0)</f>
        <v>194.65239999999986</v>
      </c>
      <c r="AK184" s="13">
        <f t="shared" si="164"/>
        <v>48.567079789480402</v>
      </c>
      <c r="AL184" s="20">
        <f t="shared" si="165"/>
        <v>423.60726063334477</v>
      </c>
      <c r="AM184" s="59">
        <f t="shared" si="113"/>
        <v>716.94059396667808</v>
      </c>
      <c r="AN184" s="59">
        <f ca="1">AVERAGE(OFFSET($AM$3,0,0,'Données projet'!$E$10+1,1))-AVERAGE(OFFSET($H$3,0,0,'Données projet'!$E$10+1,1))</f>
        <v>177.71717275462748</v>
      </c>
      <c r="AO184" s="59">
        <f t="shared" si="144"/>
        <v>183.73714278300957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7.2735581078905795</v>
      </c>
      <c r="AV184" s="21">
        <f>EXP(-LN(2)/25)*AV183+(1-EXP(-LN(2)/25))/(LN(2)/25)*Calculateur!AQ184*Calculateur!AS184*VLOOKUP('Données projet'!$B$10,Paramètres!$A$1:$I$89,3,0)*0.475*44/12</f>
        <v>0.21132704575112057</v>
      </c>
      <c r="AW184" s="21">
        <f>EXP(-LN(2)/2)*AW183+(1-EXP(-LN(2)/2))/(LN(2)/2)*AQ184*AT184*VLOOKUP('Données projet'!$B$10,Paramètres!$A$1:$I$89,3,0)*0.475*44/12</f>
        <v>6.4361409839464298E-16</v>
      </c>
      <c r="AX184" s="21">
        <f t="shared" si="166"/>
        <v>7.4848851536417014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-1.383341441396624E-13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325.66150195494157</v>
      </c>
      <c r="BJ184" s="59">
        <f t="shared" si="146"/>
        <v>429.07526815514467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10.45854802505227</v>
      </c>
      <c r="BQ184" s="21">
        <f>EXP(-LN(2)/25)*BQ183+(1-EXP(-LN(2)/25))/(LN(2)/25)*Calculateur!BL184*Calculateur!BN184*VLOOKUP('Données projet'!$B$11,Paramètres!$A$1:$I$89,3,0)*0.475*44/12</f>
        <v>0.2460264896155146</v>
      </c>
      <c r="BR184" s="21">
        <f>EXP(-LN(2)/2)*BR183+(1-EXP(-LN(2)/2))/(LN(2)/2)*BL184*BO184*VLOOKUP('Données projet'!$B$11,Paramètres!$A$1:$I$89,3,0)*0.475*44/12</f>
        <v>4.3216566686779513E-19</v>
      </c>
      <c r="BS184" s="22">
        <f t="shared" si="169"/>
        <v>10.704574514667785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7">
        <f t="shared" si="110"/>
        <v>640.9891529923143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319</v>
      </c>
      <c r="O185" s="13">
        <f>N185*VLOOKUP('Données projet'!$B$9,Paramètres!$A$1:$I$89,3,0)*VLOOKUP('Données projet'!$B$9,Paramètres!$A$1:$I$89,5,0)</f>
        <v>253.79640000000001</v>
      </c>
      <c r="P185" s="13">
        <f t="shared" si="141"/>
        <v>61.39816832228076</v>
      </c>
      <c r="Q185" s="20">
        <f t="shared" si="162"/>
        <v>548.96387316130563</v>
      </c>
      <c r="R185" s="59">
        <f t="shared" si="109"/>
        <v>842.29720649463889</v>
      </c>
      <c r="S185" s="59">
        <f ca="1">AVERAGE(OFFSET($R$3,0,0,'Données projet'!$E$9+1,1))-AVERAGE(OFFSET($H$3,0,0,'Données projet'!$E$9+1,1))</f>
        <v>244.71206779102869</v>
      </c>
      <c r="T185" s="59">
        <f t="shared" si="142"/>
        <v>248.77995374147798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5.0038964027646804</v>
      </c>
      <c r="AA185" s="21">
        <f>EXP(-LN(2)/25)*AA184+(1-EXP(-LN(2)/25))/(LN(2)/25)*Calculateur!V185*Calculateur!X185*VLOOKUP('Données projet'!$B$9,Paramètres!$A$1:$I$89,3,0)*0.475*44/12</f>
        <v>0.2039842916471768</v>
      </c>
      <c r="AB185" s="21">
        <f>EXP(-LN(2)/2)*AB184+(1-EXP(-LN(2)/2))/(LN(2)/2)*V185*Y185*VLOOKUP('Données projet'!$B$9,Paramètres!$A$1:$I$89,3,0)*0.475*44/12</f>
        <v>2.7235764198715461E-16</v>
      </c>
      <c r="AC185" s="22">
        <f t="shared" si="163"/>
        <v>5.2078806944118572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290.17948717948696</v>
      </c>
      <c r="AJ185" s="13">
        <f>AI185*VLOOKUP('Données projet'!$B$10,Paramètres!$A$1:$I$89,3,0)*VLOOKUP('Données projet'!$B$10,Paramètres!$A$1:$I$89,5,0)</f>
        <v>194.65239999999986</v>
      </c>
      <c r="AK185" s="13">
        <f t="shared" si="164"/>
        <v>48.567079789480402</v>
      </c>
      <c r="AL185" s="20">
        <f t="shared" si="165"/>
        <v>423.60726063334477</v>
      </c>
      <c r="AM185" s="59">
        <f t="shared" si="113"/>
        <v>716.94059396667808</v>
      </c>
      <c r="AN185" s="59">
        <f ca="1">AVERAGE(OFFSET($AM$3,0,0,'Données projet'!$E$10+1,1))-AVERAGE(OFFSET($H$3,0,0,'Données projet'!$E$10+1,1))</f>
        <v>177.71717275462748</v>
      </c>
      <c r="AO185" s="59">
        <f t="shared" si="144"/>
        <v>183.73714278300957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7.1309280698272302</v>
      </c>
      <c r="AV185" s="21">
        <f>EXP(-LN(2)/25)*AV184+(1-EXP(-LN(2)/25))/(LN(2)/25)*Calculateur!AQ185*Calculateur!AS185*VLOOKUP('Données projet'!$B$10,Paramètres!$A$1:$I$89,3,0)*0.475*44/12</f>
        <v>0.20554829657184984</v>
      </c>
      <c r="AW185" s="21">
        <f>EXP(-LN(2)/2)*AW184+(1-EXP(-LN(2)/2))/(LN(2)/2)*AQ185*AT185*VLOOKUP('Données projet'!$B$10,Paramètres!$A$1:$I$89,3,0)*0.475*44/12</f>
        <v>4.5510389344211787E-16</v>
      </c>
      <c r="AX185" s="21">
        <f t="shared" si="166"/>
        <v>7.3364763663990811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-1.383341441396624E-13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325.66150195494157</v>
      </c>
      <c r="BJ185" s="59">
        <f t="shared" si="146"/>
        <v>429.07526815514467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10.253462277365408</v>
      </c>
      <c r="BQ185" s="21">
        <f>EXP(-LN(2)/25)*BQ184+(1-EXP(-LN(2)/25))/(LN(2)/25)*Calculateur!BL185*Calculateur!BN185*VLOOKUP('Données projet'!$B$11,Paramètres!$A$1:$I$89,3,0)*0.475*44/12</f>
        <v>0.23929888231900756</v>
      </c>
      <c r="BR185" s="21">
        <f>EXP(-LN(2)/2)*BR184+(1-EXP(-LN(2)/2))/(LN(2)/2)*BL185*BO185*VLOOKUP('Données projet'!$B$11,Paramètres!$A$1:$I$89,3,0)*0.475*44/12</f>
        <v>3.0558727363822444E-19</v>
      </c>
      <c r="BS185" s="22">
        <f t="shared" si="169"/>
        <v>10.492761159684415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7">
        <f t="shared" si="110"/>
        <v>642.85399822302975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319</v>
      </c>
      <c r="O186" s="13">
        <f>N186*VLOOKUP('Données projet'!$B$9,Paramètres!$A$1:$I$89,3,0)*VLOOKUP('Données projet'!$B$9,Paramètres!$A$1:$I$89,5,0)</f>
        <v>253.79640000000001</v>
      </c>
      <c r="P186" s="13">
        <f t="shared" si="141"/>
        <v>61.39816832228076</v>
      </c>
      <c r="Q186" s="20">
        <f t="shared" si="162"/>
        <v>548.96387316130563</v>
      </c>
      <c r="R186" s="59">
        <f t="shared" si="109"/>
        <v>842.29720649463889</v>
      </c>
      <c r="S186" s="59">
        <f ca="1">AVERAGE(OFFSET($R$3,0,0,'Données projet'!$E$9+1,1))-AVERAGE(OFFSET($H$3,0,0,'Données projet'!$E$9+1,1))</f>
        <v>244.71206779102869</v>
      </c>
      <c r="T186" s="59">
        <f t="shared" si="142"/>
        <v>248.77995374147798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4.9057730463819036</v>
      </c>
      <c r="AA186" s="21">
        <f>EXP(-LN(2)/25)*AA185+(1-EXP(-LN(2)/25))/(LN(2)/25)*Calculateur!V186*Calculateur!X186*VLOOKUP('Données projet'!$B$9,Paramètres!$A$1:$I$89,3,0)*0.475*44/12</f>
        <v>0.19840633046501707</v>
      </c>
      <c r="AB186" s="21">
        <f>EXP(-LN(2)/2)*AB185+(1-EXP(-LN(2)/2))/(LN(2)/2)*V186*Y186*VLOOKUP('Données projet'!$B$9,Paramètres!$A$1:$I$89,3,0)*0.475*44/12</f>
        <v>1.9258593555709498E-16</v>
      </c>
      <c r="AC186" s="22">
        <f t="shared" si="163"/>
        <v>5.104179376846921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290.17948717948696</v>
      </c>
      <c r="AJ186" s="13">
        <f>AI186*VLOOKUP('Données projet'!$B$10,Paramètres!$A$1:$I$89,3,0)*VLOOKUP('Données projet'!$B$10,Paramètres!$A$1:$I$89,5,0)</f>
        <v>194.65239999999986</v>
      </c>
      <c r="AK186" s="13">
        <f t="shared" si="164"/>
        <v>48.567079789480402</v>
      </c>
      <c r="AL186" s="20">
        <f t="shared" si="165"/>
        <v>423.60726063334477</v>
      </c>
      <c r="AM186" s="59">
        <f t="shared" si="113"/>
        <v>716.94059396667808</v>
      </c>
      <c r="AN186" s="59">
        <f ca="1">AVERAGE(OFFSET($AM$3,0,0,'Données projet'!$E$10+1,1))-AVERAGE(OFFSET($H$3,0,0,'Données projet'!$E$10+1,1))</f>
        <v>177.71717275462748</v>
      </c>
      <c r="AO186" s="59">
        <f t="shared" si="144"/>
        <v>183.73714278300957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6.9910949198145698</v>
      </c>
      <c r="AV186" s="21">
        <f>EXP(-LN(2)/25)*AV185+(1-EXP(-LN(2)/25))/(LN(2)/25)*Calculateur!AQ186*Calculateur!AS186*VLOOKUP('Données projet'!$B$10,Paramètres!$A$1:$I$89,3,0)*0.475*44/12</f>
        <v>0.19992756759277747</v>
      </c>
      <c r="AW186" s="21">
        <f>EXP(-LN(2)/2)*AW185+(1-EXP(-LN(2)/2))/(LN(2)/2)*AQ186*AT186*VLOOKUP('Données projet'!$B$10,Paramètres!$A$1:$I$89,3,0)*0.475*44/12</f>
        <v>3.2180704919732149E-16</v>
      </c>
      <c r="AX186" s="21">
        <f t="shared" si="166"/>
        <v>7.1910224874073476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-1.383341441396624E-13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325.66150195494157</v>
      </c>
      <c r="BJ186" s="59">
        <f t="shared" si="146"/>
        <v>429.07526815514467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10.052398136100731</v>
      </c>
      <c r="BQ186" s="21">
        <f>EXP(-LN(2)/25)*BQ185+(1-EXP(-LN(2)/25))/(LN(2)/25)*Calculateur!BL186*Calculateur!BN186*VLOOKUP('Données projet'!$B$11,Paramètres!$A$1:$I$89,3,0)*0.475*44/12</f>
        <v>0.23275524179781301</v>
      </c>
      <c r="BR186" s="21">
        <f>EXP(-LN(2)/2)*BR185+(1-EXP(-LN(2)/2))/(LN(2)/2)*BL186*BO186*VLOOKUP('Données projet'!$B$11,Paramètres!$A$1:$I$89,3,0)*0.475*44/12</f>
        <v>2.1608283343389761E-19</v>
      </c>
      <c r="BS186" s="22">
        <f t="shared" si="169"/>
        <v>10.285153377898544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7">
        <f t="shared" si="110"/>
        <v>644.71862514467216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319</v>
      </c>
      <c r="O187" s="13">
        <f>N187*VLOOKUP('Données projet'!$B$9,Paramètres!$A$1:$I$89,3,0)*VLOOKUP('Données projet'!$B$9,Paramètres!$A$1:$I$89,5,0)</f>
        <v>253.79640000000001</v>
      </c>
      <c r="P187" s="13">
        <f t="shared" si="141"/>
        <v>61.39816832228076</v>
      </c>
      <c r="Q187" s="20">
        <f t="shared" si="162"/>
        <v>548.96387316130563</v>
      </c>
      <c r="R187" s="59">
        <f t="shared" si="109"/>
        <v>842.29720649463889</v>
      </c>
      <c r="S187" s="59">
        <f ca="1">AVERAGE(OFFSET($R$3,0,0,'Données projet'!$E$9+1,1))-AVERAGE(OFFSET($H$3,0,0,'Données projet'!$E$9+1,1))</f>
        <v>244.71206779102869</v>
      </c>
      <c r="T187" s="59">
        <f t="shared" si="142"/>
        <v>248.77995374147798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4.8095738291684551</v>
      </c>
      <c r="AA187" s="21">
        <f>EXP(-LN(2)/25)*AA186+(1-EXP(-LN(2)/25))/(LN(2)/25)*Calculateur!V187*Calculateur!X187*VLOOKUP('Données projet'!$B$9,Paramètres!$A$1:$I$89,3,0)*0.475*44/12</f>
        <v>0.19298089892471573</v>
      </c>
      <c r="AB187" s="21">
        <f>EXP(-LN(2)/2)*AB186+(1-EXP(-LN(2)/2))/(LN(2)/2)*V187*Y187*VLOOKUP('Données projet'!$B$9,Paramètres!$A$1:$I$89,3,0)*0.475*44/12</f>
        <v>1.361788209935773E-16</v>
      </c>
      <c r="AC187" s="22">
        <f t="shared" si="163"/>
        <v>5.0025547280931706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290.17948717948696</v>
      </c>
      <c r="AJ187" s="13">
        <f>AI187*VLOOKUP('Données projet'!$B$10,Paramètres!$A$1:$I$89,3,0)*VLOOKUP('Données projet'!$B$10,Paramètres!$A$1:$I$89,5,0)</f>
        <v>194.65239999999986</v>
      </c>
      <c r="AK187" s="13">
        <f t="shared" si="164"/>
        <v>48.567079789480402</v>
      </c>
      <c r="AL187" s="20">
        <f t="shared" si="165"/>
        <v>423.60726063334477</v>
      </c>
      <c r="AM187" s="59">
        <f t="shared" si="113"/>
        <v>716.94059396667808</v>
      </c>
      <c r="AN187" s="59">
        <f ca="1">AVERAGE(OFFSET($AM$3,0,0,'Données projet'!$E$10+1,1))-AVERAGE(OFFSET($H$3,0,0,'Données projet'!$E$10+1,1))</f>
        <v>177.71717275462748</v>
      </c>
      <c r="AO187" s="59">
        <f t="shared" si="144"/>
        <v>183.73714278300957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6.8540038125838576</v>
      </c>
      <c r="AV187" s="21">
        <f>EXP(-LN(2)/25)*AV186+(1-EXP(-LN(2)/25))/(LN(2)/25)*Calculateur!AQ187*Calculateur!AS187*VLOOKUP('Données projet'!$B$10,Paramètres!$A$1:$I$89,3,0)*0.475*44/12</f>
        <v>0.19446053774321911</v>
      </c>
      <c r="AW187" s="21">
        <f>EXP(-LN(2)/2)*AW186+(1-EXP(-LN(2)/2))/(LN(2)/2)*AQ187*AT187*VLOOKUP('Données projet'!$B$10,Paramètres!$A$1:$I$89,3,0)*0.475*44/12</f>
        <v>2.2755194672105894E-16</v>
      </c>
      <c r="AX187" s="21">
        <f t="shared" si="166"/>
        <v>7.0484643503270767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-1.383341441396624E-13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325.66150195494157</v>
      </c>
      <c r="BJ187" s="59">
        <f t="shared" si="146"/>
        <v>429.07526815514467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9.8552767400092378</v>
      </c>
      <c r="BQ187" s="21">
        <f>EXP(-LN(2)/25)*BQ186+(1-EXP(-LN(2)/25))/(LN(2)/25)*Calculateur!BL187*Calculateur!BN187*VLOOKUP('Données projet'!$B$11,Paramètres!$A$1:$I$89,3,0)*0.475*44/12</f>
        <v>0.22639053747078561</v>
      </c>
      <c r="BR187" s="21">
        <f>EXP(-LN(2)/2)*BR186+(1-EXP(-LN(2)/2))/(LN(2)/2)*BL187*BO187*VLOOKUP('Données projet'!$B$11,Paramètres!$A$1:$I$89,3,0)*0.475*44/12</f>
        <v>1.5279363681911224E-19</v>
      </c>
      <c r="BS187" s="22">
        <f t="shared" si="169"/>
        <v>10.081667277480024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7">
        <f t="shared" si="110"/>
        <v>646.58303508140284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319</v>
      </c>
      <c r="O188" s="13">
        <f>N188*VLOOKUP('Données projet'!$B$9,Paramètres!$A$1:$I$89,3,0)*VLOOKUP('Données projet'!$B$9,Paramètres!$A$1:$I$89,5,0)</f>
        <v>253.79640000000001</v>
      </c>
      <c r="P188" s="13">
        <f t="shared" si="141"/>
        <v>61.39816832228076</v>
      </c>
      <c r="Q188" s="20">
        <f t="shared" si="162"/>
        <v>548.96387316130563</v>
      </c>
      <c r="R188" s="59">
        <f t="shared" si="109"/>
        <v>842.29720649463889</v>
      </c>
      <c r="S188" s="59">
        <f ca="1">AVERAGE(OFFSET($R$3,0,0,'Données projet'!$E$9+1,1))-AVERAGE(OFFSET($H$3,0,0,'Données projet'!$E$9+1,1))</f>
        <v>244.71206779102869</v>
      </c>
      <c r="T188" s="59">
        <f t="shared" si="142"/>
        <v>248.77995374147798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4.7152610199288336</v>
      </c>
      <c r="AA188" s="21">
        <f>EXP(-LN(2)/25)*AA187+(1-EXP(-LN(2)/25))/(LN(2)/25)*Calculateur!V188*Calculateur!X188*VLOOKUP('Données projet'!$B$9,Paramètres!$A$1:$I$89,3,0)*0.475*44/12</f>
        <v>0.18770382609519498</v>
      </c>
      <c r="AB188" s="21">
        <f>EXP(-LN(2)/2)*AB187+(1-EXP(-LN(2)/2))/(LN(2)/2)*V188*Y188*VLOOKUP('Données projet'!$B$9,Paramètres!$A$1:$I$89,3,0)*0.475*44/12</f>
        <v>9.6292967778547492E-17</v>
      </c>
      <c r="AC188" s="22">
        <f t="shared" si="163"/>
        <v>4.9029648460240285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290.17948717948696</v>
      </c>
      <c r="AJ188" s="13">
        <f>AI188*VLOOKUP('Données projet'!$B$10,Paramètres!$A$1:$I$89,3,0)*VLOOKUP('Données projet'!$B$10,Paramètres!$A$1:$I$89,5,0)</f>
        <v>194.65239999999986</v>
      </c>
      <c r="AK188" s="13">
        <f t="shared" si="164"/>
        <v>48.567079789480402</v>
      </c>
      <c r="AL188" s="20">
        <f t="shared" si="165"/>
        <v>423.60726063334477</v>
      </c>
      <c r="AM188" s="59">
        <f t="shared" si="113"/>
        <v>716.94059396667808</v>
      </c>
      <c r="AN188" s="59">
        <f ca="1">AVERAGE(OFFSET($AM$3,0,0,'Données projet'!$E$10+1,1))-AVERAGE(OFFSET($H$3,0,0,'Données projet'!$E$10+1,1))</f>
        <v>177.71717275462748</v>
      </c>
      <c r="AO188" s="59">
        <f t="shared" si="144"/>
        <v>183.73714278300957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6.7196009783486206</v>
      </c>
      <c r="AV188" s="21">
        <f>EXP(-LN(2)/25)*AV187+(1-EXP(-LN(2)/25))/(LN(2)/25)*Calculateur!AQ188*Calculateur!AS188*VLOOKUP('Données projet'!$B$10,Paramètres!$A$1:$I$89,3,0)*0.475*44/12</f>
        <v>0.18914300411239554</v>
      </c>
      <c r="AW188" s="21">
        <f>EXP(-LN(2)/2)*AW187+(1-EXP(-LN(2)/2))/(LN(2)/2)*AQ188*AT188*VLOOKUP('Données projet'!$B$10,Paramètres!$A$1:$I$89,3,0)*0.475*44/12</f>
        <v>1.6090352459866075E-16</v>
      </c>
      <c r="AX188" s="21">
        <f t="shared" si="166"/>
        <v>6.908743982461016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-1.383341441396624E-13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325.66150195494157</v>
      </c>
      <c r="BJ188" s="59">
        <f t="shared" si="146"/>
        <v>429.07526815514467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9.6620207742629187</v>
      </c>
      <c r="BQ188" s="21">
        <f>EXP(-LN(2)/25)*BQ187+(1-EXP(-LN(2)/25))/(LN(2)/25)*Calculateur!BL188*Calculateur!BN188*VLOOKUP('Données projet'!$B$11,Paramètres!$A$1:$I$89,3,0)*0.475*44/12</f>
        <v>0.22019987631828603</v>
      </c>
      <c r="BR188" s="21">
        <f>EXP(-LN(2)/2)*BR187+(1-EXP(-LN(2)/2))/(LN(2)/2)*BL188*BO188*VLOOKUP('Données projet'!$B$11,Paramètres!$A$1:$I$89,3,0)*0.475*44/12</f>
        <v>1.0804141671694882E-19</v>
      </c>
      <c r="BS188" s="22">
        <f t="shared" si="169"/>
        <v>9.8822206505812051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7">
        <f t="shared" si="110"/>
        <v>648.44722934223819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319</v>
      </c>
      <c r="O189" s="13">
        <f>N189*VLOOKUP('Données projet'!$B$9,Paramètres!$A$1:$I$89,3,0)*VLOOKUP('Données projet'!$B$9,Paramètres!$A$1:$I$89,5,0)</f>
        <v>253.79640000000001</v>
      </c>
      <c r="P189" s="13">
        <f t="shared" si="141"/>
        <v>61.39816832228076</v>
      </c>
      <c r="Q189" s="20">
        <f t="shared" si="162"/>
        <v>548.96387316130563</v>
      </c>
      <c r="R189" s="59">
        <f t="shared" si="109"/>
        <v>842.29720649463889</v>
      </c>
      <c r="S189" s="59">
        <f ca="1">AVERAGE(OFFSET($R$3,0,0,'Données projet'!$E$9+1,1))-AVERAGE(OFFSET($H$3,0,0,'Données projet'!$E$9+1,1))</f>
        <v>244.71206779102869</v>
      </c>
      <c r="T189" s="59">
        <f t="shared" si="142"/>
        <v>248.77995374147798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4.6227976273532674</v>
      </c>
      <c r="AA189" s="21">
        <f>EXP(-LN(2)/25)*AA188+(1-EXP(-LN(2)/25))/(LN(2)/25)*Calculateur!V189*Calculateur!X189*VLOOKUP('Données projet'!$B$9,Paramètres!$A$1:$I$89,3,0)*0.475*44/12</f>
        <v>0.18257105509970667</v>
      </c>
      <c r="AB189" s="21">
        <f>EXP(-LN(2)/2)*AB188+(1-EXP(-LN(2)/2))/(LN(2)/2)*V189*Y189*VLOOKUP('Données projet'!$B$9,Paramètres!$A$1:$I$89,3,0)*0.475*44/12</f>
        <v>6.8089410496788651E-17</v>
      </c>
      <c r="AC189" s="22">
        <f t="shared" si="163"/>
        <v>4.8053686824529738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290.17948717948696</v>
      </c>
      <c r="AJ189" s="13">
        <f>AI189*VLOOKUP('Données projet'!$B$10,Paramètres!$A$1:$I$89,3,0)*VLOOKUP('Données projet'!$B$10,Paramètres!$A$1:$I$89,5,0)</f>
        <v>194.65239999999986</v>
      </c>
      <c r="AK189" s="13">
        <f t="shared" si="164"/>
        <v>48.567079789480402</v>
      </c>
      <c r="AL189" s="20">
        <f t="shared" si="165"/>
        <v>423.60726063334477</v>
      </c>
      <c r="AM189" s="59">
        <f t="shared" si="113"/>
        <v>716.94059396667808</v>
      </c>
      <c r="AN189" s="59">
        <f ca="1">AVERAGE(OFFSET($AM$3,0,0,'Données projet'!$E$10+1,1))-AVERAGE(OFFSET($H$3,0,0,'Données projet'!$E$10+1,1))</f>
        <v>177.71717275462748</v>
      </c>
      <c r="AO189" s="59">
        <f t="shared" si="144"/>
        <v>183.73714278300957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6.5878337017151027</v>
      </c>
      <c r="AV189" s="21">
        <f>EXP(-LN(2)/25)*AV188+(1-EXP(-LN(2)/25))/(LN(2)/25)*Calculateur!AQ189*Calculateur!AS189*VLOOKUP('Données projet'!$B$10,Paramètres!$A$1:$I$89,3,0)*0.475*44/12</f>
        <v>0.18397087871834378</v>
      </c>
      <c r="AW189" s="21">
        <f>EXP(-LN(2)/2)*AW188+(1-EXP(-LN(2)/2))/(LN(2)/2)*AQ189*AT189*VLOOKUP('Données projet'!$B$10,Paramètres!$A$1:$I$89,3,0)*0.475*44/12</f>
        <v>1.1377597336052947E-16</v>
      </c>
      <c r="AX189" s="21">
        <f t="shared" si="166"/>
        <v>6.7718045804334466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-1.383341441396624E-13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325.66150195494157</v>
      </c>
      <c r="BJ189" s="59">
        <f t="shared" si="146"/>
        <v>429.07526815514467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9.4725544401303843</v>
      </c>
      <c r="BQ189" s="21">
        <f>EXP(-LN(2)/25)*BQ188+(1-EXP(-LN(2)/25))/(LN(2)/25)*Calculateur!BL189*Calculateur!BN189*VLOOKUP('Données projet'!$B$11,Paramètres!$A$1:$I$89,3,0)*0.475*44/12</f>
        <v>0.21417849912055428</v>
      </c>
      <c r="BR189" s="21">
        <f>EXP(-LN(2)/2)*BR188+(1-EXP(-LN(2)/2))/(LN(2)/2)*BL189*BO189*VLOOKUP('Données projet'!$B$11,Paramètres!$A$1:$I$89,3,0)*0.475*44/12</f>
        <v>7.6396818409556134E-20</v>
      </c>
      <c r="BS189" s="22">
        <f t="shared" si="169"/>
        <v>9.6867329392509394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7">
        <f t="shared" si="110"/>
        <v>650.31120922130515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319</v>
      </c>
      <c r="O190" s="13">
        <f>N190*VLOOKUP('Données projet'!$B$9,Paramètres!$A$1:$I$89,3,0)*VLOOKUP('Données projet'!$B$9,Paramètres!$A$1:$I$89,5,0)</f>
        <v>253.79640000000001</v>
      </c>
      <c r="P190" s="13">
        <f t="shared" si="141"/>
        <v>61.39816832228076</v>
      </c>
      <c r="Q190" s="20">
        <f t="shared" si="162"/>
        <v>548.96387316130563</v>
      </c>
      <c r="R190" s="59">
        <f t="shared" si="109"/>
        <v>842.29720649463889</v>
      </c>
      <c r="S190" s="59">
        <f ca="1">AVERAGE(OFFSET($R$3,0,0,'Données projet'!$E$9+1,1))-AVERAGE(OFFSET($H$3,0,0,'Données projet'!$E$9+1,1))</f>
        <v>244.71206779102869</v>
      </c>
      <c r="T190" s="59">
        <f t="shared" si="142"/>
        <v>248.77995374147798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4.5321473855090071</v>
      </c>
      <c r="AA190" s="21">
        <f>EXP(-LN(2)/25)*AA189+(1-EXP(-LN(2)/25))/(LN(2)/25)*Calculateur!V190*Calculateur!X190*VLOOKUP('Données projet'!$B$9,Paramètres!$A$1:$I$89,3,0)*0.475*44/12</f>
        <v>0.17757863999701068</v>
      </c>
      <c r="AB190" s="21">
        <f>EXP(-LN(2)/2)*AB189+(1-EXP(-LN(2)/2))/(LN(2)/2)*V190*Y190*VLOOKUP('Données projet'!$B$9,Paramètres!$A$1:$I$89,3,0)*0.475*44/12</f>
        <v>4.8146483889273746E-17</v>
      </c>
      <c r="AC190" s="22">
        <f t="shared" si="163"/>
        <v>4.7097260255060176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290.17948717948696</v>
      </c>
      <c r="AJ190" s="13">
        <f>AI190*VLOOKUP('Données projet'!$B$10,Paramètres!$A$1:$I$89,3,0)*VLOOKUP('Données projet'!$B$10,Paramètres!$A$1:$I$89,5,0)</f>
        <v>194.65239999999986</v>
      </c>
      <c r="AK190" s="13">
        <f t="shared" si="164"/>
        <v>48.567079789480402</v>
      </c>
      <c r="AL190" s="20">
        <f t="shared" si="165"/>
        <v>423.60726063334477</v>
      </c>
      <c r="AM190" s="59">
        <f t="shared" si="113"/>
        <v>716.94059396667808</v>
      </c>
      <c r="AN190" s="59">
        <f ca="1">AVERAGE(OFFSET($AM$3,0,0,'Données projet'!$E$10+1,1))-AVERAGE(OFFSET($H$3,0,0,'Données projet'!$E$10+1,1))</f>
        <v>177.71717275462748</v>
      </c>
      <c r="AO190" s="59">
        <f t="shared" si="144"/>
        <v>183.73714278300957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6.4586503010062648</v>
      </c>
      <c r="AV190" s="21">
        <f>EXP(-LN(2)/25)*AV189+(1-EXP(-LN(2)/25))/(LN(2)/25)*Calculateur!AQ190*Calculateur!AS190*VLOOKUP('Données projet'!$B$10,Paramètres!$A$1:$I$89,3,0)*0.475*44/12</f>
        <v>0.17894018536518264</v>
      </c>
      <c r="AW190" s="21">
        <f>EXP(-LN(2)/2)*AW189+(1-EXP(-LN(2)/2))/(LN(2)/2)*AQ190*AT190*VLOOKUP('Données projet'!$B$10,Paramètres!$A$1:$I$89,3,0)*0.475*44/12</f>
        <v>8.0451762299330373E-17</v>
      </c>
      <c r="AX190" s="21">
        <f t="shared" si="166"/>
        <v>6.6375904863714474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-1.383341441396624E-13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325.66150195494157</v>
      </c>
      <c r="BJ190" s="59">
        <f t="shared" si="146"/>
        <v>429.07526815514467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9.2868034252471361</v>
      </c>
      <c r="BQ190" s="21">
        <f>EXP(-LN(2)/25)*BQ189+(1-EXP(-LN(2)/25))/(LN(2)/25)*Calculateur!BL190*Calculateur!BN190*VLOOKUP('Données projet'!$B$11,Paramètres!$A$1:$I$89,3,0)*0.475*44/12</f>
        <v>0.20832177679894498</v>
      </c>
      <c r="BR190" s="21">
        <f>EXP(-LN(2)/2)*BR189+(1-EXP(-LN(2)/2))/(LN(2)/2)*BL190*BO190*VLOOKUP('Données projet'!$B$11,Paramètres!$A$1:$I$89,3,0)*0.475*44/12</f>
        <v>5.4020708358474415E-20</v>
      </c>
      <c r="BS190" s="22">
        <f t="shared" si="169"/>
        <v>9.495125202046081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7">
        <f t="shared" si="110"/>
        <v>652.17497599808837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319</v>
      </c>
      <c r="O191" s="13">
        <f>N191*VLOOKUP('Données projet'!$B$9,Paramètres!$A$1:$I$89,3,0)*VLOOKUP('Données projet'!$B$9,Paramètres!$A$1:$I$89,5,0)</f>
        <v>253.79640000000001</v>
      </c>
      <c r="P191" s="13">
        <f t="shared" si="141"/>
        <v>61.39816832228076</v>
      </c>
      <c r="Q191" s="20">
        <f t="shared" si="162"/>
        <v>548.96387316130563</v>
      </c>
      <c r="R191" s="59">
        <f t="shared" si="109"/>
        <v>842.29720649463889</v>
      </c>
      <c r="S191" s="59">
        <f ca="1">AVERAGE(OFFSET($R$3,0,0,'Données projet'!$E$9+1,1))-AVERAGE(OFFSET($H$3,0,0,'Données projet'!$E$9+1,1))</f>
        <v>244.71206779102869</v>
      </c>
      <c r="T191" s="59">
        <f t="shared" si="142"/>
        <v>248.77995374147798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4.4432747396161254</v>
      </c>
      <c r="AA191" s="21">
        <f>EXP(-LN(2)/25)*AA190+(1-EXP(-LN(2)/25))/(LN(2)/25)*Calculateur!V191*Calculateur!X191*VLOOKUP('Données projet'!$B$9,Paramètres!$A$1:$I$89,3,0)*0.475*44/12</f>
        <v>0.17272274274783761</v>
      </c>
      <c r="AB191" s="21">
        <f>EXP(-LN(2)/2)*AB190+(1-EXP(-LN(2)/2))/(LN(2)/2)*V191*Y191*VLOOKUP('Données projet'!$B$9,Paramètres!$A$1:$I$89,3,0)*0.475*44/12</f>
        <v>3.4044705248394326E-17</v>
      </c>
      <c r="AC191" s="22">
        <f t="shared" si="163"/>
        <v>4.6159974823639631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290.17948717948696</v>
      </c>
      <c r="AJ191" s="13">
        <f>AI191*VLOOKUP('Données projet'!$B$10,Paramètres!$A$1:$I$89,3,0)*VLOOKUP('Données projet'!$B$10,Paramètres!$A$1:$I$89,5,0)</f>
        <v>194.65239999999986</v>
      </c>
      <c r="AK191" s="13">
        <f t="shared" si="164"/>
        <v>48.567079789480402</v>
      </c>
      <c r="AL191" s="20">
        <f t="shared" si="165"/>
        <v>423.60726063334477</v>
      </c>
      <c r="AM191" s="59">
        <f t="shared" si="113"/>
        <v>716.94059396667808</v>
      </c>
      <c r="AN191" s="59">
        <f ca="1">AVERAGE(OFFSET($AM$3,0,0,'Données projet'!$E$10+1,1))-AVERAGE(OFFSET($H$3,0,0,'Données projet'!$E$10+1,1))</f>
        <v>177.71717275462748</v>
      </c>
      <c r="AO191" s="59">
        <f t="shared" si="144"/>
        <v>183.73714278300957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6.3320001079912336</v>
      </c>
      <c r="AV191" s="21">
        <f>EXP(-LN(2)/25)*AV190+(1-EXP(-LN(2)/25))/(LN(2)/25)*Calculateur!AQ191*Calculateur!AS191*VLOOKUP('Données projet'!$B$10,Paramètres!$A$1:$I$89,3,0)*0.475*44/12</f>
        <v>0.17404705658631633</v>
      </c>
      <c r="AW191" s="21">
        <f>EXP(-LN(2)/2)*AW190+(1-EXP(-LN(2)/2))/(LN(2)/2)*AQ191*AT191*VLOOKUP('Données projet'!$B$10,Paramètres!$A$1:$I$89,3,0)*0.475*44/12</f>
        <v>5.6887986680264734E-17</v>
      </c>
      <c r="AX191" s="21">
        <f t="shared" si="166"/>
        <v>6.5060471645775495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-1.383341441396624E-13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325.66150195494157</v>
      </c>
      <c r="BJ191" s="59">
        <f t="shared" si="146"/>
        <v>429.07526815514467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9.1046948744688176</v>
      </c>
      <c r="BQ191" s="21">
        <f>EXP(-LN(2)/25)*BQ190+(1-EXP(-LN(2)/25))/(LN(2)/25)*Calculateur!BL191*Calculateur!BN191*VLOOKUP('Données projet'!$B$11,Paramètres!$A$1:$I$89,3,0)*0.475*44/12</f>
        <v>0.20262520685721172</v>
      </c>
      <c r="BR191" s="21">
        <f>EXP(-LN(2)/2)*BR190+(1-EXP(-LN(2)/2))/(LN(2)/2)*BL191*BO191*VLOOKUP('Données projet'!$B$11,Paramètres!$A$1:$I$89,3,0)*0.475*44/12</f>
        <v>3.8198409204778073E-20</v>
      </c>
      <c r="BS191" s="22">
        <f t="shared" si="169"/>
        <v>9.3073200813260293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7">
        <f t="shared" si="110"/>
        <v>654.03853093767293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319</v>
      </c>
      <c r="O192" s="13">
        <f>N192*VLOOKUP('Données projet'!$B$9,Paramètres!$A$1:$I$89,3,0)*VLOOKUP('Données projet'!$B$9,Paramètres!$A$1:$I$89,5,0)</f>
        <v>253.79640000000001</v>
      </c>
      <c r="P192" s="13">
        <f t="shared" si="141"/>
        <v>61.39816832228076</v>
      </c>
      <c r="Q192" s="20">
        <f t="shared" si="162"/>
        <v>548.96387316130563</v>
      </c>
      <c r="R192" s="59">
        <f t="shared" si="109"/>
        <v>842.29720649463889</v>
      </c>
      <c r="S192" s="59">
        <f ca="1">AVERAGE(OFFSET($R$3,0,0,'Données projet'!$E$9+1,1))-AVERAGE(OFFSET($H$3,0,0,'Données projet'!$E$9+1,1))</f>
        <v>244.71206779102869</v>
      </c>
      <c r="T192" s="59">
        <f t="shared" si="142"/>
        <v>248.77995374147798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4.3561448321022409</v>
      </c>
      <c r="AA192" s="21">
        <f>EXP(-LN(2)/25)*AA191+(1-EXP(-LN(2)/25))/(LN(2)/25)*Calculateur!V192*Calculateur!X192*VLOOKUP('Données projet'!$B$9,Paramètres!$A$1:$I$89,3,0)*0.475*44/12</f>
        <v>0.1679996302643037</v>
      </c>
      <c r="AB192" s="21">
        <f>EXP(-LN(2)/2)*AB191+(1-EXP(-LN(2)/2))/(LN(2)/2)*V192*Y192*VLOOKUP('Données projet'!$B$9,Paramètres!$A$1:$I$89,3,0)*0.475*44/12</f>
        <v>2.4073241944636873E-17</v>
      </c>
      <c r="AC192" s="22">
        <f t="shared" si="163"/>
        <v>4.5241444623665448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290.17948717948696</v>
      </c>
      <c r="AJ192" s="13">
        <f>AI192*VLOOKUP('Données projet'!$B$10,Paramètres!$A$1:$I$89,3,0)*VLOOKUP('Données projet'!$B$10,Paramètres!$A$1:$I$89,5,0)</f>
        <v>194.65239999999986</v>
      </c>
      <c r="AK192" s="13">
        <f t="shared" si="164"/>
        <v>48.567079789480402</v>
      </c>
      <c r="AL192" s="20">
        <f t="shared" si="165"/>
        <v>423.60726063334477</v>
      </c>
      <c r="AM192" s="59">
        <f t="shared" si="113"/>
        <v>716.94059396667808</v>
      </c>
      <c r="AN192" s="59">
        <f ca="1">AVERAGE(OFFSET($AM$3,0,0,'Données projet'!$E$10+1,1))-AVERAGE(OFFSET($H$3,0,0,'Données projet'!$E$10+1,1))</f>
        <v>177.71717275462748</v>
      </c>
      <c r="AO192" s="59">
        <f t="shared" si="144"/>
        <v>183.73714278300957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6.207833448012237</v>
      </c>
      <c r="AV192" s="21">
        <f>EXP(-LN(2)/25)*AV191+(1-EXP(-LN(2)/25))/(LN(2)/25)*Calculateur!AQ192*Calculateur!AS192*VLOOKUP('Données projet'!$B$10,Paramètres!$A$1:$I$89,3,0)*0.475*44/12</f>
        <v>0.1692877306712266</v>
      </c>
      <c r="AW192" s="21">
        <f>EXP(-LN(2)/2)*AW191+(1-EXP(-LN(2)/2))/(LN(2)/2)*AQ192*AT192*VLOOKUP('Données projet'!$B$10,Paramètres!$A$1:$I$89,3,0)*0.475*44/12</f>
        <v>4.0225881149665186E-17</v>
      </c>
      <c r="AX192" s="21">
        <f t="shared" si="166"/>
        <v>6.3771211786834634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-1.383341441396624E-13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325.66150195494157</v>
      </c>
      <c r="BJ192" s="59">
        <f t="shared" si="146"/>
        <v>429.07526815514467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8.9261573612960134</v>
      </c>
      <c r="BQ192" s="21">
        <f>EXP(-LN(2)/25)*BQ191+(1-EXP(-LN(2)/25))/(LN(2)/25)*Calculateur!BL192*Calculateur!BN192*VLOOKUP('Données projet'!$B$11,Paramètres!$A$1:$I$89,3,0)*0.475*44/12</f>
        <v>0.19708440992010473</v>
      </c>
      <c r="BR192" s="21">
        <f>EXP(-LN(2)/2)*BR191+(1-EXP(-LN(2)/2))/(LN(2)/2)*BL192*BO192*VLOOKUP('Données projet'!$B$11,Paramètres!$A$1:$I$89,3,0)*0.475*44/12</f>
        <v>2.7010354179237214E-20</v>
      </c>
      <c r="BS192" s="22">
        <f t="shared" si="169"/>
        <v>9.1232417712161187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7">
        <f t="shared" si="110"/>
        <v>655.90187529098182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319</v>
      </c>
      <c r="O193" s="13">
        <f>N193*VLOOKUP('Données projet'!$B$9,Paramètres!$A$1:$I$89,3,0)*VLOOKUP('Données projet'!$B$9,Paramètres!$A$1:$I$89,5,0)</f>
        <v>253.79640000000001</v>
      </c>
      <c r="P193" s="13">
        <f t="shared" si="141"/>
        <v>61.39816832228076</v>
      </c>
      <c r="Q193" s="20">
        <f t="shared" si="162"/>
        <v>548.96387316130563</v>
      </c>
      <c r="R193" s="59">
        <f t="shared" si="109"/>
        <v>842.29720649463889</v>
      </c>
      <c r="S193" s="59">
        <f ca="1">AVERAGE(OFFSET($R$3,0,0,'Données projet'!$E$9+1,1))-AVERAGE(OFFSET($H$3,0,0,'Données projet'!$E$9+1,1))</f>
        <v>244.71206779102869</v>
      </c>
      <c r="T193" s="59">
        <f t="shared" si="142"/>
        <v>248.77995374147798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4.2707234889307077</v>
      </c>
      <c r="AA193" s="21">
        <f>EXP(-LN(2)/25)*AA192+(1-EXP(-LN(2)/25))/(LN(2)/25)*Calculateur!V193*Calculateur!X193*VLOOKUP('Données projet'!$B$9,Paramètres!$A$1:$I$89,3,0)*0.475*44/12</f>
        <v>0.16340567154000973</v>
      </c>
      <c r="AB193" s="21">
        <f>EXP(-LN(2)/2)*AB192+(1-EXP(-LN(2)/2))/(LN(2)/2)*V193*Y193*VLOOKUP('Données projet'!$B$9,Paramètres!$A$1:$I$89,3,0)*0.475*44/12</f>
        <v>1.7022352624197163E-17</v>
      </c>
      <c r="AC193" s="22">
        <f t="shared" si="163"/>
        <v>4.4341291604707171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290.17948717948696</v>
      </c>
      <c r="AJ193" s="13">
        <f>AI193*VLOOKUP('Données projet'!$B$10,Paramètres!$A$1:$I$89,3,0)*VLOOKUP('Données projet'!$B$10,Paramètres!$A$1:$I$89,5,0)</f>
        <v>194.65239999999986</v>
      </c>
      <c r="AK193" s="13">
        <f t="shared" si="164"/>
        <v>48.567079789480402</v>
      </c>
      <c r="AL193" s="20">
        <f t="shared" si="165"/>
        <v>423.60726063334477</v>
      </c>
      <c r="AM193" s="59">
        <f t="shared" si="113"/>
        <v>716.94059396667808</v>
      </c>
      <c r="AN193" s="59">
        <f ca="1">AVERAGE(OFFSET($AM$3,0,0,'Données projet'!$E$10+1,1))-AVERAGE(OFFSET($H$3,0,0,'Données projet'!$E$10+1,1))</f>
        <v>177.71717275462748</v>
      </c>
      <c r="AO193" s="59">
        <f t="shared" si="144"/>
        <v>183.73714278300957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6.0861016205012444</v>
      </c>
      <c r="AV193" s="21">
        <f>EXP(-LN(2)/25)*AV192+(1-EXP(-LN(2)/25))/(LN(2)/25)*Calculateur!AQ193*Calculateur!AS193*VLOOKUP('Données projet'!$B$10,Paramètres!$A$1:$I$89,3,0)*0.475*44/12</f>
        <v>0.16465854877356706</v>
      </c>
      <c r="AW193" s="21">
        <f>EXP(-LN(2)/2)*AW192+(1-EXP(-LN(2)/2))/(LN(2)/2)*AQ193*AT193*VLOOKUP('Données projet'!$B$10,Paramètres!$A$1:$I$89,3,0)*0.475*44/12</f>
        <v>2.8443993340132367E-17</v>
      </c>
      <c r="AX193" s="21">
        <f t="shared" si="166"/>
        <v>6.2507601692748116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-1.383341441396624E-13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325.66150195494157</v>
      </c>
      <c r="BJ193" s="59">
        <f t="shared" si="146"/>
        <v>429.07526815514467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8.7511208598593981</v>
      </c>
      <c r="BQ193" s="21">
        <f>EXP(-LN(2)/25)*BQ192+(1-EXP(-LN(2)/25))/(LN(2)/25)*Calculateur!BL193*Calculateur!BN193*VLOOKUP('Données projet'!$B$11,Paramètres!$A$1:$I$89,3,0)*0.475*44/12</f>
        <v>0.19169512636662078</v>
      </c>
      <c r="BR193" s="21">
        <f>EXP(-LN(2)/2)*BR192+(1-EXP(-LN(2)/2))/(LN(2)/2)*BL193*BO193*VLOOKUP('Données projet'!$B$11,Paramètres!$A$1:$I$89,3,0)*0.475*44/12</f>
        <v>1.9099204602389039E-20</v>
      </c>
      <c r="BS193" s="22">
        <f t="shared" si="169"/>
        <v>8.9428159862260195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7">
        <f t="shared" si="110"/>
        <v>657.7650102950081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319</v>
      </c>
      <c r="O194" s="13">
        <f>N194*VLOOKUP('Données projet'!$B$9,Paramètres!$A$1:$I$89,3,0)*VLOOKUP('Données projet'!$B$9,Paramètres!$A$1:$I$89,5,0)</f>
        <v>253.79640000000001</v>
      </c>
      <c r="P194" s="13">
        <f t="shared" si="141"/>
        <v>61.39816832228076</v>
      </c>
      <c r="Q194" s="20">
        <f t="shared" si="162"/>
        <v>548.96387316130563</v>
      </c>
      <c r="R194" s="59">
        <f t="shared" si="109"/>
        <v>842.29720649463889</v>
      </c>
      <c r="S194" s="59">
        <f ca="1">AVERAGE(OFFSET($R$3,0,0,'Données projet'!$E$9+1,1))-AVERAGE(OFFSET($H$3,0,0,'Données projet'!$E$9+1,1))</f>
        <v>244.71206779102869</v>
      </c>
      <c r="T194" s="59">
        <f t="shared" si="142"/>
        <v>248.77995374147798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4.186977206196894</v>
      </c>
      <c r="AA194" s="21">
        <f>EXP(-LN(2)/25)*AA193+(1-EXP(-LN(2)/25))/(LN(2)/25)*Calculateur!V194*Calculateur!X194*VLOOKUP('Données projet'!$B$9,Paramètres!$A$1:$I$89,3,0)*0.475*44/12</f>
        <v>0.15893733485861736</v>
      </c>
      <c r="AB194" s="21">
        <f>EXP(-LN(2)/2)*AB193+(1-EXP(-LN(2)/2))/(LN(2)/2)*V194*Y194*VLOOKUP('Données projet'!$B$9,Paramètres!$A$1:$I$89,3,0)*0.475*44/12</f>
        <v>1.2036620972318436E-17</v>
      </c>
      <c r="AC194" s="22">
        <f t="shared" si="163"/>
        <v>4.3459145410555111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290.17948717948696</v>
      </c>
      <c r="AJ194" s="13">
        <f>AI194*VLOOKUP('Données projet'!$B$10,Paramètres!$A$1:$I$89,3,0)*VLOOKUP('Données projet'!$B$10,Paramètres!$A$1:$I$89,5,0)</f>
        <v>194.65239999999986</v>
      </c>
      <c r="AK194" s="13">
        <f t="shared" si="164"/>
        <v>48.567079789480402</v>
      </c>
      <c r="AL194" s="20">
        <f t="shared" si="165"/>
        <v>423.60726063334477</v>
      </c>
      <c r="AM194" s="59">
        <f t="shared" si="113"/>
        <v>716.94059396667808</v>
      </c>
      <c r="AN194" s="59">
        <f ca="1">AVERAGE(OFFSET($AM$3,0,0,'Données projet'!$E$10+1,1))-AVERAGE(OFFSET($H$3,0,0,'Données projet'!$E$10+1,1))</f>
        <v>177.71717275462748</v>
      </c>
      <c r="AO194" s="59">
        <f t="shared" si="144"/>
        <v>183.73714278300957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5.966756879878659</v>
      </c>
      <c r="AV194" s="21">
        <f>EXP(-LN(2)/25)*AV193+(1-EXP(-LN(2)/25))/(LN(2)/25)*Calculateur!AQ194*Calculateur!AS194*VLOOKUP('Données projet'!$B$10,Paramètres!$A$1:$I$89,3,0)*0.475*44/12</f>
        <v>0.16015595209833711</v>
      </c>
      <c r="AW194" s="21">
        <f>EXP(-LN(2)/2)*AW193+(1-EXP(-LN(2)/2))/(LN(2)/2)*AQ194*AT194*VLOOKUP('Données projet'!$B$10,Paramètres!$A$1:$I$89,3,0)*0.475*44/12</f>
        <v>2.0112940574832593E-17</v>
      </c>
      <c r="AX194" s="21">
        <f t="shared" si="166"/>
        <v>6.1269128319769965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-1.383341441396624E-13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325.66150195494157</v>
      </c>
      <c r="BJ194" s="59">
        <f t="shared" si="146"/>
        <v>429.07526815514467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8.5795167174542293</v>
      </c>
      <c r="BQ194" s="21">
        <f>EXP(-LN(2)/25)*BQ193+(1-EXP(-LN(2)/25))/(LN(2)/25)*Calculateur!BL194*Calculateur!BN194*VLOOKUP('Données projet'!$B$11,Paramètres!$A$1:$I$89,3,0)*0.475*44/12</f>
        <v>0.18645321305531698</v>
      </c>
      <c r="BR194" s="21">
        <f>EXP(-LN(2)/2)*BR193+(1-EXP(-LN(2)/2))/(LN(2)/2)*BL194*BO194*VLOOKUP('Données projet'!$B$11,Paramètres!$A$1:$I$89,3,0)*0.475*44/12</f>
        <v>1.3505177089618608E-20</v>
      </c>
      <c r="BS194" s="22">
        <f t="shared" si="169"/>
        <v>8.7659699305095469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7">
        <f t="shared" si="110"/>
        <v>659.62793717304248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319</v>
      </c>
      <c r="O195" s="13">
        <f>N195*VLOOKUP('Données projet'!$B$9,Paramètres!$A$1:$I$89,3,0)*VLOOKUP('Données projet'!$B$9,Paramètres!$A$1:$I$89,5,0)</f>
        <v>253.79640000000001</v>
      </c>
      <c r="P195" s="13">
        <f t="shared" si="141"/>
        <v>61.39816832228076</v>
      </c>
      <c r="Q195" s="20">
        <f t="shared" si="162"/>
        <v>548.96387316130563</v>
      </c>
      <c r="R195" s="59">
        <f t="shared" ref="R195:R203" si="191">Q195+(I195+J195)*44/12</f>
        <v>842.29720649463889</v>
      </c>
      <c r="S195" s="59">
        <f ca="1">AVERAGE(OFFSET($R$3,0,0,'Données projet'!$E$9+1,1))-AVERAGE(OFFSET($H$3,0,0,'Données projet'!$E$9+1,1))</f>
        <v>244.71206779102869</v>
      </c>
      <c r="T195" s="59">
        <f t="shared" si="142"/>
        <v>248.77995374147798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4.1048731369873011</v>
      </c>
      <c r="AA195" s="21">
        <f>EXP(-LN(2)/25)*AA194+(1-EXP(-LN(2)/25))/(LN(2)/25)*Calculateur!V195*Calculateur!X195*VLOOKUP('Données projet'!$B$9,Paramètres!$A$1:$I$89,3,0)*0.475*44/12</f>
        <v>0.15459118507875727</v>
      </c>
      <c r="AB195" s="21">
        <f>EXP(-LN(2)/2)*AB194+(1-EXP(-LN(2)/2))/(LN(2)/2)*V195*Y195*VLOOKUP('Données projet'!$B$9,Paramètres!$A$1:$I$89,3,0)*0.475*44/12</f>
        <v>8.5111763120985814E-18</v>
      </c>
      <c r="AC195" s="22">
        <f t="shared" si="163"/>
        <v>4.2594643220660586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290.17948717948696</v>
      </c>
      <c r="AJ195" s="13">
        <f>AI195*VLOOKUP('Données projet'!$B$10,Paramètres!$A$1:$I$89,3,0)*VLOOKUP('Données projet'!$B$10,Paramètres!$A$1:$I$89,5,0)</f>
        <v>194.65239999999986</v>
      </c>
      <c r="AK195" s="13">
        <f t="shared" si="164"/>
        <v>48.567079789480402</v>
      </c>
      <c r="AL195" s="20">
        <f t="shared" si="165"/>
        <v>423.60726063334477</v>
      </c>
      <c r="AM195" s="59">
        <f t="shared" si="113"/>
        <v>716.94059396667808</v>
      </c>
      <c r="AN195" s="59">
        <f ca="1">AVERAGE(OFFSET($AM$3,0,0,'Données projet'!$E$10+1,1))-AVERAGE(OFFSET($H$3,0,0,'Données projet'!$E$10+1,1))</f>
        <v>177.71717275462748</v>
      </c>
      <c r="AO195" s="59">
        <f t="shared" si="144"/>
        <v>183.73714278300957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5.8497524168265782</v>
      </c>
      <c r="AV195" s="21">
        <f>EXP(-LN(2)/25)*AV194+(1-EXP(-LN(2)/25))/(LN(2)/25)*Calculateur!AQ195*Calculateur!AS195*VLOOKUP('Données projet'!$B$10,Paramètres!$A$1:$I$89,3,0)*0.475*44/12</f>
        <v>0.15577647916597259</v>
      </c>
      <c r="AW195" s="21">
        <f>EXP(-LN(2)/2)*AW194+(1-EXP(-LN(2)/2))/(LN(2)/2)*AQ195*AT195*VLOOKUP('Données projet'!$B$10,Paramètres!$A$1:$I$89,3,0)*0.475*44/12</f>
        <v>1.4221996670066184E-17</v>
      </c>
      <c r="AX195" s="21">
        <f t="shared" si="166"/>
        <v>6.0055288959925512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-1.383341441396624E-13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325.66150195494157</v>
      </c>
      <c r="BJ195" s="59">
        <f t="shared" si="146"/>
        <v>429.07526815514467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8.4112776276134351</v>
      </c>
      <c r="BQ195" s="21">
        <f>EXP(-LN(2)/25)*BQ194+(1-EXP(-LN(2)/25))/(LN(2)/25)*Calculateur!BL195*Calculateur!BN195*VLOOKUP('Données projet'!$B$11,Paramètres!$A$1:$I$89,3,0)*0.475*44/12</f>
        <v>0.18135464013917102</v>
      </c>
      <c r="BR195" s="21">
        <f>EXP(-LN(2)/2)*BR194+(1-EXP(-LN(2)/2))/(LN(2)/2)*BL195*BO195*VLOOKUP('Données projet'!$B$11,Paramètres!$A$1:$I$89,3,0)*0.475*44/12</f>
        <v>9.5496023011945212E-21</v>
      </c>
      <c r="BS195" s="22">
        <f t="shared" si="169"/>
        <v>8.5926322677526059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7">
        <f t="shared" ref="H196:H203" si="192">(B196+E196+F196)*44/12+(C196+D196)*0.475*44/12</f>
        <v>661.49065713489483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319</v>
      </c>
      <c r="O196" s="13">
        <f>N196*VLOOKUP('Données projet'!$B$9,Paramètres!$A$1:$I$89,3,0)*VLOOKUP('Données projet'!$B$9,Paramètres!$A$1:$I$89,5,0)</f>
        <v>253.79640000000001</v>
      </c>
      <c r="P196" s="13">
        <f t="shared" si="141"/>
        <v>61.39816832228076</v>
      </c>
      <c r="Q196" s="20">
        <f t="shared" si="162"/>
        <v>548.96387316130563</v>
      </c>
      <c r="R196" s="59">
        <f t="shared" si="191"/>
        <v>842.29720649463889</v>
      </c>
      <c r="S196" s="59">
        <f ca="1">AVERAGE(OFFSET($R$3,0,0,'Données projet'!$E$9+1,1))-AVERAGE(OFFSET($H$3,0,0,'Données projet'!$E$9+1,1))</f>
        <v>244.71206779102869</v>
      </c>
      <c r="T196" s="59">
        <f t="shared" si="142"/>
        <v>248.77995374147798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4.0243790784963709</v>
      </c>
      <c r="AA196" s="21">
        <f>EXP(-LN(2)/25)*AA195+(1-EXP(-LN(2)/25))/(LN(2)/25)*Calculateur!V196*Calculateur!X196*VLOOKUP('Données projet'!$B$9,Paramètres!$A$1:$I$89,3,0)*0.475*44/12</f>
        <v>0.15036388099318154</v>
      </c>
      <c r="AB196" s="21">
        <f>EXP(-LN(2)/2)*AB195+(1-EXP(-LN(2)/2))/(LN(2)/2)*V196*Y196*VLOOKUP('Données projet'!$B$9,Paramètres!$A$1:$I$89,3,0)*0.475*44/12</f>
        <v>6.0183104861592182E-18</v>
      </c>
      <c r="AC196" s="22">
        <f t="shared" si="163"/>
        <v>4.1747429594895529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290.17948717948696</v>
      </c>
      <c r="AJ196" s="13">
        <f>AI196*VLOOKUP('Données projet'!$B$10,Paramètres!$A$1:$I$89,3,0)*VLOOKUP('Données projet'!$B$10,Paramètres!$A$1:$I$89,5,0)</f>
        <v>194.65239999999986</v>
      </c>
      <c r="AK196" s="13">
        <f t="shared" si="164"/>
        <v>48.567079789480402</v>
      </c>
      <c r="AL196" s="20">
        <f t="shared" si="165"/>
        <v>423.60726063334477</v>
      </c>
      <c r="AM196" s="59">
        <f t="shared" ref="AM196:AM203" si="193">AL196+(AD196+AE196)*44/12</f>
        <v>716.94059396667808</v>
      </c>
      <c r="AN196" s="59">
        <f ca="1">AVERAGE(OFFSET($AM$3,0,0,'Données projet'!$E$10+1,1))-AVERAGE(OFFSET($H$3,0,0,'Données projet'!$E$10+1,1))</f>
        <v>177.71717275462748</v>
      </c>
      <c r="AO196" s="59">
        <f t="shared" si="144"/>
        <v>183.73714278300957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5.7350423399292731</v>
      </c>
      <c r="AV196" s="21">
        <f>EXP(-LN(2)/25)*AV195+(1-EXP(-LN(2)/25))/(LN(2)/25)*Calculateur!AQ196*Calculateur!AS196*VLOOKUP('Données projet'!$B$10,Paramètres!$A$1:$I$89,3,0)*0.475*44/12</f>
        <v>0.15151676315125007</v>
      </c>
      <c r="AW196" s="21">
        <f>EXP(-LN(2)/2)*AW195+(1-EXP(-LN(2)/2))/(LN(2)/2)*AQ196*AT196*VLOOKUP('Données projet'!$B$10,Paramètres!$A$1:$I$89,3,0)*0.475*44/12</f>
        <v>1.0056470287416297E-17</v>
      </c>
      <c r="AX196" s="21">
        <f t="shared" si="166"/>
        <v>5.8865591030805229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-1.383341441396624E-13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325.66150195494157</v>
      </c>
      <c r="BJ196" s="59">
        <f t="shared" si="146"/>
        <v>429.07526815514467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8.2463376037087066</v>
      </c>
      <c r="BQ196" s="21">
        <f>EXP(-LN(2)/25)*BQ195+(1-EXP(-LN(2)/25))/(LN(2)/25)*Calculateur!BL196*Calculateur!BN196*VLOOKUP('Données projet'!$B$11,Paramètres!$A$1:$I$89,3,0)*0.475*44/12</f>
        <v>0.17639548796753934</v>
      </c>
      <c r="BR196" s="21">
        <f>EXP(-LN(2)/2)*BR195+(1-EXP(-LN(2)/2))/(LN(2)/2)*BL196*BO196*VLOOKUP('Données projet'!$B$11,Paramètres!$A$1:$I$89,3,0)*0.475*44/12</f>
        <v>6.7525885448093057E-21</v>
      </c>
      <c r="BS196" s="22">
        <f t="shared" si="169"/>
        <v>8.4227330916762462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7">
        <f t="shared" si="192"/>
        <v>663.35317137711263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319</v>
      </c>
      <c r="O197" s="13">
        <f>N197*VLOOKUP('Données projet'!$B$9,Paramètres!$A$1:$I$89,3,0)*VLOOKUP('Données projet'!$B$9,Paramètres!$A$1:$I$89,5,0)</f>
        <v>253.79640000000001</v>
      </c>
      <c r="P197" s="13">
        <f t="shared" ref="P197:P203" si="203">EXP(-1.0587+0.8836*LN(O197)+0.284)</f>
        <v>61.39816832228076</v>
      </c>
      <c r="Q197" s="20">
        <f t="shared" si="162"/>
        <v>548.96387316130563</v>
      </c>
      <c r="R197" s="59">
        <f t="shared" si="191"/>
        <v>842.29720649463889</v>
      </c>
      <c r="S197" s="59">
        <f ca="1">AVERAGE(OFFSET($R$3,0,0,'Données projet'!$E$9+1,1))-AVERAGE(OFFSET($H$3,0,0,'Données projet'!$E$9+1,1))</f>
        <v>244.71206779102869</v>
      </c>
      <c r="T197" s="59">
        <f t="shared" ref="T197:T203" si="204">$T$3</f>
        <v>248.77995374147798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3.9454634593959206</v>
      </c>
      <c r="AA197" s="21">
        <f>EXP(-LN(2)/25)*AA196+(1-EXP(-LN(2)/25))/(LN(2)/25)*Calculateur!V197*Calculateur!X197*VLOOKUP('Données projet'!$B$9,Paramètres!$A$1:$I$89,3,0)*0.475*44/12</f>
        <v>0.14625217276013014</v>
      </c>
      <c r="AB197" s="21">
        <f>EXP(-LN(2)/2)*AB196+(1-EXP(-LN(2)/2))/(LN(2)/2)*V197*Y197*VLOOKUP('Données projet'!$B$9,Paramètres!$A$1:$I$89,3,0)*0.475*44/12</f>
        <v>4.2555881560492907E-18</v>
      </c>
      <c r="AC197" s="22">
        <f t="shared" si="163"/>
        <v>4.0917156321560508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290.17948717948696</v>
      </c>
      <c r="AJ197" s="13">
        <f>AI197*VLOOKUP('Données projet'!$B$10,Paramètres!$A$1:$I$89,3,0)*VLOOKUP('Données projet'!$B$10,Paramètres!$A$1:$I$89,5,0)</f>
        <v>194.65239999999986</v>
      </c>
      <c r="AK197" s="13">
        <f t="shared" si="164"/>
        <v>48.567079789480402</v>
      </c>
      <c r="AL197" s="20">
        <f t="shared" si="165"/>
        <v>423.60726063334477</v>
      </c>
      <c r="AM197" s="59">
        <f t="shared" si="193"/>
        <v>716.94059396667808</v>
      </c>
      <c r="AN197" s="59">
        <f ca="1">AVERAGE(OFFSET($AM$3,0,0,'Données projet'!$E$10+1,1))-AVERAGE(OFFSET($H$3,0,0,'Données projet'!$E$10+1,1))</f>
        <v>177.71717275462748</v>
      </c>
      <c r="AO197" s="59">
        <f t="shared" ref="AO197:AO203" si="205">$AO$3</f>
        <v>183.73714278300957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5.6225816576736856</v>
      </c>
      <c r="AV197" s="21">
        <f>EXP(-LN(2)/25)*AV196+(1-EXP(-LN(2)/25))/(LN(2)/25)*Calculateur!AQ197*Calculateur!AS197*VLOOKUP('Données projet'!$B$10,Paramètres!$A$1:$I$89,3,0)*0.475*44/12</f>
        <v>0.14737352929495887</v>
      </c>
      <c r="AW197" s="21">
        <f>EXP(-LN(2)/2)*AW196+(1-EXP(-LN(2)/2))/(LN(2)/2)*AQ197*AT197*VLOOKUP('Données projet'!$B$10,Paramètres!$A$1:$I$89,3,0)*0.475*44/12</f>
        <v>7.1109983350330918E-18</v>
      </c>
      <c r="AX197" s="21">
        <f t="shared" si="166"/>
        <v>5.7699551869686445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-1.383341441396624E-13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325.66150195494157</v>
      </c>
      <c r="BJ197" s="59">
        <f t="shared" ref="BJ197:BJ203" si="206">$BJ$3</f>
        <v>429.07526815514467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8.0846319530692679</v>
      </c>
      <c r="BQ197" s="21">
        <f>EXP(-LN(2)/25)*BQ196+(1-EXP(-LN(2)/25))/(LN(2)/25)*Calculateur!BL197*Calculateur!BN197*VLOOKUP('Données projet'!$B$11,Paramètres!$A$1:$I$89,3,0)*0.475*44/12</f>
        <v>0.17157194407283144</v>
      </c>
      <c r="BR197" s="21">
        <f>EXP(-LN(2)/2)*BR196+(1-EXP(-LN(2)/2))/(LN(2)/2)*BL197*BO197*VLOOKUP('Données projet'!$B$11,Paramètres!$A$1:$I$89,3,0)*0.475*44/12</f>
        <v>4.7748011505972614E-21</v>
      </c>
      <c r="BS197" s="22">
        <f t="shared" si="169"/>
        <v>8.2562038971420986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7">
        <f t="shared" si="192"/>
        <v>665.21548108319348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319</v>
      </c>
      <c r="O198" s="13">
        <f>N198*VLOOKUP('Données projet'!$B$9,Paramètres!$A$1:$I$89,3,0)*VLOOKUP('Données projet'!$B$9,Paramètres!$A$1:$I$89,5,0)</f>
        <v>253.79640000000001</v>
      </c>
      <c r="P198" s="13">
        <f t="shared" si="203"/>
        <v>61.39816832228076</v>
      </c>
      <c r="Q198" s="20">
        <f t="shared" si="162"/>
        <v>548.96387316130563</v>
      </c>
      <c r="R198" s="59">
        <f t="shared" si="191"/>
        <v>842.29720649463889</v>
      </c>
      <c r="S198" s="59">
        <f ca="1">AVERAGE(OFFSET($R$3,0,0,'Données projet'!$E$9+1,1))-AVERAGE(OFFSET($H$3,0,0,'Données projet'!$E$9+1,1))</f>
        <v>244.71206779102869</v>
      </c>
      <c r="T198" s="59">
        <f t="shared" si="204"/>
        <v>248.77995374147798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3.8680953274522554</v>
      </c>
      <c r="AA198" s="21">
        <f>EXP(-LN(2)/25)*AA197+(1-EXP(-LN(2)/25))/(LN(2)/25)*Calculateur!V198*Calculateur!X198*VLOOKUP('Données projet'!$B$9,Paramètres!$A$1:$I$89,3,0)*0.475*44/12</f>
        <v>0.14225289940493688</v>
      </c>
      <c r="AB198" s="21">
        <f>EXP(-LN(2)/2)*AB197+(1-EXP(-LN(2)/2))/(LN(2)/2)*V198*Y198*VLOOKUP('Données projet'!$B$9,Paramètres!$A$1:$I$89,3,0)*0.475*44/12</f>
        <v>3.0091552430796091E-18</v>
      </c>
      <c r="AC198" s="22">
        <f t="shared" si="163"/>
        <v>4.0103482268571922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290.17948717948696</v>
      </c>
      <c r="AJ198" s="13">
        <f>AI198*VLOOKUP('Données projet'!$B$10,Paramètres!$A$1:$I$89,3,0)*VLOOKUP('Données projet'!$B$10,Paramètres!$A$1:$I$89,5,0)</f>
        <v>194.65239999999986</v>
      </c>
      <c r="AK198" s="13">
        <f t="shared" si="164"/>
        <v>48.567079789480402</v>
      </c>
      <c r="AL198" s="20">
        <f t="shared" si="165"/>
        <v>423.60726063334477</v>
      </c>
      <c r="AM198" s="59">
        <f t="shared" si="193"/>
        <v>716.94059396667808</v>
      </c>
      <c r="AN198" s="59">
        <f ca="1">AVERAGE(OFFSET($AM$3,0,0,'Données projet'!$E$10+1,1))-AVERAGE(OFFSET($H$3,0,0,'Données projet'!$E$10+1,1))</f>
        <v>177.71717275462748</v>
      </c>
      <c r="AO198" s="59">
        <f t="shared" si="205"/>
        <v>183.73714278300957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5.5123262608028867</v>
      </c>
      <c r="AV198" s="21">
        <f>EXP(-LN(2)/25)*AV197+(1-EXP(-LN(2)/25))/(LN(2)/25)*Calculateur!AQ198*Calculateur!AS198*VLOOKUP('Données projet'!$B$10,Paramètres!$A$1:$I$89,3,0)*0.475*44/12</f>
        <v>0.14334359238635114</v>
      </c>
      <c r="AW198" s="21">
        <f>EXP(-LN(2)/2)*AW197+(1-EXP(-LN(2)/2))/(LN(2)/2)*AQ198*AT198*VLOOKUP('Données projet'!$B$10,Paramètres!$A$1:$I$89,3,0)*0.475*44/12</f>
        <v>5.0282351437081483E-18</v>
      </c>
      <c r="AX198" s="21">
        <f t="shared" si="166"/>
        <v>5.655669853189238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-1.383341441396624E-13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325.66150195494157</v>
      </c>
      <c r="BJ198" s="59">
        <f t="shared" si="206"/>
        <v>429.07526815514467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7.9260972516081614</v>
      </c>
      <c r="BQ198" s="21">
        <f>EXP(-LN(2)/25)*BQ197+(1-EXP(-LN(2)/25))/(LN(2)/25)*Calculateur!BL198*Calculateur!BN198*VLOOKUP('Données projet'!$B$11,Paramètres!$A$1:$I$89,3,0)*0.475*44/12</f>
        <v>0.16688030023958345</v>
      </c>
      <c r="BR198" s="21">
        <f>EXP(-LN(2)/2)*BR197+(1-EXP(-LN(2)/2))/(LN(2)/2)*BL198*BO198*VLOOKUP('Données projet'!$B$11,Paramètres!$A$1:$I$89,3,0)*0.475*44/12</f>
        <v>3.3762942724046532E-21</v>
      </c>
      <c r="BS198" s="22">
        <f t="shared" si="169"/>
        <v>8.0929775518477456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7">
        <f t="shared" si="192"/>
        <v>667.07758742379417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319</v>
      </c>
      <c r="O199" s="13">
        <f>N199*VLOOKUP('Données projet'!$B$9,Paramètres!$A$1:$I$89,3,0)*VLOOKUP('Données projet'!$B$9,Paramètres!$A$1:$I$89,5,0)</f>
        <v>253.79640000000001</v>
      </c>
      <c r="P199" s="13">
        <f t="shared" si="203"/>
        <v>61.39816832228076</v>
      </c>
      <c r="Q199" s="20">
        <f t="shared" si="162"/>
        <v>548.96387316130563</v>
      </c>
      <c r="R199" s="59">
        <f t="shared" si="191"/>
        <v>842.29720649463889</v>
      </c>
      <c r="S199" s="59">
        <f ca="1">AVERAGE(OFFSET($R$3,0,0,'Données projet'!$E$9+1,1))-AVERAGE(OFFSET($H$3,0,0,'Données projet'!$E$9+1,1))</f>
        <v>244.71206779102869</v>
      </c>
      <c r="T199" s="59">
        <f t="shared" si="204"/>
        <v>248.77995374147798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3.7922443373861046</v>
      </c>
      <c r="AA199" s="21">
        <f>EXP(-LN(2)/25)*AA198+(1-EXP(-LN(2)/25))/(LN(2)/25)*Calculateur!V199*Calculateur!X199*VLOOKUP('Données projet'!$B$9,Paramètres!$A$1:$I$89,3,0)*0.475*44/12</f>
        <v>0.13836298638995403</v>
      </c>
      <c r="AB199" s="21">
        <f>EXP(-LN(2)/2)*AB198+(1-EXP(-LN(2)/2))/(LN(2)/2)*V199*Y199*VLOOKUP('Données projet'!$B$9,Paramètres!$A$1:$I$89,3,0)*0.475*44/12</f>
        <v>2.1277940780246454E-18</v>
      </c>
      <c r="AC199" s="22">
        <f t="shared" si="163"/>
        <v>3.9306073237760586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290.17948717948696</v>
      </c>
      <c r="AJ199" s="13">
        <f>AI199*VLOOKUP('Données projet'!$B$10,Paramètres!$A$1:$I$89,3,0)*VLOOKUP('Données projet'!$B$10,Paramètres!$A$1:$I$89,5,0)</f>
        <v>194.65239999999986</v>
      </c>
      <c r="AK199" s="13">
        <f t="shared" si="164"/>
        <v>48.567079789480402</v>
      </c>
      <c r="AL199" s="20">
        <f t="shared" si="165"/>
        <v>423.60726063334477</v>
      </c>
      <c r="AM199" s="59">
        <f t="shared" si="193"/>
        <v>716.94059396667808</v>
      </c>
      <c r="AN199" s="59">
        <f ca="1">AVERAGE(OFFSET($AM$3,0,0,'Données projet'!$E$10+1,1))-AVERAGE(OFFSET($H$3,0,0,'Données projet'!$E$10+1,1))</f>
        <v>177.71717275462748</v>
      </c>
      <c r="AO199" s="59">
        <f t="shared" si="205"/>
        <v>183.73714278300957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5.4042329050155731</v>
      </c>
      <c r="AV199" s="21">
        <f>EXP(-LN(2)/25)*AV198+(1-EXP(-LN(2)/25))/(LN(2)/25)*Calculateur!AQ199*Calculateur!AS199*VLOOKUP('Données projet'!$B$10,Paramètres!$A$1:$I$89,3,0)*0.475*44/12</f>
        <v>0.13942385431443446</v>
      </c>
      <c r="AW199" s="21">
        <f>EXP(-LN(2)/2)*AW198+(1-EXP(-LN(2)/2))/(LN(2)/2)*AQ199*AT199*VLOOKUP('Données projet'!$B$10,Paramètres!$A$1:$I$89,3,0)*0.475*44/12</f>
        <v>3.5554991675165459E-18</v>
      </c>
      <c r="AX199" s="21">
        <f t="shared" si="166"/>
        <v>5.5436567593300072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-1.383341441396624E-13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325.66150195494157</v>
      </c>
      <c r="BJ199" s="59">
        <f t="shared" si="206"/>
        <v>429.07526815514467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7.7706713189460874</v>
      </c>
      <c r="BQ199" s="21">
        <f>EXP(-LN(2)/25)*BQ198+(1-EXP(-LN(2)/25))/(LN(2)/25)*Calculateur!BL199*Calculateur!BN199*VLOOKUP('Données projet'!$B$11,Paramètres!$A$1:$I$89,3,0)*0.475*44/12</f>
        <v>0.16231694965367846</v>
      </c>
      <c r="BR199" s="21">
        <f>EXP(-LN(2)/2)*BR198+(1-EXP(-LN(2)/2))/(LN(2)/2)*BL199*BO199*VLOOKUP('Données projet'!$B$11,Paramètres!$A$1:$I$89,3,0)*0.475*44/12</f>
        <v>2.3874005752986311E-21</v>
      </c>
      <c r="BS199" s="22">
        <f t="shared" si="169"/>
        <v>7.9329882685997655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7">
        <f t="shared" si="192"/>
        <v>668.93949155693372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319</v>
      </c>
      <c r="O200" s="13">
        <f>N200*VLOOKUP('Données projet'!$B$9,Paramètres!$A$1:$I$89,3,0)*VLOOKUP('Données projet'!$B$9,Paramètres!$A$1:$I$89,5,0)</f>
        <v>253.79640000000001</v>
      </c>
      <c r="P200" s="13">
        <f t="shared" si="203"/>
        <v>61.39816832228076</v>
      </c>
      <c r="Q200" s="20">
        <f t="shared" si="162"/>
        <v>548.96387316130563</v>
      </c>
      <c r="R200" s="59">
        <f t="shared" si="191"/>
        <v>842.29720649463889</v>
      </c>
      <c r="S200" s="59">
        <f ca="1">AVERAGE(OFFSET($R$3,0,0,'Données projet'!$E$9+1,1))-AVERAGE(OFFSET($H$3,0,0,'Données projet'!$E$9+1,1))</f>
        <v>244.71206779102869</v>
      </c>
      <c r="T200" s="59">
        <f t="shared" si="204"/>
        <v>248.77995374147798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3.717880738970615</v>
      </c>
      <c r="AA200" s="21">
        <f>EXP(-LN(2)/25)*AA199+(1-EXP(-LN(2)/25))/(LN(2)/25)*Calculateur!V200*Calculateur!X200*VLOOKUP('Données projet'!$B$9,Paramètres!$A$1:$I$89,3,0)*0.475*44/12</f>
        <v>0.13457944325092752</v>
      </c>
      <c r="AB200" s="21">
        <f>EXP(-LN(2)/2)*AB199+(1-EXP(-LN(2)/2))/(LN(2)/2)*V200*Y200*VLOOKUP('Données projet'!$B$9,Paramètres!$A$1:$I$89,3,0)*0.475*44/12</f>
        <v>1.5045776215398046E-18</v>
      </c>
      <c r="AC200" s="22">
        <f t="shared" si="163"/>
        <v>3.8524601822215425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290.17948717948696</v>
      </c>
      <c r="AJ200" s="13">
        <f>AI200*VLOOKUP('Données projet'!$B$10,Paramètres!$A$1:$I$89,3,0)*VLOOKUP('Données projet'!$B$10,Paramètres!$A$1:$I$89,5,0)</f>
        <v>194.65239999999986</v>
      </c>
      <c r="AK200" s="13">
        <f t="shared" si="164"/>
        <v>48.567079789480402</v>
      </c>
      <c r="AL200" s="20">
        <f t="shared" si="165"/>
        <v>423.60726063334477</v>
      </c>
      <c r="AM200" s="59">
        <f t="shared" si="193"/>
        <v>716.94059396667808</v>
      </c>
      <c r="AN200" s="59">
        <f ca="1">AVERAGE(OFFSET($AM$3,0,0,'Données projet'!$E$10+1,1))-AVERAGE(OFFSET($H$3,0,0,'Données projet'!$E$10+1,1))</f>
        <v>177.71717275462748</v>
      </c>
      <c r="AO200" s="59">
        <f t="shared" si="205"/>
        <v>183.73714278300957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5.2982591940048112</v>
      </c>
      <c r="AV200" s="21">
        <f>EXP(-LN(2)/25)*AV199+(1-EXP(-LN(2)/25))/(LN(2)/25)*Calculateur!AQ200*Calculateur!AS200*VLOOKUP('Données projet'!$B$10,Paramètres!$A$1:$I$89,3,0)*0.475*44/12</f>
        <v>0.1356113016862244</v>
      </c>
      <c r="AW200" s="21">
        <f>EXP(-LN(2)/2)*AW199+(1-EXP(-LN(2)/2))/(LN(2)/2)*AQ200*AT200*VLOOKUP('Données projet'!$B$10,Paramètres!$A$1:$I$89,3,0)*0.475*44/12</f>
        <v>2.5141175718540742E-18</v>
      </c>
      <c r="AX200" s="21">
        <f t="shared" si="166"/>
        <v>5.4338704956910355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-1.383341441396624E-13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325.66150195494157</v>
      </c>
      <c r="BJ200" s="59">
        <f t="shared" si="206"/>
        <v>429.07526815514467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7.6182931940230585</v>
      </c>
      <c r="BQ200" s="21">
        <f>EXP(-LN(2)/25)*BQ199+(1-EXP(-LN(2)/25))/(LN(2)/25)*Calculateur!BL200*Calculateur!BN200*VLOOKUP('Données projet'!$B$11,Paramètres!$A$1:$I$89,3,0)*0.475*44/12</f>
        <v>0.15787838412952121</v>
      </c>
      <c r="BR200" s="21">
        <f>EXP(-LN(2)/2)*BR199+(1-EXP(-LN(2)/2))/(LN(2)/2)*BL200*BO200*VLOOKUP('Données projet'!$B$11,Paramètres!$A$1:$I$89,3,0)*0.475*44/12</f>
        <v>1.688147136202327E-21</v>
      </c>
      <c r="BS200" s="22">
        <f t="shared" si="169"/>
        <v>7.7761715781525798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7">
        <f t="shared" si="192"/>
        <v>670.80119462819425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319</v>
      </c>
      <c r="O201" s="13">
        <f>N201*VLOOKUP('Données projet'!$B$9,Paramètres!$A$1:$I$89,3,0)*VLOOKUP('Données projet'!$B$9,Paramètres!$A$1:$I$89,5,0)</f>
        <v>253.79640000000001</v>
      </c>
      <c r="P201" s="13">
        <f t="shared" si="203"/>
        <v>61.39816832228076</v>
      </c>
      <c r="Q201" s="20">
        <f t="shared" si="162"/>
        <v>548.96387316130563</v>
      </c>
      <c r="R201" s="59">
        <f t="shared" si="191"/>
        <v>842.29720649463889</v>
      </c>
      <c r="S201" s="59">
        <f ca="1">AVERAGE(OFFSET($R$3,0,0,'Données projet'!$E$9+1,1))-AVERAGE(OFFSET($H$3,0,0,'Données projet'!$E$9+1,1))</f>
        <v>244.71206779102869</v>
      </c>
      <c r="T201" s="59">
        <f t="shared" si="204"/>
        <v>248.77995374147798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3.644975365362737</v>
      </c>
      <c r="AA201" s="21">
        <f>EXP(-LN(2)/25)*AA200+(1-EXP(-LN(2)/25))/(LN(2)/25)*Calculateur!V201*Calculateur!X201*VLOOKUP('Données projet'!$B$9,Paramètres!$A$1:$I$89,3,0)*0.475*44/12</f>
        <v>0.13089936129800558</v>
      </c>
      <c r="AB201" s="21">
        <f>EXP(-LN(2)/2)*AB200+(1-EXP(-LN(2)/2))/(LN(2)/2)*V201*Y201*VLOOKUP('Données projet'!$B$9,Paramètres!$A$1:$I$89,3,0)*0.475*44/12</f>
        <v>1.0638970390123227E-18</v>
      </c>
      <c r="AC201" s="22">
        <f t="shared" si="163"/>
        <v>3.7758747266607426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290.17948717948696</v>
      </c>
      <c r="AJ201" s="13">
        <f>AI201*VLOOKUP('Données projet'!$B$10,Paramètres!$A$1:$I$89,3,0)*VLOOKUP('Données projet'!$B$10,Paramètres!$A$1:$I$89,5,0)</f>
        <v>194.65239999999986</v>
      </c>
      <c r="AK201" s="13">
        <f t="shared" si="164"/>
        <v>48.567079789480402</v>
      </c>
      <c r="AL201" s="20">
        <f t="shared" si="165"/>
        <v>423.60726063334477</v>
      </c>
      <c r="AM201" s="59">
        <f t="shared" si="193"/>
        <v>716.94059396667808</v>
      </c>
      <c r="AN201" s="59">
        <f ca="1">AVERAGE(OFFSET($AM$3,0,0,'Données projet'!$E$10+1,1))-AVERAGE(OFFSET($H$3,0,0,'Données projet'!$E$10+1,1))</f>
        <v>177.71717275462748</v>
      </c>
      <c r="AO201" s="59">
        <f t="shared" si="205"/>
        <v>183.73714278300957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5.1943635628293894</v>
      </c>
      <c r="AV201" s="21">
        <f>EXP(-LN(2)/25)*AV200+(1-EXP(-LN(2)/25))/(LN(2)/25)*Calculateur!AQ201*Calculateur!AS201*VLOOKUP('Données projet'!$B$10,Paramètres!$A$1:$I$89,3,0)*0.475*44/12</f>
        <v>0.13190300351012618</v>
      </c>
      <c r="AW201" s="21">
        <f>EXP(-LN(2)/2)*AW200+(1-EXP(-LN(2)/2))/(LN(2)/2)*AQ201*AT201*VLOOKUP('Données projet'!$B$10,Paramètres!$A$1:$I$89,3,0)*0.475*44/12</f>
        <v>1.7777495837582729E-18</v>
      </c>
      <c r="AX201" s="21">
        <f t="shared" si="166"/>
        <v>5.3262665663395152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-1.383341441396624E-13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325.66150195494157</v>
      </c>
      <c r="BJ201" s="59">
        <f t="shared" si="206"/>
        <v>429.07526815514467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7.4689031111882915</v>
      </c>
      <c r="BQ201" s="21">
        <f>EXP(-LN(2)/25)*BQ200+(1-EXP(-LN(2)/25))/(LN(2)/25)*Calculateur!BL201*Calculateur!BN201*VLOOKUP('Données projet'!$B$11,Paramètres!$A$1:$I$89,3,0)*0.475*44/12</f>
        <v>0.15356119141303606</v>
      </c>
      <c r="BR201" s="21">
        <f>EXP(-LN(2)/2)*BR200+(1-EXP(-LN(2)/2))/(LN(2)/2)*BL201*BO201*VLOOKUP('Données projet'!$B$11,Paramètres!$A$1:$I$89,3,0)*0.475*44/12</f>
        <v>1.1937002876493157E-21</v>
      </c>
      <c r="BS201" s="22">
        <f t="shared" si="169"/>
        <v>7.6224643026013279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7">
        <f t="shared" si="192"/>
        <v>672.66269777091657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319</v>
      </c>
      <c r="O202" s="13">
        <f>N202*VLOOKUP('Données projet'!$B$9,Paramètres!$A$1:$I$89,3,0)*VLOOKUP('Données projet'!$B$9,Paramètres!$A$1:$I$89,5,0)</f>
        <v>253.79640000000001</v>
      </c>
      <c r="P202" s="13">
        <f t="shared" si="203"/>
        <v>61.39816832228076</v>
      </c>
      <c r="Q202" s="20">
        <f t="shared" si="162"/>
        <v>548.96387316130563</v>
      </c>
      <c r="R202" s="59">
        <f t="shared" si="191"/>
        <v>842.29720649463889</v>
      </c>
      <c r="S202" s="59">
        <f ca="1">AVERAGE(OFFSET($R$3,0,0,'Données projet'!$E$9+1,1))-AVERAGE(OFFSET($H$3,0,0,'Données projet'!$E$9+1,1))</f>
        <v>244.71206779102869</v>
      </c>
      <c r="T202" s="59">
        <f t="shared" si="204"/>
        <v>248.77995374147798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3.5734996216634225</v>
      </c>
      <c r="AA202" s="21">
        <f>EXP(-LN(2)/25)*AA201+(1-EXP(-LN(2)/25))/(LN(2)/25)*Calculateur!V202*Calculateur!X202*VLOOKUP('Données projet'!$B$9,Paramètres!$A$1:$I$89,3,0)*0.475*44/12</f>
        <v>0.12731991137961338</v>
      </c>
      <c r="AB202" s="21">
        <f>EXP(-LN(2)/2)*AB201+(1-EXP(-LN(2)/2))/(LN(2)/2)*V202*Y202*VLOOKUP('Données projet'!$B$9,Paramètres!$A$1:$I$89,3,0)*0.475*44/12</f>
        <v>7.5228881076990228E-19</v>
      </c>
      <c r="AC202" s="22">
        <f t="shared" si="163"/>
        <v>3.700819533043036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290.17948717948696</v>
      </c>
      <c r="AJ202" s="13">
        <f>AI202*VLOOKUP('Données projet'!$B$10,Paramètres!$A$1:$I$89,3,0)*VLOOKUP('Données projet'!$B$10,Paramètres!$A$1:$I$89,5,0)</f>
        <v>194.65239999999986</v>
      </c>
      <c r="AK202" s="13">
        <f t="shared" si="164"/>
        <v>48.567079789480402</v>
      </c>
      <c r="AL202" s="20">
        <f t="shared" si="165"/>
        <v>423.60726063334477</v>
      </c>
      <c r="AM202" s="59">
        <f t="shared" si="193"/>
        <v>716.94059396667808</v>
      </c>
      <c r="AN202" s="59">
        <f ca="1">AVERAGE(OFFSET($AM$3,0,0,'Données projet'!$E$10+1,1))-AVERAGE(OFFSET($H$3,0,0,'Données projet'!$E$10+1,1))</f>
        <v>177.71717275462748</v>
      </c>
      <c r="AO202" s="59">
        <f t="shared" si="205"/>
        <v>183.73714278300957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5.0925052616112394</v>
      </c>
      <c r="AV202" s="21">
        <f>EXP(-LN(2)/25)*AV201+(1-EXP(-LN(2)/25))/(LN(2)/25)*Calculateur!AQ202*Calculateur!AS202*VLOOKUP('Données projet'!$B$10,Paramètres!$A$1:$I$89,3,0)*0.475*44/12</f>
        <v>0.1282961089426643</v>
      </c>
      <c r="AW202" s="21">
        <f>EXP(-LN(2)/2)*AW201+(1-EXP(-LN(2)/2))/(LN(2)/2)*AQ202*AT202*VLOOKUP('Données projet'!$B$10,Paramètres!$A$1:$I$89,3,0)*0.475*44/12</f>
        <v>1.2570587859270371E-18</v>
      </c>
      <c r="AX202" s="21">
        <f t="shared" si="166"/>
        <v>5.2208013705539038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-1.383341441396624E-13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325.66150195494157</v>
      </c>
      <c r="BJ202" s="59">
        <f t="shared" si="206"/>
        <v>429.07526815514467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7.3224424767589609</v>
      </c>
      <c r="BQ202" s="21">
        <f>EXP(-LN(2)/25)*BQ201+(1-EXP(-LN(2)/25))/(LN(2)/25)*Calculateur!BL202*Calculateur!BN202*VLOOKUP('Données projet'!$B$11,Paramètres!$A$1:$I$89,3,0)*0.475*44/12</f>
        <v>0.1493620525584145</v>
      </c>
      <c r="BR202" s="21">
        <f>EXP(-LN(2)/2)*BR201+(1-EXP(-LN(2)/2))/(LN(2)/2)*BL202*BO202*VLOOKUP('Données projet'!$B$11,Paramètres!$A$1:$I$89,3,0)*0.475*44/12</f>
        <v>8.4407356810116359E-22</v>
      </c>
      <c r="BS202" s="22">
        <f t="shared" si="169"/>
        <v>7.4718045293173754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7">
        <f t="shared" si="192"/>
        <v>674.52400210639098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319</v>
      </c>
      <c r="O203" s="13">
        <f>N203*VLOOKUP('Données projet'!$B$9,Paramètres!$A$1:$I$89,3,0)*VLOOKUP('Données projet'!$B$9,Paramètres!$A$1:$I$89,5,0)</f>
        <v>253.79640000000001</v>
      </c>
      <c r="P203" s="13">
        <f t="shared" si="203"/>
        <v>61.39816832228076</v>
      </c>
      <c r="Q203" s="20">
        <f t="shared" si="162"/>
        <v>548.96387316130563</v>
      </c>
      <c r="R203" s="59">
        <f t="shared" si="191"/>
        <v>842.29720649463889</v>
      </c>
      <c r="S203" s="59">
        <f ca="1">AVERAGE(OFFSET($R$3,0,0,'Données projet'!$E$9+1,1))-AVERAGE(OFFSET($H$3,0,0,'Données projet'!$E$9+1,1))</f>
        <v>244.71206779102869</v>
      </c>
      <c r="T203" s="59">
        <f t="shared" si="204"/>
        <v>248.77995374147798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3.5034254737021526</v>
      </c>
      <c r="AA203" s="21">
        <f>EXP(-LN(2)/25)*AA202+(1-EXP(-LN(2)/25))/(LN(2)/25)*Calculateur!V203*Calculateur!X203*VLOOKUP('Données projet'!$B$9,Paramètres!$A$1:$I$89,3,0)*0.475*44/12</f>
        <v>0.12383834170747471</v>
      </c>
      <c r="AB203" s="21">
        <f>EXP(-LN(2)/2)*AB202+(1-EXP(-LN(2)/2))/(LN(2)/2)*V203*Y203*VLOOKUP('Données projet'!$B$9,Paramètres!$A$1:$I$89,3,0)*0.475*44/12</f>
        <v>5.3194851950616134E-19</v>
      </c>
      <c r="AC203" s="22">
        <f t="shared" si="163"/>
        <v>3.6272638154096275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290.17948717948696</v>
      </c>
      <c r="AJ203" s="13">
        <f>AI203*VLOOKUP('Données projet'!$B$10,Paramètres!$A$1:$I$89,3,0)*VLOOKUP('Données projet'!$B$10,Paramètres!$A$1:$I$89,5,0)</f>
        <v>194.65239999999986</v>
      </c>
      <c r="AK203" s="13">
        <f t="shared" si="164"/>
        <v>48.567079789480402</v>
      </c>
      <c r="AL203" s="20">
        <f t="shared" si="165"/>
        <v>423.60726063334477</v>
      </c>
      <c r="AM203" s="59">
        <f t="shared" si="193"/>
        <v>716.94059396667808</v>
      </c>
      <c r="AN203" s="59">
        <f ca="1">AVERAGE(OFFSET($AM$3,0,0,'Données projet'!$E$10+1,1))-AVERAGE(OFFSET($H$3,0,0,'Données projet'!$E$10+1,1))</f>
        <v>177.71717275462748</v>
      </c>
      <c r="AO203" s="59">
        <f t="shared" si="205"/>
        <v>183.73714278300957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4.9926443395525482</v>
      </c>
      <c r="AV203" s="21">
        <f>EXP(-LN(2)/25)*AV202+(1-EXP(-LN(2)/25))/(LN(2)/25)*Calculateur!AQ203*Calculateur!AS203*VLOOKUP('Données projet'!$B$10,Paramètres!$A$1:$I$89,3,0)*0.475*44/12</f>
        <v>0.124787845096828</v>
      </c>
      <c r="AW203" s="21">
        <f>EXP(-LN(2)/2)*AW202+(1-EXP(-LN(2)/2))/(LN(2)/2)*AQ203*AT203*VLOOKUP('Données projet'!$B$10,Paramètres!$A$1:$I$89,3,0)*0.475*44/12</f>
        <v>8.8887479187913647E-19</v>
      </c>
      <c r="AX203" s="21">
        <f t="shared" si="166"/>
        <v>5.1174321846493758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-1.383341441396624E-13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325.66150195494157</v>
      </c>
      <c r="BJ203" s="59">
        <f t="shared" si="206"/>
        <v>429.07526815514467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7.1788538460386233</v>
      </c>
      <c r="BQ203" s="21">
        <f>EXP(-LN(2)/25)*BQ202+(1-EXP(-LN(2)/25))/(LN(2)/25)*Calculateur!BL203*Calculateur!BN203*VLOOKUP('Données projet'!$B$11,Paramètres!$A$1:$I$89,3,0)*0.475*44/12</f>
        <v>0.14527773937659569</v>
      </c>
      <c r="BR203" s="21">
        <f>EXP(-LN(2)/2)*BR202+(1-EXP(-LN(2)/2))/(LN(2)/2)*BL203*BO203*VLOOKUP('Données projet'!$B$11,Paramètres!$A$1:$I$89,3,0)*0.475*44/12</f>
        <v>5.9685014382465795E-22</v>
      </c>
      <c r="BS203" s="22">
        <f t="shared" si="169"/>
        <v>7.3241315854152189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1.3208724756526424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1.4172437739267318</v>
      </c>
      <c r="BA205" s="82">
        <f>EXP(LN('Données projet'!B88)/'Données projet'!A88)</f>
        <v>1.3208724756526424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zoomScale="90" zoomScaleNormal="90" workbookViewId="0">
      <selection activeCell="M5" sqref="M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Erable plane</v>
      </c>
      <c r="B6" s="146">
        <f>'Données projet'!D9</f>
        <v>0.57000000000000006</v>
      </c>
      <c r="C6" s="147">
        <f ca="1">IF(OR('Données projet'!B9="",'Données projet'!C9="",'Données projet'!C9=0%),0,Calculateur!S3)</f>
        <v>244.71206779102869</v>
      </c>
      <c r="D6" s="147">
        <f>IF(OR('Données projet'!B9="",'Données projet'!C9="",'Données projet'!C9=0%),0,Calculateur!T3)</f>
        <v>248.77995374147798</v>
      </c>
      <c r="E6" s="147">
        <f ca="1">MIN(C6,D6)</f>
        <v>244.71206779102869</v>
      </c>
      <c r="F6" s="147">
        <f ca="1">E6*B6</f>
        <v>139.48587864088637</v>
      </c>
      <c r="G6" s="147">
        <f ca="1">F6*(100%-'Données projet'!$C$24)*(100%-'Données projet'!$C$25)*(100%-'Données projet'!$C$26)*(100%-'Données projet'!$C$27)</f>
        <v>125.53729077679773</v>
      </c>
      <c r="H6" s="148">
        <f>IF(OR('Données projet'!B9="",'Données projet'!C9="",'Données projet'!C9=0%),0,AVERAGE(Calculateur!$AC$3:$AC$33)*B6)</f>
        <v>1.1671659582679665</v>
      </c>
      <c r="I6" s="149">
        <f>H6*(100%-'Données projet'!$C$24)*(100%-'Données projet'!$C$25)*(100%-'Données projet'!$C$26)*(100%-'Données projet'!$C$27)</f>
        <v>1.0504493624411699</v>
      </c>
      <c r="J6" s="150">
        <f>IF(OR('Données projet'!B9="",'Données projet'!C9="",'Données projet'!C9=0%),0,SUM(Calculateur!$V$3:$V$33)*VLOOKUP('Données projet'!$B$9,Paramètres!$A$1:$I$89,9,0)*B6)</f>
        <v>19.522500000000001</v>
      </c>
      <c r="K6" s="151">
        <f>J6*(100%-'Données projet'!$C$24)*(100%-'Données projet'!$C$25)*(100%-'Données projet'!$C$26)*(100%-'Données projet'!$C$27)</f>
        <v>17.570250000000001</v>
      </c>
      <c r="L6" s="152">
        <f ca="1">G6+I6+K6</f>
        <v>144.1579901392389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Tilleul</v>
      </c>
      <c r="B7" s="154">
        <f>'Données projet'!D10</f>
        <v>0.57000000000000006</v>
      </c>
      <c r="C7" s="147">
        <f ca="1">IF(OR('Données projet'!B10="",'Données projet'!C10="",'Données projet'!C10=0%),0,Calculateur!AN3)</f>
        <v>177.71717275462748</v>
      </c>
      <c r="D7" s="147">
        <f>IF(OR('Données projet'!B10="",'Données projet'!C10="",'Données projet'!C10=0%),0,Calculateur!AO3)</f>
        <v>183.73714278300957</v>
      </c>
      <c r="E7" s="147">
        <f t="shared" ref="E7:E15" ca="1" si="0">MIN(C7,D7)</f>
        <v>177.71717275462748</v>
      </c>
      <c r="F7" s="147">
        <f t="shared" ref="F7:F15" ca="1" si="1">E7*B7</f>
        <v>101.29878847013768</v>
      </c>
      <c r="G7" s="147">
        <f ca="1">F7*(100%-'Données projet'!$C$24)*(100%-'Données projet'!$C$25)*(100%-'Données projet'!$C$26)*(100%-'Données projet'!$C$27)</f>
        <v>91.168909623123909</v>
      </c>
      <c r="H7" s="155">
        <f>IF(OR('Données projet'!B10="",'Données projet'!C10="",'Données projet'!C10=0%),0,AVERAGE(Calculateur!$AX$3:$AX$33)*B7)</f>
        <v>1.8186361000795628</v>
      </c>
      <c r="I7" s="149">
        <f>H7*(100%-'Données projet'!$C$24)*(100%-'Données projet'!$C$25)*(100%-'Données projet'!$C$26)*(100%-'Données projet'!$C$27)</f>
        <v>1.6367724900716065</v>
      </c>
      <c r="J7" s="150">
        <f>IF(OR('Données projet'!B10="",'Données projet'!C10="",'Données projet'!C10=0%),0,SUM(Calculateur!$AQ$3:$AQ$33)*VLOOKUP('Données projet'!$B$10,Paramètres!$A$1:$I$89,9,0)*B7)</f>
        <v>17.385000000000002</v>
      </c>
      <c r="K7" s="151">
        <f>J7*(100%-'Données projet'!$C$24)*(100%-'Données projet'!$C$25)*(100%-'Données projet'!$C$26)*(100%-'Données projet'!$C$27)</f>
        <v>15.646500000000001</v>
      </c>
      <c r="L7" s="152">
        <f t="shared" ref="L7:L15" ca="1" si="2">G7+I7+K7</f>
        <v>108.45218211319552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Noyer</v>
      </c>
      <c r="B8" s="154">
        <f>'Données projet'!D11</f>
        <v>0.36</v>
      </c>
      <c r="C8" s="147">
        <f ca="1">IF(OR('Données projet'!B11="",'Données projet'!C11="",'Données projet'!C11=0%),0,Calculateur!BI3)</f>
        <v>325.66150195494157</v>
      </c>
      <c r="D8" s="147">
        <f>IF(OR('Données projet'!B11="",'Données projet'!C11="",'Données projet'!C11=0%),0,Calculateur!BJ3)</f>
        <v>429.07526815514467</v>
      </c>
      <c r="E8" s="147">
        <f t="shared" ca="1" si="0"/>
        <v>325.66150195494157</v>
      </c>
      <c r="F8" s="147">
        <f t="shared" ca="1" si="1"/>
        <v>117.23814070377897</v>
      </c>
      <c r="G8" s="147">
        <f ca="1">F8*(100%-'Données projet'!$C$24)*(100%-'Données projet'!$C$25)*(100%-'Données projet'!$C$26)*(100%-'Données projet'!$C$27)</f>
        <v>105.51432663340107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105.51432663340107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358.022807814803</v>
      </c>
      <c r="G16" s="166">
        <f t="shared" ca="1" si="3"/>
        <v>322.2205270333227</v>
      </c>
      <c r="H16" s="167">
        <f t="shared" si="3"/>
        <v>2.9858020583475291</v>
      </c>
      <c r="I16" s="167">
        <f t="shared" si="3"/>
        <v>2.6872218525127765</v>
      </c>
      <c r="J16" s="168">
        <f t="shared" si="3"/>
        <v>36.907499999999999</v>
      </c>
      <c r="K16" s="168">
        <f t="shared" si="3"/>
        <v>33.216750000000005</v>
      </c>
      <c r="L16" s="169">
        <f t="shared" ca="1" si="3"/>
        <v>358.12449888583552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Erable plane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R11" zoomScaleNormal="100" workbookViewId="0">
      <selection activeCell="F90" sqref="F9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Erable plane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1461.978870129725</v>
      </c>
      <c r="U10" s="178">
        <f>'Données projet'!D9</f>
        <v>0.57000000000000006</v>
      </c>
      <c r="V10" s="177">
        <f>U10*T10</f>
        <v>833.32795597394329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Tilleul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1964.8783830326222</v>
      </c>
      <c r="U11" s="178">
        <f>'Données projet'!D10</f>
        <v>0.57000000000000006</v>
      </c>
      <c r="V11" s="177">
        <f t="shared" ref="V11" si="0">U11*T11</f>
        <v>1119.9806783285949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Noyer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13581.306309536378</v>
      </c>
      <c r="U12" s="178">
        <f>'Données projet'!D11</f>
        <v>0.36</v>
      </c>
      <c r="V12" s="177">
        <f t="shared" ref="V12:V19" si="1">U12*T12</f>
        <v>4889.2702714330962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Erable plane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70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3500.0000000000055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7749.52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1045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1045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32</v>
      </c>
      <c r="C23" s="193">
        <v>12</v>
      </c>
      <c r="D23" s="182">
        <f>B23*C23</f>
        <v>384</v>
      </c>
      <c r="E23" s="193">
        <f>75+(D23*12%)</f>
        <v>121.08</v>
      </c>
      <c r="F23" s="230"/>
      <c r="H23" s="190">
        <v>4</v>
      </c>
      <c r="I23" s="191">
        <v>1045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-8404.580544427683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35</v>
      </c>
      <c r="C24" s="193">
        <v>15</v>
      </c>
      <c r="D24" s="182">
        <f t="shared" ref="D24:D42" si="2">B24*C24</f>
        <v>525</v>
      </c>
      <c r="E24" s="193">
        <f t="shared" ref="E24:E36" si="3">75+(D24*12%)</f>
        <v>138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241.00107074629659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35</v>
      </c>
      <c r="C25" s="193">
        <v>20</v>
      </c>
      <c r="D25" s="182">
        <f t="shared" si="2"/>
        <v>700</v>
      </c>
      <c r="E25" s="193">
        <f t="shared" si="3"/>
        <v>159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-8645.58161517398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35</v>
      </c>
      <c r="C26" s="193">
        <v>20</v>
      </c>
      <c r="D26" s="182">
        <f t="shared" si="2"/>
        <v>700</v>
      </c>
      <c r="E26" s="193">
        <f t="shared" si="3"/>
        <v>159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35</v>
      </c>
      <c r="C27" s="193">
        <v>30</v>
      </c>
      <c r="D27" s="182">
        <f t="shared" si="2"/>
        <v>1050</v>
      </c>
      <c r="E27" s="193">
        <f t="shared" si="3"/>
        <v>201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35</v>
      </c>
      <c r="C28" s="193">
        <v>30</v>
      </c>
      <c r="D28" s="182">
        <f t="shared" si="2"/>
        <v>1050</v>
      </c>
      <c r="E28" s="193">
        <f t="shared" si="3"/>
        <v>201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24</v>
      </c>
      <c r="C29" s="193">
        <v>40</v>
      </c>
      <c r="D29" s="182">
        <f t="shared" si="2"/>
        <v>960</v>
      </c>
      <c r="E29" s="193">
        <f t="shared" si="3"/>
        <v>190.2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19</v>
      </c>
      <c r="C30" s="193">
        <v>40</v>
      </c>
      <c r="D30" s="182">
        <f t="shared" si="2"/>
        <v>760</v>
      </c>
      <c r="E30" s="193">
        <f t="shared" si="3"/>
        <v>166.2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16</v>
      </c>
      <c r="C31" s="193">
        <v>60</v>
      </c>
      <c r="D31" s="182">
        <f t="shared" si="2"/>
        <v>960</v>
      </c>
      <c r="E31" s="193">
        <f t="shared" si="3"/>
        <v>190.2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14</v>
      </c>
      <c r="C32" s="193">
        <v>80</v>
      </c>
      <c r="D32" s="182">
        <f t="shared" si="2"/>
        <v>1120</v>
      </c>
      <c r="E32" s="193">
        <f t="shared" si="3"/>
        <v>209.4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65</v>
      </c>
      <c r="B33" s="181">
        <f>'Données projet'!D46</f>
        <v>13</v>
      </c>
      <c r="C33" s="193">
        <v>90</v>
      </c>
      <c r="D33" s="182">
        <f t="shared" si="2"/>
        <v>1170</v>
      </c>
      <c r="E33" s="193">
        <f t="shared" si="3"/>
        <v>215.4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70</v>
      </c>
      <c r="B34" s="181">
        <f>'Données projet'!D47</f>
        <v>13</v>
      </c>
      <c r="C34" s="193">
        <v>110</v>
      </c>
      <c r="D34" s="182">
        <f t="shared" si="2"/>
        <v>1430</v>
      </c>
      <c r="E34" s="193">
        <f t="shared" si="3"/>
        <v>246.6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75</v>
      </c>
      <c r="B35" s="181">
        <f>'Données projet'!D48</f>
        <v>12</v>
      </c>
      <c r="C35" s="193">
        <v>150</v>
      </c>
      <c r="D35" s="182">
        <f t="shared" si="2"/>
        <v>1800</v>
      </c>
      <c r="E35" s="193">
        <f t="shared" si="3"/>
        <v>291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80</v>
      </c>
      <c r="B36" s="181">
        <f>'Données projet'!D49</f>
        <v>11</v>
      </c>
      <c r="C36" s="193">
        <v>160</v>
      </c>
      <c r="D36" s="182">
        <f t="shared" si="2"/>
        <v>1760</v>
      </c>
      <c r="E36" s="193">
        <f t="shared" si="3"/>
        <v>286.2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Tilleul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12</v>
      </c>
      <c r="C54" s="191">
        <v>12</v>
      </c>
      <c r="D54" s="179">
        <f>B54*C54</f>
        <v>144</v>
      </c>
      <c r="E54" s="193">
        <f>75+(D54*12%)</f>
        <v>92.28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22</v>
      </c>
      <c r="C55" s="191">
        <v>15</v>
      </c>
      <c r="D55" s="179">
        <f t="shared" ref="D55:D73" si="5">B55*C55</f>
        <v>330</v>
      </c>
      <c r="E55" s="193">
        <f t="shared" ref="E55:E68" si="6">75+(D55*12%)</f>
        <v>114.6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27</v>
      </c>
      <c r="C56" s="191">
        <v>20</v>
      </c>
      <c r="D56" s="179">
        <f t="shared" si="5"/>
        <v>540</v>
      </c>
      <c r="E56" s="193">
        <f t="shared" si="6"/>
        <v>139.80000000000001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30</v>
      </c>
      <c r="C57" s="191">
        <v>20</v>
      </c>
      <c r="D57" s="179">
        <f t="shared" si="5"/>
        <v>600</v>
      </c>
      <c r="E57" s="193">
        <f t="shared" si="6"/>
        <v>147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31</v>
      </c>
      <c r="C58" s="191">
        <v>30</v>
      </c>
      <c r="D58" s="179">
        <f t="shared" si="5"/>
        <v>930</v>
      </c>
      <c r="E58" s="193">
        <f t="shared" si="6"/>
        <v>186.6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31</v>
      </c>
      <c r="C59" s="191">
        <v>30</v>
      </c>
      <c r="D59" s="179">
        <f t="shared" si="5"/>
        <v>930</v>
      </c>
      <c r="E59" s="193">
        <f t="shared" si="6"/>
        <v>186.6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31</v>
      </c>
      <c r="C60" s="191">
        <v>40</v>
      </c>
      <c r="D60" s="179">
        <f t="shared" si="5"/>
        <v>1240</v>
      </c>
      <c r="E60" s="193">
        <f t="shared" si="6"/>
        <v>223.79999999999998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30</v>
      </c>
      <c r="C61" s="191">
        <v>40</v>
      </c>
      <c r="D61" s="179">
        <f t="shared" si="5"/>
        <v>1200</v>
      </c>
      <c r="E61" s="193">
        <f t="shared" si="6"/>
        <v>219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27</v>
      </c>
      <c r="C62" s="191">
        <v>60</v>
      </c>
      <c r="D62" s="179">
        <f t="shared" si="5"/>
        <v>1620</v>
      </c>
      <c r="E62" s="193">
        <f t="shared" si="6"/>
        <v>269.39999999999998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28</v>
      </c>
      <c r="C63" s="191">
        <v>80</v>
      </c>
      <c r="D63" s="179">
        <f t="shared" si="5"/>
        <v>2240</v>
      </c>
      <c r="E63" s="193">
        <f t="shared" si="6"/>
        <v>343.8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27</v>
      </c>
      <c r="C64" s="191">
        <v>90</v>
      </c>
      <c r="D64" s="179">
        <f t="shared" si="5"/>
        <v>2430</v>
      </c>
      <c r="E64" s="193">
        <f t="shared" si="6"/>
        <v>366.59999999999997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25</v>
      </c>
      <c r="C65" s="191">
        <v>110</v>
      </c>
      <c r="D65" s="179">
        <f t="shared" si="5"/>
        <v>2750</v>
      </c>
      <c r="E65" s="193">
        <f t="shared" si="6"/>
        <v>405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24</v>
      </c>
      <c r="C66" s="191">
        <v>150</v>
      </c>
      <c r="D66" s="179">
        <f t="shared" si="5"/>
        <v>3600</v>
      </c>
      <c r="E66" s="193">
        <f t="shared" si="6"/>
        <v>507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23</v>
      </c>
      <c r="C67" s="191">
        <v>160</v>
      </c>
      <c r="D67" s="179">
        <f t="shared" si="5"/>
        <v>3680</v>
      </c>
      <c r="E67" s="193">
        <f t="shared" si="6"/>
        <v>516.59999999999991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22</v>
      </c>
      <c r="C68" s="191">
        <v>160</v>
      </c>
      <c r="D68" s="179">
        <f t="shared" si="5"/>
        <v>3520</v>
      </c>
      <c r="E68" s="193">
        <f t="shared" si="6"/>
        <v>497.4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Noyer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7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7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7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7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7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7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7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0</v>
      </c>
      <c r="C86" s="191"/>
      <c r="D86" s="179">
        <f t="shared" ref="D86:D104" si="8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7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0</v>
      </c>
      <c r="C87" s="191"/>
      <c r="D87" s="179">
        <f t="shared" si="8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7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0</v>
      </c>
      <c r="C88" s="191"/>
      <c r="D88" s="179">
        <f t="shared" si="8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0</v>
      </c>
      <c r="C89" s="191"/>
      <c r="D89" s="179">
        <f t="shared" si="8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0</v>
      </c>
      <c r="C90" s="191"/>
      <c r="D90" s="179">
        <f t="shared" si="8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0</v>
      </c>
      <c r="C91" s="191"/>
      <c r="D91" s="179">
        <f t="shared" si="8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491</v>
      </c>
      <c r="C92" s="191">
        <v>250</v>
      </c>
      <c r="D92" s="179">
        <f t="shared" si="8"/>
        <v>122750</v>
      </c>
      <c r="E92" s="193">
        <f>75+(D85*12%)</f>
        <v>75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9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9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9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9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9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9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9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9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9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9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9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9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9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9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9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9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9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9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9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9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0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9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10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9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10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9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10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9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10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9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10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9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10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9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10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9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10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9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10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9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10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9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10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9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0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1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0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1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0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1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0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1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0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0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0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2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2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2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2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2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2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2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2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2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2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2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2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2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2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2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2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2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2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2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3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3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3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3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3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3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2025-01-27T17:22:45Z</dcterms:modified>
</cp:coreProperties>
</file>