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4 BEILLON - CB\"/>
    </mc:Choice>
  </mc:AlternateContent>
  <xr:revisionPtr revIDLastSave="0" documentId="13_ncr:1_{010CECB1-68AE-41BE-BC32-AFE4531C52B1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4" i="1" l="1"/>
  <c r="B124" i="1"/>
  <c r="D123" i="1"/>
  <c r="B123" i="1"/>
  <c r="D122" i="1"/>
  <c r="B122" i="1"/>
  <c r="D121" i="1"/>
  <c r="B121" i="1"/>
  <c r="D120" i="1"/>
  <c r="B120" i="1"/>
  <c r="D119" i="1"/>
  <c r="B119" i="1"/>
  <c r="D118" i="1"/>
  <c r="B118" i="1"/>
  <c r="D117" i="1"/>
  <c r="B117" i="1"/>
  <c r="D116" i="1"/>
  <c r="B116" i="1"/>
  <c r="D94" i="1"/>
  <c r="B94" i="1"/>
  <c r="D93" i="1"/>
  <c r="D92" i="1"/>
  <c r="D91" i="1"/>
  <c r="D90" i="1"/>
  <c r="D89" i="1"/>
  <c r="D88" i="1"/>
  <c r="L90" i="1" l="1"/>
  <c r="L89" i="1"/>
  <c r="L88" i="1"/>
  <c r="K90" i="1"/>
  <c r="K89" i="1"/>
  <c r="K88" i="1"/>
  <c r="F9" i="1" l="1" a="1"/>
  <c r="F9" i="1" s="1"/>
  <c r="F10" i="1" l="1" a="1"/>
  <c r="F10" i="1" s="1"/>
  <c r="F14" i="1" a="1"/>
  <c r="F14" i="1" s="1"/>
  <c r="C19" i="7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40" i="1"/>
  <c r="I114" i="1"/>
  <c r="I88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Q33" i="2"/>
  <c r="J7" i="4" s="1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E43" i="2"/>
  <c r="EQ43" i="2"/>
  <c r="EH43" i="2"/>
  <c r="CJ43" i="2"/>
  <c r="FP43" i="2"/>
  <c r="FB43" i="2"/>
  <c r="ER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A53" i="2"/>
  <c r="EU53" i="2"/>
  <c r="EG53" i="2"/>
  <c r="DW53" i="2"/>
  <c r="DB53" i="2"/>
  <c r="GH53" i="2"/>
  <c r="FL53" i="2"/>
  <c r="FC53" i="2"/>
  <c r="DZ53" i="2"/>
  <c r="DE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P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E63" i="2"/>
  <c r="EQ63" i="2"/>
  <c r="EH63" i="2"/>
  <c r="CJ63" i="2"/>
  <c r="GR63" i="2"/>
  <c r="FB63" i="2"/>
  <c r="ER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A73" i="2"/>
  <c r="EU73" i="2"/>
  <c r="EG73" i="2"/>
  <c r="DW73" i="2"/>
  <c r="DB73" i="2"/>
  <c r="DZ73" i="2"/>
  <c r="CR73" i="2"/>
  <c r="DE73" i="2"/>
  <c r="CQ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Q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A155" i="2"/>
  <c r="DI154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X156" i="2" l="1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Y159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H164" i="2"/>
  <c r="DI163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EA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W168" i="2"/>
  <c r="DI167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B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A178" i="2"/>
  <c r="ED177" i="2"/>
  <c r="EB178" i="2"/>
  <c r="HH178" i="2"/>
  <c r="HG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B179" i="2" l="1"/>
  <c r="EA179" i="2"/>
  <c r="EV179" i="2"/>
  <c r="HI179" i="2"/>
  <c r="HH179" i="2"/>
  <c r="HG179" i="2"/>
  <c r="FS179" i="2"/>
  <c r="EX179" i="2"/>
  <c r="EY179" i="2" s="1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ED184" i="2"/>
  <c r="EW185" i="2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A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C192" i="2"/>
  <c r="EB192" i="2"/>
  <c r="EA192" i="2"/>
  <c r="HH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EX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EI4" i="2" a="1"/>
  <c r="EI4" i="2" s="1"/>
  <c r="EJ4" i="2" s="1"/>
  <c r="AX198" i="2"/>
  <c r="DI200" i="2" l="1"/>
  <c r="EA201" i="2"/>
  <c r="FS201" i="2"/>
  <c r="EB201" i="2"/>
  <c r="HI201" i="2"/>
  <c r="EX201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BX5" i="2" a="1"/>
  <c r="BX5" i="2" s="1"/>
  <c r="BY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W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29" i="2" a="1"/>
  <c r="DN129" i="2" s="1"/>
  <c r="DN192" i="2" a="1"/>
  <c r="DN192" i="2" s="1"/>
  <c r="EI195" i="2" a="1"/>
  <c r="EI195" i="2" s="1"/>
  <c r="CS137" i="2" a="1"/>
  <c r="CS137" i="2" s="1"/>
  <c r="AH151" i="2" a="1"/>
  <c r="AH151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DN164" i="2" a="1"/>
  <c r="DN164" i="2" s="1"/>
  <c r="DN132" i="2" a="1"/>
  <c r="DN132" i="2" s="1"/>
  <c r="CS134" i="2" a="1"/>
  <c r="CS134" i="2" s="1"/>
  <c r="BX107" i="2" a="1"/>
  <c r="BX107" i="2" s="1"/>
  <c r="FD82" i="2" a="1"/>
  <c r="FD82" i="2" s="1"/>
  <c r="HJ202" i="2"/>
  <c r="EY202" i="2"/>
  <c r="AX200" i="2"/>
  <c r="CS24" i="2" l="1" a="1"/>
  <c r="CS24" i="2" s="1"/>
  <c r="CS116" i="2" a="1"/>
  <c r="CS116" i="2" s="1"/>
  <c r="CS38" i="2" a="1"/>
  <c r="CS38" i="2" s="1"/>
  <c r="CS105" i="2" a="1"/>
  <c r="CS105" i="2" s="1"/>
  <c r="CS114" i="2" a="1"/>
  <c r="CS114" i="2" s="1"/>
  <c r="CS161" i="2" a="1"/>
  <c r="CS161" i="2" s="1"/>
  <c r="CS77" i="2" a="1"/>
  <c r="CS77" i="2" s="1"/>
  <c r="CS129" i="2" a="1"/>
  <c r="CS129" i="2" s="1"/>
  <c r="CS120" i="2" a="1"/>
  <c r="CS120" i="2" s="1"/>
  <c r="CS52" i="2" a="1"/>
  <c r="CS52" i="2" s="1"/>
  <c r="CS72" i="2" a="1"/>
  <c r="CS72" i="2" s="1"/>
  <c r="CS66" i="2" a="1"/>
  <c r="CS66" i="2" s="1"/>
  <c r="DN187" i="2" a="1"/>
  <c r="DN187" i="2" s="1"/>
  <c r="DN135" i="2" a="1"/>
  <c r="DN135" i="2" s="1"/>
  <c r="DN103" i="2" a="1"/>
  <c r="DN103" i="2" s="1"/>
  <c r="DN186" i="2" a="1"/>
  <c r="DN186" i="2" s="1"/>
  <c r="DN110" i="2" a="1"/>
  <c r="DN110" i="2" s="1"/>
  <c r="DN188" i="2" a="1"/>
  <c r="DN188" i="2" s="1"/>
  <c r="DN113" i="2" a="1"/>
  <c r="DN113" i="2" s="1"/>
  <c r="DN137" i="2" a="1"/>
  <c r="DN137" i="2" s="1"/>
  <c r="DN86" i="2" a="1"/>
  <c r="DN86" i="2" s="1"/>
  <c r="DN176" i="2" a="1"/>
  <c r="DN176" i="2" s="1"/>
  <c r="DN167" i="2" a="1"/>
  <c r="DN167" i="2" s="1"/>
  <c r="DN123" i="2" a="1"/>
  <c r="DN123" i="2" s="1"/>
  <c r="DN177" i="2" a="1"/>
  <c r="DN177" i="2" s="1"/>
  <c r="DN184" i="2" a="1"/>
  <c r="DN184" i="2" s="1"/>
  <c r="DN115" i="2" a="1"/>
  <c r="DN115" i="2" s="1"/>
  <c r="DN152" i="2" a="1"/>
  <c r="DN152" i="2" s="1"/>
  <c r="DN124" i="2" a="1"/>
  <c r="DN124" i="2" s="1"/>
  <c r="DN190" i="2" a="1"/>
  <c r="DN190" i="2" s="1"/>
  <c r="DN133" i="2" a="1"/>
  <c r="DN133" i="2" s="1"/>
  <c r="DN162" i="2" a="1"/>
  <c r="DN162" i="2" s="1"/>
  <c r="DN153" i="2" a="1"/>
  <c r="DN153" i="2" s="1"/>
  <c r="DN168" i="2" a="1"/>
  <c r="DN168" i="2" s="1"/>
  <c r="DN150" i="2" a="1"/>
  <c r="DN150" i="2" s="1"/>
  <c r="DN170" i="2" a="1"/>
  <c r="DN170" i="2" s="1"/>
  <c r="DN155" i="2" a="1"/>
  <c r="DN155" i="2" s="1"/>
  <c r="AH163" i="2" a="1"/>
  <c r="AH163" i="2" s="1"/>
  <c r="AH199" i="2" a="1"/>
  <c r="AH199" i="2" s="1"/>
  <c r="AH166" i="2" a="1"/>
  <c r="AH166" i="2" s="1"/>
  <c r="AH90" i="2" a="1"/>
  <c r="AH90" i="2" s="1"/>
  <c r="AH92" i="2" a="1"/>
  <c r="AH92" i="2" s="1"/>
  <c r="BP203" i="2"/>
  <c r="EC203" i="2"/>
  <c r="ED203" i="2" s="1"/>
  <c r="EX203" i="2"/>
  <c r="HI203" i="2"/>
  <c r="AH144" i="2" a="1"/>
  <c r="AH144" i="2" s="1"/>
  <c r="AH198" i="2" a="1"/>
  <c r="AH198" i="2" s="1"/>
  <c r="AH146" i="2" a="1"/>
  <c r="AH146" i="2" s="1"/>
  <c r="AH197" i="2" a="1"/>
  <c r="AH197" i="2" s="1"/>
  <c r="AH143" i="2" a="1"/>
  <c r="AH143" i="2" s="1"/>
  <c r="AH201" i="2" a="1"/>
  <c r="AH201" i="2" s="1"/>
  <c r="AH155" i="2" a="1"/>
  <c r="AH155" i="2" s="1"/>
  <c r="AH186" i="2" a="1"/>
  <c r="AH186" i="2" s="1"/>
  <c r="AH140" i="2" a="1"/>
  <c r="AH140" i="2" s="1"/>
  <c r="AH157" i="2" a="1"/>
  <c r="AH157" i="2" s="1"/>
  <c r="AH162" i="2" a="1"/>
  <c r="AH162" i="2" s="1"/>
  <c r="AH89" i="2" a="1"/>
  <c r="AH89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H203" i="2" a="1"/>
  <c r="AH203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104" i="2" a="1"/>
  <c r="AH104" i="2" s="1"/>
  <c r="AH172" i="2" a="1"/>
  <c r="AH172" i="2" s="1"/>
  <c r="AH137" i="2" a="1"/>
  <c r="AH137" i="2" s="1"/>
  <c r="AH135" i="2" a="1"/>
  <c r="AH135" i="2" s="1"/>
  <c r="AH149" i="2" a="1"/>
  <c r="AH149" i="2" s="1"/>
  <c r="AH120" i="2" a="1"/>
  <c r="AH120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28" i="2" a="1"/>
  <c r="DN128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122" i="2" a="1"/>
  <c r="AH122" i="2" s="1"/>
  <c r="CS127" i="2" a="1"/>
  <c r="CS12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189" i="2" a="1"/>
  <c r="AH189" i="2" s="1"/>
  <c r="AH174" i="2" a="1"/>
  <c r="AH174" i="2" s="1"/>
  <c r="AH97" i="2" a="1"/>
  <c r="AH97" i="2" s="1"/>
  <c r="AH87" i="2" a="1"/>
  <c r="AH87" i="2" s="1"/>
  <c r="AH178" i="2" a="1"/>
  <c r="AH178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146" i="2" a="1"/>
  <c r="DN146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176" i="2" a="1"/>
  <c r="AH176" i="2" s="1"/>
  <c r="AH133" i="2" a="1"/>
  <c r="AH13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88" i="2" a="1"/>
  <c r="AH88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129" i="2" a="1"/>
  <c r="AH129" i="2" s="1"/>
  <c r="AH200" i="2" a="1"/>
  <c r="AH200" i="2" s="1"/>
  <c r="AH86" i="2" a="1"/>
  <c r="AH86" i="2" s="1"/>
  <c r="AH126" i="2" a="1"/>
  <c r="AH126" i="2" s="1"/>
  <c r="AH134" i="2" a="1"/>
  <c r="AH134" i="2" s="1"/>
  <c r="AH165" i="2" a="1"/>
  <c r="AH165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BX64" i="2" a="1"/>
  <c r="BX64" i="2" s="1"/>
  <c r="BX22" i="2" a="1"/>
  <c r="BX22" i="2" s="1"/>
  <c r="CS111" i="2" a="1"/>
  <c r="CS111" i="2" s="1"/>
  <c r="M60" i="2" a="1"/>
  <c r="M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181" i="2" a="1"/>
  <c r="DN181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117" i="2" a="1"/>
  <c r="AH117" i="2" s="1"/>
  <c r="AH124" i="2" a="1"/>
  <c r="AH124" i="2" s="1"/>
  <c r="AH196" i="2" a="1"/>
  <c r="AH196" i="2" s="1"/>
  <c r="AH119" i="2" a="1"/>
  <c r="AH119" i="2" s="1"/>
  <c r="AH103" i="2" a="1"/>
  <c r="AH103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128" i="2" a="1"/>
  <c r="AH128" i="2" s="1"/>
  <c r="AH171" i="2" a="1"/>
  <c r="AH171" i="2" s="1"/>
  <c r="AH91" i="2" a="1"/>
  <c r="AH91" i="2" s="1"/>
  <c r="AH121" i="2" a="1"/>
  <c r="AH121" i="2" s="1"/>
  <c r="AH153" i="2" a="1"/>
  <c r="AH153" i="2" s="1"/>
  <c r="AH183" i="2" a="1"/>
  <c r="AH183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EI180" i="2" a="1"/>
  <c r="EI180" i="2" s="1"/>
  <c r="EI70" i="2" a="1"/>
  <c r="EI70" i="2" s="1"/>
  <c r="GT56" i="2" a="1"/>
  <c r="GT56" i="2" s="1"/>
  <c r="GT164" i="2" a="1"/>
  <c r="GT164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FE10" i="2" l="1"/>
  <c r="FF9" i="2"/>
  <c r="FG9" i="2" s="1"/>
  <c r="FH9" i="2" s="1"/>
  <c r="FI9" i="2" s="1"/>
  <c r="EJ10" i="2"/>
  <c r="EK9" i="2"/>
  <c r="EL9" i="2" s="1"/>
  <c r="EM9" i="2" s="1"/>
  <c r="EN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FE36" i="2" l="1"/>
  <c r="FF35" i="2"/>
  <c r="FG35" i="2" s="1"/>
  <c r="FH35" i="2" s="1"/>
  <c r="FI35" i="2" s="1"/>
  <c r="EJ36" i="2"/>
  <c r="EK35" i="2"/>
  <c r="EL35" i="2" s="1"/>
  <c r="EM35" i="2" s="1"/>
  <c r="EN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I16" i="4"/>
  <c r="BE37" i="2"/>
  <c r="BS35" i="2"/>
  <c r="BF36" i="2"/>
  <c r="BG36" i="2" s="1"/>
  <c r="BH36" i="2" s="1"/>
  <c r="CD60" i="2" l="1"/>
  <c r="CD120" i="2"/>
  <c r="CD184" i="2"/>
  <c r="CD190" i="2"/>
  <c r="CD192" i="2"/>
  <c r="CD44" i="2"/>
  <c r="CD37" i="2"/>
  <c r="CD138" i="2"/>
  <c r="CD8" i="2"/>
  <c r="CD196" i="2"/>
  <c r="CD90" i="2"/>
  <c r="CD53" i="2"/>
  <c r="CD163" i="2"/>
  <c r="CD157" i="2"/>
  <c r="CD133" i="2"/>
  <c r="CD6" i="2"/>
  <c r="CD193" i="2"/>
  <c r="CD10" i="2"/>
  <c r="CD68" i="2"/>
  <c r="CD13" i="2"/>
  <c r="CD122" i="2"/>
  <c r="CD153" i="2"/>
  <c r="CD36" i="2"/>
  <c r="CD42" i="2"/>
  <c r="CD56" i="2"/>
  <c r="CD159" i="2"/>
  <c r="CD115" i="2"/>
  <c r="CD141" i="2"/>
  <c r="CD85" i="2"/>
  <c r="CD183" i="2"/>
  <c r="CD160" i="2"/>
  <c r="CD170" i="2"/>
  <c r="CD143" i="2"/>
  <c r="CD27" i="2"/>
  <c r="CD191" i="2"/>
  <c r="CD5" i="2"/>
  <c r="CD19" i="2"/>
  <c r="CD69" i="2"/>
  <c r="CD202" i="2"/>
  <c r="CD89" i="2"/>
  <c r="CD136" i="2"/>
  <c r="CD31" i="2"/>
  <c r="CD179" i="2"/>
  <c r="CD158" i="2"/>
  <c r="CD21" i="2"/>
  <c r="CD200" i="2"/>
  <c r="CD156" i="2"/>
  <c r="CD125" i="2"/>
  <c r="CD82" i="2"/>
  <c r="CD147" i="2"/>
  <c r="CD166" i="2"/>
  <c r="CD132" i="2"/>
  <c r="CD119" i="2"/>
  <c r="CD30" i="2"/>
  <c r="CD24" i="2"/>
  <c r="CD96" i="2"/>
  <c r="CD197" i="2"/>
  <c r="CD198" i="2"/>
  <c r="CD201" i="2"/>
  <c r="CD168" i="2"/>
  <c r="CD176" i="2"/>
  <c r="CD181" i="2"/>
  <c r="CD12" i="2"/>
  <c r="CD112" i="2"/>
  <c r="CD161" i="2"/>
  <c r="CD117" i="2"/>
  <c r="CD178" i="2"/>
  <c r="CD57" i="2"/>
  <c r="CD105" i="2"/>
  <c r="CD25" i="2"/>
  <c r="CD175" i="2"/>
  <c r="CD182" i="2"/>
  <c r="CD77" i="2"/>
  <c r="CD99" i="2"/>
  <c r="CD28" i="2"/>
  <c r="CD139" i="2"/>
  <c r="CD129" i="2"/>
  <c r="CD29" i="2"/>
  <c r="CD58" i="2"/>
  <c r="CD46" i="2"/>
  <c r="CD118" i="2"/>
  <c r="CD52" i="2"/>
  <c r="CD76" i="2"/>
  <c r="CD131" i="2"/>
  <c r="CD55" i="2"/>
  <c r="CD146" i="2"/>
  <c r="CD72" i="2"/>
  <c r="CD26" i="2"/>
  <c r="CD189" i="2"/>
  <c r="CD40" i="2"/>
  <c r="CD33" i="2"/>
  <c r="CD110" i="2"/>
  <c r="CD70" i="2"/>
  <c r="CD16" i="2"/>
  <c r="CD87" i="2"/>
  <c r="CD203" i="2"/>
  <c r="CD149" i="2"/>
  <c r="CD92" i="2"/>
  <c r="CD3" i="2"/>
  <c r="C9" i="4" s="1"/>
  <c r="E9" i="4" s="1"/>
  <c r="F9" i="4" s="1"/>
  <c r="G9" i="4" s="1"/>
  <c r="L9" i="4" s="1"/>
  <c r="CD23" i="2"/>
  <c r="CD150" i="2"/>
  <c r="CD195" i="2"/>
  <c r="CD15" i="2"/>
  <c r="CD107" i="2"/>
  <c r="CD11" i="2"/>
  <c r="CD114" i="2"/>
  <c r="CD180" i="2"/>
  <c r="CD177" i="2"/>
  <c r="CD188" i="2"/>
  <c r="CD79" i="2"/>
  <c r="CD126" i="2"/>
  <c r="CD111" i="2"/>
  <c r="CD106" i="2"/>
  <c r="CD41" i="2"/>
  <c r="CD162" i="2"/>
  <c r="CD22" i="2"/>
  <c r="CD17" i="2"/>
  <c r="CD65" i="2"/>
  <c r="CD137" i="2"/>
  <c r="CD174" i="2"/>
  <c r="CD123" i="2"/>
  <c r="CD7" i="2"/>
  <c r="CD140" i="2"/>
  <c r="CD173" i="2"/>
  <c r="CD63" i="2"/>
  <c r="CD124" i="2"/>
  <c r="CD86" i="2"/>
  <c r="CD51" i="2"/>
  <c r="CD142" i="2"/>
  <c r="CD109" i="2"/>
  <c r="CD194" i="2"/>
  <c r="CD35" i="2"/>
  <c r="CD104" i="2"/>
  <c r="CD151" i="2"/>
  <c r="CD103" i="2"/>
  <c r="CD48" i="2"/>
  <c r="CD187" i="2"/>
  <c r="CD32" i="2"/>
  <c r="CD186" i="2"/>
  <c r="CD102" i="2"/>
  <c r="CD38" i="2"/>
  <c r="CD73" i="2"/>
  <c r="CD165" i="2"/>
  <c r="CD95" i="2"/>
  <c r="CD59" i="2"/>
  <c r="CD39" i="2"/>
  <c r="CD199" i="2"/>
  <c r="CD45" i="2"/>
  <c r="CD66" i="2"/>
  <c r="CD47" i="2"/>
  <c r="CD62" i="2"/>
  <c r="CD172" i="2"/>
  <c r="CD128" i="2"/>
  <c r="CD84" i="2"/>
  <c r="CD91" i="2"/>
  <c r="CD167" i="2"/>
  <c r="CD152" i="2"/>
  <c r="CD134" i="2"/>
  <c r="CD97" i="2"/>
  <c r="CD169" i="2"/>
  <c r="CD101" i="2"/>
  <c r="CD18" i="2"/>
  <c r="CD154" i="2"/>
  <c r="CD20" i="2"/>
  <c r="CD88" i="2"/>
  <c r="CD144" i="2"/>
  <c r="CD121" i="2"/>
  <c r="CD50" i="2"/>
  <c r="CD83" i="2"/>
  <c r="CD164" i="2"/>
  <c r="CD80" i="2"/>
  <c r="CD9" i="2"/>
  <c r="CD155" i="2"/>
  <c r="CD130" i="2"/>
  <c r="CD135" i="2"/>
  <c r="CD34" i="2"/>
  <c r="CD108" i="2"/>
  <c r="CD74" i="2"/>
  <c r="CD116" i="2"/>
  <c r="CD113" i="2"/>
  <c r="CD93" i="2"/>
  <c r="CD67" i="2"/>
  <c r="CD75" i="2"/>
  <c r="CD185" i="2"/>
  <c r="CD71" i="2"/>
  <c r="CD14" i="2"/>
  <c r="CD145" i="2"/>
  <c r="CD49" i="2"/>
  <c r="CD98" i="2"/>
  <c r="CD43" i="2"/>
  <c r="CD61" i="2"/>
  <c r="CD148" i="2"/>
  <c r="CD100" i="2"/>
  <c r="CD81" i="2"/>
  <c r="CD94" i="2"/>
  <c r="CD127" i="2"/>
  <c r="CD54" i="2"/>
  <c r="CD78" i="2"/>
  <c r="CD171" i="2"/>
  <c r="CD64" i="2"/>
  <c r="CD4" i="2"/>
  <c r="CY101" i="2"/>
  <c r="CY24" i="2"/>
  <c r="CY78" i="2"/>
  <c r="CY158" i="2"/>
  <c r="CY9" i="2"/>
  <c r="CY41" i="2"/>
  <c r="CY186" i="2"/>
  <c r="CY71" i="2"/>
  <c r="CY61" i="2"/>
  <c r="CY113" i="2"/>
  <c r="CY21" i="2"/>
  <c r="CY65" i="2"/>
  <c r="CY136" i="2"/>
  <c r="CY176" i="2"/>
  <c r="CY29" i="2"/>
  <c r="CY182" i="2"/>
  <c r="CY98" i="2"/>
  <c r="CY179" i="2"/>
  <c r="CY108" i="2"/>
  <c r="CY47" i="2"/>
  <c r="CY16" i="2"/>
  <c r="CY117" i="2"/>
  <c r="CY154" i="2"/>
  <c r="CY96" i="2"/>
  <c r="CY93" i="2"/>
  <c r="CY84" i="2"/>
  <c r="CY200" i="2"/>
  <c r="CY174" i="2"/>
  <c r="CY105" i="2"/>
  <c r="CY3" i="2"/>
  <c r="C10" i="4" s="1"/>
  <c r="E10" i="4" s="1"/>
  <c r="F10" i="4" s="1"/>
  <c r="G10" i="4" s="1"/>
  <c r="L10" i="4" s="1"/>
  <c r="CY103" i="2"/>
  <c r="CY81" i="2"/>
  <c r="CY175" i="2"/>
  <c r="CY166" i="2"/>
  <c r="CY91" i="2"/>
  <c r="CY31" i="2"/>
  <c r="CY202" i="2"/>
  <c r="CY35" i="2"/>
  <c r="CY195" i="2"/>
  <c r="CY143" i="2"/>
  <c r="CY13" i="2"/>
  <c r="CY110" i="2"/>
  <c r="CY170" i="2"/>
  <c r="CY58" i="2"/>
  <c r="CY142" i="2"/>
  <c r="CY198" i="2"/>
  <c r="CY148" i="2"/>
  <c r="CY75" i="2"/>
  <c r="CY36" i="2"/>
  <c r="CY133" i="2"/>
  <c r="CY79" i="2"/>
  <c r="CY54" i="2"/>
  <c r="CY183" i="2"/>
  <c r="CY7" i="2"/>
  <c r="CY203" i="2"/>
  <c r="CY8" i="2"/>
  <c r="CY53" i="2"/>
  <c r="CY151" i="2"/>
  <c r="CY25" i="2"/>
  <c r="CY116" i="2"/>
  <c r="CY122" i="2"/>
  <c r="CY38" i="2"/>
  <c r="CY162" i="2"/>
  <c r="CY67" i="2"/>
  <c r="CY155" i="2"/>
  <c r="CY120" i="2"/>
  <c r="CY139" i="2"/>
  <c r="CY74" i="2"/>
  <c r="CY191" i="2"/>
  <c r="CY34" i="2"/>
  <c r="CY82" i="2"/>
  <c r="CY68" i="2"/>
  <c r="CY161" i="2"/>
  <c r="CY135" i="2"/>
  <c r="CY48" i="2"/>
  <c r="CY94" i="2"/>
  <c r="CY190" i="2"/>
  <c r="CY130" i="2"/>
  <c r="CY112" i="2"/>
  <c r="CY156" i="2"/>
  <c r="CY111" i="2"/>
  <c r="CY42" i="2"/>
  <c r="CY37" i="2"/>
  <c r="CY165" i="2"/>
  <c r="CY89" i="2"/>
  <c r="CY86" i="2"/>
  <c r="CY177" i="2"/>
  <c r="CY180" i="2"/>
  <c r="CY51" i="2"/>
  <c r="CY88" i="2"/>
  <c r="CY44" i="2"/>
  <c r="CY118" i="2"/>
  <c r="CY4" i="2"/>
  <c r="CY187" i="2"/>
  <c r="CY100" i="2"/>
  <c r="CY6" i="2"/>
  <c r="CY129" i="2"/>
  <c r="CY106" i="2"/>
  <c r="CY181" i="2"/>
  <c r="CY64" i="2"/>
  <c r="CY150" i="2"/>
  <c r="CY62" i="2"/>
  <c r="CY12" i="2"/>
  <c r="CY184" i="2"/>
  <c r="CY77" i="2"/>
  <c r="CY52" i="2"/>
  <c r="CY124" i="2"/>
  <c r="CY167" i="2"/>
  <c r="CY157" i="2"/>
  <c r="CY30" i="2"/>
  <c r="CY128" i="2"/>
  <c r="CY185" i="2"/>
  <c r="CY194" i="2"/>
  <c r="CY70" i="2"/>
  <c r="CY152" i="2"/>
  <c r="CY102" i="2"/>
  <c r="CY163" i="2"/>
  <c r="CY178" i="2"/>
  <c r="CY57" i="2"/>
  <c r="CY125" i="2"/>
  <c r="CY15" i="2"/>
  <c r="CY189" i="2"/>
  <c r="CY199" i="2"/>
  <c r="CY131" i="2"/>
  <c r="CY80" i="2"/>
  <c r="CY114" i="2"/>
  <c r="CY99" i="2"/>
  <c r="CY188" i="2"/>
  <c r="CY168" i="2"/>
  <c r="CY149" i="2"/>
  <c r="CY33" i="2"/>
  <c r="CY22" i="2"/>
  <c r="CY49" i="2"/>
  <c r="CY141" i="2"/>
  <c r="CY123" i="2"/>
  <c r="CY27" i="2"/>
  <c r="CY126" i="2"/>
  <c r="CY19" i="2"/>
  <c r="CY92" i="2"/>
  <c r="CY196" i="2"/>
  <c r="CY63" i="2"/>
  <c r="CY104" i="2"/>
  <c r="CY46" i="2"/>
  <c r="CY160" i="2"/>
  <c r="CY164" i="2"/>
  <c r="CY32" i="2"/>
  <c r="CY173" i="2"/>
  <c r="CY10" i="2"/>
  <c r="CY153" i="2"/>
  <c r="CY193" i="2"/>
  <c r="CY11" i="2"/>
  <c r="CY69" i="2"/>
  <c r="CY85" i="2"/>
  <c r="CY60" i="2"/>
  <c r="CY14" i="2"/>
  <c r="CY107" i="2"/>
  <c r="CY56" i="2"/>
  <c r="CY50" i="2"/>
  <c r="CY83" i="2"/>
  <c r="CY145" i="2"/>
  <c r="CY144" i="2"/>
  <c r="CY201" i="2"/>
  <c r="CY132" i="2"/>
  <c r="CY17" i="2"/>
  <c r="CY18" i="2"/>
  <c r="CY138" i="2"/>
  <c r="CY59" i="2"/>
  <c r="CY97" i="2"/>
  <c r="CY119" i="2"/>
  <c r="CY169" i="2"/>
  <c r="CY109" i="2"/>
  <c r="CY90" i="2"/>
  <c r="CY159" i="2"/>
  <c r="CY72" i="2"/>
  <c r="CY140" i="2"/>
  <c r="CY45" i="2"/>
  <c r="CY95" i="2"/>
  <c r="CY146" i="2"/>
  <c r="CY73" i="2"/>
  <c r="CY28" i="2"/>
  <c r="CY134" i="2"/>
  <c r="CY76" i="2"/>
  <c r="CY26" i="2"/>
  <c r="CY197" i="2"/>
  <c r="CY115" i="2"/>
  <c r="CY121" i="2"/>
  <c r="CY87" i="2"/>
  <c r="CY147" i="2"/>
  <c r="CY137" i="2"/>
  <c r="CY5" i="2"/>
  <c r="CY127" i="2"/>
  <c r="CY40" i="2"/>
  <c r="CY43" i="2"/>
  <c r="CY171" i="2"/>
  <c r="CY55" i="2"/>
  <c r="CY192" i="2"/>
  <c r="CY172" i="2"/>
  <c r="CY20" i="2"/>
  <c r="CY23" i="2"/>
  <c r="CY39" i="2"/>
  <c r="CY66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DU3" i="2" l="1"/>
  <c r="DU76" i="2" s="1"/>
  <c r="DL23" i="2"/>
  <c r="DL73" i="2"/>
  <c r="DL43" i="2"/>
  <c r="DL53" i="2"/>
  <c r="DL63" i="2"/>
  <c r="DL33" i="2"/>
  <c r="DM23" i="2"/>
  <c r="I170" i="1"/>
  <c r="DM63" i="2"/>
  <c r="DN38" i="2" a="1"/>
  <c r="DN38" i="2" s="1"/>
  <c r="I168" i="1"/>
  <c r="DM43" i="2"/>
  <c r="DN53" i="2" a="1"/>
  <c r="DN53" i="2" s="1"/>
  <c r="I169" i="1"/>
  <c r="DM53" i="2"/>
  <c r="DN71" i="2" a="1"/>
  <c r="DN71" i="2" s="1"/>
  <c r="DM73" i="2"/>
  <c r="DN59" i="2" s="1" a="1"/>
  <c r="DN59" i="2" s="1"/>
  <c r="I167" i="1"/>
  <c r="DM33" i="2"/>
  <c r="DN14" i="2" s="1" a="1"/>
  <c r="DN14" i="2" s="1"/>
  <c r="DN74" i="2" a="1"/>
  <c r="DN74" i="2" s="1"/>
  <c r="I171" i="1"/>
  <c r="I172" i="1"/>
  <c r="DM83" i="2"/>
  <c r="DN75" i="2" s="1" a="1"/>
  <c r="DN75" i="2" s="1"/>
  <c r="DL205" i="2"/>
  <c r="I166" i="1"/>
  <c r="DU46" i="2" l="1"/>
  <c r="DU199" i="2"/>
  <c r="DU42" i="2"/>
  <c r="DU6" i="2"/>
  <c r="DU107" i="2"/>
  <c r="DU111" i="2"/>
  <c r="DU150" i="2"/>
  <c r="DU47" i="2"/>
  <c r="DU173" i="2"/>
  <c r="DU58" i="2"/>
  <c r="DU66" i="2"/>
  <c r="DU143" i="2"/>
  <c r="DU147" i="2"/>
  <c r="DU154" i="2"/>
  <c r="DU103" i="2"/>
  <c r="DU94" i="2"/>
  <c r="DU12" i="2"/>
  <c r="DU62" i="2"/>
  <c r="DU189" i="2"/>
  <c r="DU34" i="2"/>
  <c r="DU95" i="2"/>
  <c r="DU18" i="2"/>
  <c r="DU133" i="2"/>
  <c r="DU132" i="2"/>
  <c r="DU123" i="2"/>
  <c r="DU48" i="2"/>
  <c r="DU4" i="2"/>
  <c r="DU168" i="2"/>
  <c r="DU122" i="2"/>
  <c r="DU160" i="2"/>
  <c r="DU74" i="2"/>
  <c r="DU56" i="2"/>
  <c r="DU97" i="2"/>
  <c r="DU129" i="2"/>
  <c r="DU80" i="2"/>
  <c r="DU33" i="2"/>
  <c r="DU176" i="2"/>
  <c r="DU193" i="2"/>
  <c r="DU60" i="2"/>
  <c r="DU24" i="2"/>
  <c r="DU166" i="2"/>
  <c r="DU75" i="2"/>
  <c r="DU112" i="2"/>
  <c r="DU185" i="2"/>
  <c r="DU53" i="2"/>
  <c r="DU10" i="2"/>
  <c r="DU149" i="2"/>
  <c r="DU70" i="2"/>
  <c r="DU139" i="2"/>
  <c r="DU27" i="2"/>
  <c r="DU38" i="2"/>
  <c r="DU59" i="2"/>
  <c r="DU29" i="2"/>
  <c r="DU35" i="2"/>
  <c r="DU37" i="2"/>
  <c r="DU156" i="2"/>
  <c r="DU167" i="2"/>
  <c r="DU144" i="2"/>
  <c r="DU79" i="2"/>
  <c r="DU116" i="2"/>
  <c r="DU155" i="2"/>
  <c r="DU196" i="2"/>
  <c r="DU131" i="2"/>
  <c r="DU105" i="2"/>
  <c r="DU89" i="2"/>
  <c r="DU49" i="2"/>
  <c r="DU153" i="2"/>
  <c r="DU63" i="2"/>
  <c r="DU39" i="2"/>
  <c r="DU51" i="2"/>
  <c r="DU68" i="2"/>
  <c r="DU77" i="2"/>
  <c r="DU26" i="2"/>
  <c r="DU188" i="2"/>
  <c r="DU43" i="2"/>
  <c r="DU87" i="2"/>
  <c r="DU69" i="2"/>
  <c r="DU145" i="2"/>
  <c r="DU127" i="2"/>
  <c r="DU13" i="2"/>
  <c r="DU125" i="2"/>
  <c r="DU96" i="2"/>
  <c r="DU146" i="2"/>
  <c r="DU162" i="2"/>
  <c r="DU190" i="2"/>
  <c r="DU142" i="2"/>
  <c r="DU20" i="2"/>
  <c r="DU67" i="2"/>
  <c r="DU119" i="2"/>
  <c r="DU106" i="2"/>
  <c r="DU130" i="2"/>
  <c r="DU152" i="2"/>
  <c r="DU28" i="2"/>
  <c r="DU191" i="2"/>
  <c r="DU121" i="2"/>
  <c r="DU148" i="2"/>
  <c r="DU135" i="2"/>
  <c r="DU181" i="2"/>
  <c r="DU98" i="2"/>
  <c r="DU11" i="2"/>
  <c r="DU195" i="2"/>
  <c r="DU52" i="2"/>
  <c r="DU118" i="2"/>
  <c r="DU22" i="2"/>
  <c r="DU100" i="2"/>
  <c r="DU186" i="2"/>
  <c r="DU164" i="2"/>
  <c r="DU115" i="2"/>
  <c r="DU84" i="2"/>
  <c r="DU170" i="2"/>
  <c r="DU110" i="2"/>
  <c r="DU169" i="2"/>
  <c r="DU194" i="2"/>
  <c r="DU88" i="2"/>
  <c r="DU124" i="2"/>
  <c r="DU61" i="2"/>
  <c r="DU128" i="2"/>
  <c r="DU30" i="2"/>
  <c r="DU31" i="2"/>
  <c r="DU178" i="2"/>
  <c r="DU5" i="2"/>
  <c r="DU57" i="2"/>
  <c r="DU126" i="2"/>
  <c r="DU7" i="2"/>
  <c r="DU55" i="2"/>
  <c r="DU172" i="2"/>
  <c r="DU73" i="2"/>
  <c r="DU183" i="2"/>
  <c r="DU157" i="2"/>
  <c r="DU92" i="2"/>
  <c r="DU137" i="2"/>
  <c r="DU102" i="2"/>
  <c r="DU197" i="2"/>
  <c r="DU138" i="2"/>
  <c r="DU198" i="2"/>
  <c r="DU50" i="2"/>
  <c r="DU136" i="2"/>
  <c r="DU174" i="2"/>
  <c r="DU117" i="2"/>
  <c r="DU40" i="2"/>
  <c r="DU171" i="2"/>
  <c r="DU8" i="2"/>
  <c r="DU108" i="2"/>
  <c r="DU14" i="2"/>
  <c r="DU90" i="2"/>
  <c r="DU109" i="2"/>
  <c r="DU192" i="2"/>
  <c r="DU32" i="2"/>
  <c r="DU175" i="2"/>
  <c r="DU17" i="2"/>
  <c r="DU104" i="2"/>
  <c r="DU93" i="2"/>
  <c r="DU182" i="2"/>
  <c r="DU179" i="2"/>
  <c r="DU141" i="2"/>
  <c r="DU165" i="2"/>
  <c r="DU78" i="2"/>
  <c r="DU140" i="2"/>
  <c r="DU16" i="2"/>
  <c r="DU161" i="2"/>
  <c r="DU15" i="2"/>
  <c r="DU163" i="2"/>
  <c r="DU151" i="2"/>
  <c r="DU180" i="2"/>
  <c r="DU91" i="2"/>
  <c r="DU41" i="2"/>
  <c r="DU187" i="2"/>
  <c r="DU86" i="2"/>
  <c r="DU81" i="2"/>
  <c r="DU159" i="2"/>
  <c r="DU71" i="2"/>
  <c r="DU177" i="2"/>
  <c r="DU65" i="2"/>
  <c r="DU64" i="2"/>
  <c r="DU9" i="2"/>
  <c r="DU184" i="2"/>
  <c r="DU44" i="2"/>
  <c r="DU23" i="2"/>
  <c r="DU36" i="2"/>
  <c r="DU158" i="2"/>
  <c r="DU134" i="2"/>
  <c r="DU120" i="2"/>
  <c r="DU203" i="2"/>
  <c r="DU45" i="2"/>
  <c r="DU19" i="2"/>
  <c r="DU114" i="2"/>
  <c r="DU99" i="2"/>
  <c r="DU113" i="2"/>
  <c r="D11" i="4"/>
  <c r="E11" i="4" s="1"/>
  <c r="F11" i="4" s="1"/>
  <c r="G11" i="4" s="1"/>
  <c r="L11" i="4" s="1"/>
  <c r="DU72" i="2"/>
  <c r="DU25" i="2"/>
  <c r="DU83" i="2"/>
  <c r="DU54" i="2"/>
  <c r="DU21" i="2"/>
  <c r="DU101" i="2"/>
  <c r="DU201" i="2"/>
  <c r="DU82" i="2"/>
  <c r="DU202" i="2"/>
  <c r="DU200" i="2"/>
  <c r="DU85" i="2"/>
  <c r="DN31" i="2" a="1"/>
  <c r="DN31" i="2" s="1"/>
  <c r="DN27" i="2" a="1"/>
  <c r="DN27" i="2" s="1"/>
  <c r="DN24" i="2" a="1"/>
  <c r="DN24" i="2" s="1"/>
  <c r="DN15" i="2" a="1"/>
  <c r="DN15" i="2" s="1"/>
  <c r="DN30" i="2" a="1"/>
  <c r="DN30" i="2" s="1"/>
  <c r="DN33" i="2" a="1"/>
  <c r="DN33" i="2" s="1"/>
  <c r="DN29" i="2" a="1"/>
  <c r="DN29" i="2" s="1"/>
  <c r="DN26" i="2" a="1"/>
  <c r="DN26" i="2" s="1"/>
  <c r="DN32" i="2" a="1"/>
  <c r="DN32" i="2" s="1"/>
  <c r="DN25" i="2" a="1"/>
  <c r="DN25" i="2" s="1"/>
  <c r="DN28" i="2" a="1"/>
  <c r="DN28" i="2" s="1"/>
  <c r="DN17" i="2" a="1"/>
  <c r="DN17" i="2" s="1"/>
  <c r="DN4" i="2" a="1"/>
  <c r="DN4" i="2" s="1"/>
  <c r="DO4" i="2" s="1"/>
  <c r="DN12" i="2" a="1"/>
  <c r="DN12" i="2" s="1"/>
  <c r="DN20" i="2" a="1"/>
  <c r="DN20" i="2" s="1"/>
  <c r="DN82" i="2" a="1"/>
  <c r="DN82" i="2" s="1"/>
  <c r="DN72" i="2" a="1"/>
  <c r="DN72" i="2" s="1"/>
  <c r="DN44" i="2" a="1"/>
  <c r="DN44" i="2" s="1"/>
  <c r="DN76" i="2" a="1"/>
  <c r="DN76" i="2" s="1"/>
  <c r="DN67" i="2" a="1"/>
  <c r="DN67" i="2" s="1"/>
  <c r="DN48" i="2" a="1"/>
  <c r="DN48" i="2" s="1"/>
  <c r="DN81" i="2" a="1"/>
  <c r="DN81" i="2" s="1"/>
  <c r="DN66" i="2" a="1"/>
  <c r="DN66" i="2" s="1"/>
  <c r="DN50" i="2" a="1"/>
  <c r="DN50" i="2" s="1"/>
  <c r="DN83" i="2" a="1"/>
  <c r="DN83" i="2" s="1"/>
  <c r="DN80" i="2" a="1"/>
  <c r="DN80" i="2" s="1"/>
  <c r="DN55" i="2" a="1"/>
  <c r="DN55" i="2" s="1"/>
  <c r="DN62" i="2" a="1"/>
  <c r="DN62" i="2" s="1"/>
  <c r="DN57" i="2" a="1"/>
  <c r="DN57" i="2" s="1"/>
  <c r="DN36" i="2" a="1"/>
  <c r="DN36" i="2" s="1"/>
  <c r="DN40" i="2" a="1"/>
  <c r="DN40" i="2" s="1"/>
  <c r="DN49" i="2" a="1"/>
  <c r="DN49" i="2" s="1"/>
  <c r="DN68" i="2" a="1"/>
  <c r="DN68" i="2" s="1"/>
  <c r="DN60" i="2" a="1"/>
  <c r="DN60" i="2" s="1"/>
  <c r="DN58" i="2" a="1"/>
  <c r="DN58" i="2" s="1"/>
  <c r="DN41" i="2" a="1"/>
  <c r="DN41" i="2" s="1"/>
  <c r="DN39" i="2" a="1"/>
  <c r="DN39" i="2" s="1"/>
  <c r="DN34" i="2" a="1"/>
  <c r="DN34" i="2" s="1"/>
  <c r="DN45" i="2" a="1"/>
  <c r="DN45" i="2" s="1"/>
  <c r="DN52" i="2" a="1"/>
  <c r="DN52" i="2" s="1"/>
  <c r="DN56" i="2" a="1"/>
  <c r="DN56" i="2" s="1"/>
  <c r="DN61" i="2" a="1"/>
  <c r="DN61" i="2" s="1"/>
  <c r="DN54" i="2" a="1"/>
  <c r="DN54" i="2" s="1"/>
  <c r="DN43" i="2" a="1"/>
  <c r="DN43" i="2" s="1"/>
  <c r="DN42" i="2" a="1"/>
  <c r="DN42" i="2" s="1"/>
  <c r="DN46" i="2" a="1"/>
  <c r="DN46" i="2" s="1"/>
  <c r="DN51" i="2" a="1"/>
  <c r="DN51" i="2" s="1"/>
  <c r="DN47" i="2" a="1"/>
  <c r="DN47" i="2" s="1"/>
  <c r="DN70" i="2" a="1"/>
  <c r="DN70" i="2" s="1"/>
  <c r="DN35" i="2" a="1"/>
  <c r="DN35" i="2" s="1"/>
  <c r="DN63" i="2" a="1"/>
  <c r="DN63" i="2" s="1"/>
  <c r="DN78" i="2" a="1"/>
  <c r="DN78" i="2" s="1"/>
  <c r="DN69" i="2" a="1"/>
  <c r="DN69" i="2" s="1"/>
  <c r="DN65" i="2" a="1"/>
  <c r="DN65" i="2" s="1"/>
  <c r="DN77" i="2" a="1"/>
  <c r="DN77" i="2" s="1"/>
  <c r="DN73" i="2" a="1"/>
  <c r="DN73" i="2" s="1"/>
  <c r="DN5" i="2" a="1"/>
  <c r="DN5" i="2" s="1"/>
  <c r="DN79" i="2" a="1"/>
  <c r="DN79" i="2" s="1"/>
  <c r="DN64" i="2" a="1"/>
  <c r="DN64" i="2" s="1"/>
  <c r="DN37" i="2" a="1"/>
  <c r="DN37" i="2" s="1"/>
  <c r="DN23" i="2" a="1"/>
  <c r="DN23" i="2" s="1"/>
  <c r="DN19" i="2" a="1"/>
  <c r="DN19" i="2" s="1"/>
  <c r="DN21" i="2" a="1"/>
  <c r="DN21" i="2" s="1"/>
  <c r="DN13" i="2" a="1"/>
  <c r="DN13" i="2" s="1"/>
  <c r="DN6" i="2" a="1"/>
  <c r="DN6" i="2" s="1"/>
  <c r="DN9" i="2" a="1"/>
  <c r="DN9" i="2" s="1"/>
  <c r="DN22" i="2" a="1"/>
  <c r="DN22" i="2" s="1"/>
  <c r="DN8" i="2" a="1"/>
  <c r="DN8" i="2" s="1"/>
  <c r="DN11" i="2" a="1"/>
  <c r="DN11" i="2" s="1"/>
  <c r="DN16" i="2" a="1"/>
  <c r="DN16" i="2" s="1"/>
  <c r="DN18" i="2" a="1"/>
  <c r="DN18" i="2" s="1"/>
  <c r="DN10" i="2" a="1"/>
  <c r="DN10" i="2" s="1"/>
  <c r="DN7" i="2" a="1"/>
  <c r="DN7" i="2" s="1"/>
  <c r="DP4" i="2" l="1"/>
  <c r="DO5" i="2"/>
  <c r="DQ4" i="2" l="1"/>
  <c r="DR4" i="2" s="1"/>
  <c r="DS4" i="2" s="1"/>
  <c r="DP5" i="2"/>
  <c r="DO6" i="2"/>
  <c r="DQ5" i="2" l="1"/>
  <c r="DR5" i="2" s="1"/>
  <c r="DS5" i="2" s="1"/>
  <c r="DP6" i="2"/>
  <c r="DO7" i="2"/>
  <c r="DP7" i="2" l="1"/>
  <c r="DO8" i="2"/>
  <c r="DQ6" i="2"/>
  <c r="DR6" i="2" s="1"/>
  <c r="DS6" i="2" s="1"/>
  <c r="DP8" i="2" l="1"/>
  <c r="DO9" i="2"/>
  <c r="DQ7" i="2"/>
  <c r="DR7" i="2" s="1"/>
  <c r="DS7" i="2" s="1"/>
  <c r="DP9" i="2" l="1"/>
  <c r="DO10" i="2"/>
  <c r="DQ8" i="2"/>
  <c r="DR8" i="2" s="1"/>
  <c r="DS8" i="2" s="1"/>
  <c r="DO11" i="2" l="1"/>
  <c r="DP10" i="2"/>
  <c r="DQ9" i="2"/>
  <c r="DR9" i="2" s="1"/>
  <c r="DS9" i="2" s="1"/>
  <c r="DQ10" i="2" l="1"/>
  <c r="DR10" i="2" s="1"/>
  <c r="DS10" i="2" s="1"/>
  <c r="DP11" i="2"/>
  <c r="DO12" i="2"/>
  <c r="DO13" i="2" l="1"/>
  <c r="DP12" i="2"/>
  <c r="DQ11" i="2"/>
  <c r="DR11" i="2" s="1"/>
  <c r="DS11" i="2" s="1"/>
  <c r="DQ12" i="2" l="1"/>
  <c r="DR12" i="2" s="1"/>
  <c r="DS12" i="2" s="1"/>
  <c r="DP13" i="2"/>
  <c r="DO14" i="2"/>
  <c r="DQ13" i="2" l="1"/>
  <c r="DR13" i="2"/>
  <c r="DS13" i="2" s="1"/>
  <c r="DP14" i="2"/>
  <c r="DO15" i="2"/>
  <c r="DO16" i="2" l="1"/>
  <c r="DP15" i="2"/>
  <c r="DQ14" i="2"/>
  <c r="DR14" i="2" s="1"/>
  <c r="DS14" i="2" s="1"/>
  <c r="DQ15" i="2" l="1"/>
  <c r="DR15" i="2"/>
  <c r="DS15" i="2" s="1"/>
  <c r="DP16" i="2"/>
  <c r="DO17" i="2"/>
  <c r="DQ16" i="2" l="1"/>
  <c r="DR16" i="2" s="1"/>
  <c r="DS16" i="2" s="1"/>
  <c r="DP17" i="2"/>
  <c r="DO18" i="2"/>
  <c r="DO19" i="2" l="1"/>
  <c r="DP18" i="2"/>
  <c r="DQ17" i="2"/>
  <c r="DR17" i="2" s="1"/>
  <c r="DS17" i="2" s="1"/>
  <c r="DQ18" i="2" l="1"/>
  <c r="DR18" i="2" s="1"/>
  <c r="DS18" i="2" s="1"/>
  <c r="DP19" i="2"/>
  <c r="DO20" i="2"/>
  <c r="DO21" i="2" l="1"/>
  <c r="DP20" i="2"/>
  <c r="DQ19" i="2"/>
  <c r="DR19" i="2" s="1"/>
  <c r="DS19" i="2" s="1"/>
  <c r="DQ20" i="2" l="1"/>
  <c r="DR20" i="2" s="1"/>
  <c r="DS20" i="2" s="1"/>
  <c r="DO22" i="2"/>
  <c r="DP21" i="2"/>
  <c r="DQ21" i="2" l="1"/>
  <c r="DR21" i="2" s="1"/>
  <c r="DS21" i="2" s="1"/>
  <c r="DP22" i="2"/>
  <c r="DO23" i="2"/>
  <c r="DQ22" i="2" l="1"/>
  <c r="DR22" i="2" s="1"/>
  <c r="DS22" i="2" s="1"/>
  <c r="DP23" i="2"/>
  <c r="DO24" i="2"/>
  <c r="DQ23" i="2" l="1"/>
  <c r="DR23" i="2" s="1"/>
  <c r="DS23" i="2" s="1"/>
  <c r="DP24" i="2"/>
  <c r="DO25" i="2"/>
  <c r="DP25" i="2" l="1"/>
  <c r="DO26" i="2"/>
  <c r="DQ24" i="2"/>
  <c r="DR24" i="2" s="1"/>
  <c r="DS24" i="2" s="1"/>
  <c r="DO27" i="2" l="1"/>
  <c r="DP26" i="2"/>
  <c r="DQ25" i="2"/>
  <c r="DR25" i="2" s="1"/>
  <c r="DS25" i="2" s="1"/>
  <c r="DQ26" i="2" l="1"/>
  <c r="DR26" i="2" s="1"/>
  <c r="DS26" i="2" s="1"/>
  <c r="DO28" i="2"/>
  <c r="DP27" i="2"/>
  <c r="DQ27" i="2" l="1"/>
  <c r="DR27" i="2" s="1"/>
  <c r="DS27" i="2" s="1"/>
  <c r="DO29" i="2"/>
  <c r="DP28" i="2"/>
  <c r="DQ28" i="2" l="1"/>
  <c r="DR28" i="2" s="1"/>
  <c r="DS28" i="2" s="1"/>
  <c r="DO30" i="2"/>
  <c r="DP29" i="2"/>
  <c r="DQ29" i="2" l="1"/>
  <c r="DR29" i="2" s="1"/>
  <c r="DS29" i="2" s="1"/>
  <c r="DP30" i="2"/>
  <c r="DO31" i="2"/>
  <c r="DP31" i="2" l="1"/>
  <c r="DO32" i="2"/>
  <c r="DQ30" i="2"/>
  <c r="DR30" i="2" s="1"/>
  <c r="DS30" i="2" s="1"/>
  <c r="DP32" i="2" l="1"/>
  <c r="DO33" i="2"/>
  <c r="DQ31" i="2"/>
  <c r="DR31" i="2" s="1"/>
  <c r="DS31" i="2" s="1"/>
  <c r="DO34" i="2" l="1"/>
  <c r="DP33" i="2"/>
  <c r="DQ32" i="2"/>
  <c r="DR32" i="2" s="1"/>
  <c r="DS32" i="2" s="1"/>
  <c r="DQ33" i="2" l="1"/>
  <c r="DR33" i="2" s="1"/>
  <c r="DS33" i="2" s="1"/>
  <c r="DO35" i="2"/>
  <c r="DP34" i="2"/>
  <c r="DQ34" i="2" l="1"/>
  <c r="DR34" i="2" s="1"/>
  <c r="DS34" i="2" s="1"/>
  <c r="DO36" i="2"/>
  <c r="DP35" i="2"/>
  <c r="DQ35" i="2" l="1"/>
  <c r="DR35" i="2" s="1"/>
  <c r="DS35" i="2" s="1"/>
  <c r="DO37" i="2"/>
  <c r="DP36" i="2"/>
  <c r="DQ36" i="2" l="1"/>
  <c r="DR36" i="2" s="1"/>
  <c r="DS36" i="2" s="1"/>
  <c r="DO38" i="2"/>
  <c r="DP37" i="2"/>
  <c r="DQ37" i="2" l="1"/>
  <c r="DR37" i="2" s="1"/>
  <c r="DS37" i="2" s="1"/>
  <c r="DP38" i="2"/>
  <c r="DO39" i="2"/>
  <c r="DP39" i="2" l="1"/>
  <c r="DO40" i="2"/>
  <c r="DQ38" i="2"/>
  <c r="DR38" i="2" s="1"/>
  <c r="DS38" i="2" s="1"/>
  <c r="DP40" i="2" l="1"/>
  <c r="DO41" i="2"/>
  <c r="DQ39" i="2"/>
  <c r="DR39" i="2" s="1"/>
  <c r="DS39" i="2" s="1"/>
  <c r="DO42" i="2" l="1"/>
  <c r="DP41" i="2"/>
  <c r="DQ40" i="2"/>
  <c r="DR40" i="2" s="1"/>
  <c r="DS40" i="2" s="1"/>
  <c r="DQ41" i="2" l="1"/>
  <c r="DR41" i="2" s="1"/>
  <c r="DS41" i="2" s="1"/>
  <c r="DO43" i="2"/>
  <c r="DP42" i="2"/>
  <c r="DQ42" i="2" l="1"/>
  <c r="DR42" i="2" s="1"/>
  <c r="DS42" i="2" s="1"/>
  <c r="DO44" i="2"/>
  <c r="DP43" i="2"/>
  <c r="DQ43" i="2" l="1"/>
  <c r="DR43" i="2" s="1"/>
  <c r="DS43" i="2" s="1"/>
  <c r="DO45" i="2"/>
  <c r="DP44" i="2"/>
  <c r="DQ44" i="2" l="1"/>
  <c r="DR44" i="2" s="1"/>
  <c r="DS44" i="2" s="1"/>
  <c r="DO46" i="2"/>
  <c r="DP45" i="2"/>
  <c r="DQ45" i="2" l="1"/>
  <c r="DR45" i="2" s="1"/>
  <c r="DS45" i="2" s="1"/>
  <c r="DP46" i="2"/>
  <c r="DO47" i="2"/>
  <c r="DP47" i="2" l="1"/>
  <c r="DO48" i="2"/>
  <c r="DQ46" i="2"/>
  <c r="DR46" i="2" s="1"/>
  <c r="DS46" i="2" s="1"/>
  <c r="DP48" i="2" l="1"/>
  <c r="DO49" i="2"/>
  <c r="DQ47" i="2"/>
  <c r="DR47" i="2" s="1"/>
  <c r="DS47" i="2" s="1"/>
  <c r="DO50" i="2" l="1"/>
  <c r="DP49" i="2"/>
  <c r="DQ48" i="2"/>
  <c r="DR48" i="2" s="1"/>
  <c r="DS48" i="2" s="1"/>
  <c r="DQ49" i="2" l="1"/>
  <c r="DR49" i="2" s="1"/>
  <c r="DS49" i="2" s="1"/>
  <c r="DO51" i="2"/>
  <c r="DP50" i="2"/>
  <c r="DQ50" i="2" l="1"/>
  <c r="DR50" i="2" s="1"/>
  <c r="DS50" i="2" s="1"/>
  <c r="DO52" i="2"/>
  <c r="DP51" i="2"/>
  <c r="DQ51" i="2" l="1"/>
  <c r="DR51" i="2" s="1"/>
  <c r="DS51" i="2" s="1"/>
  <c r="DO53" i="2"/>
  <c r="DP52" i="2"/>
  <c r="DQ52" i="2" l="1"/>
  <c r="DR52" i="2" s="1"/>
  <c r="DS52" i="2" s="1"/>
  <c r="DO54" i="2"/>
  <c r="DP53" i="2"/>
  <c r="DQ53" i="2" l="1"/>
  <c r="DR53" i="2" s="1"/>
  <c r="DS53" i="2" s="1"/>
  <c r="DP54" i="2"/>
  <c r="DO55" i="2"/>
  <c r="DQ54" i="2" l="1"/>
  <c r="DR54" i="2" s="1"/>
  <c r="DS54" i="2" s="1"/>
  <c r="DP55" i="2"/>
  <c r="DO56" i="2"/>
  <c r="DP56" i="2" l="1"/>
  <c r="DO57" i="2"/>
  <c r="DQ55" i="2"/>
  <c r="DR55" i="2" s="1"/>
  <c r="DS55" i="2" s="1"/>
  <c r="DO58" i="2" l="1"/>
  <c r="DP57" i="2"/>
  <c r="DQ56" i="2"/>
  <c r="DR56" i="2" s="1"/>
  <c r="DS56" i="2" s="1"/>
  <c r="DQ57" i="2" l="1"/>
  <c r="DR57" i="2" s="1"/>
  <c r="DS57" i="2" s="1"/>
  <c r="DO59" i="2"/>
  <c r="DP58" i="2"/>
  <c r="DQ58" i="2" l="1"/>
  <c r="DR58" i="2" s="1"/>
  <c r="DS58" i="2" s="1"/>
  <c r="DO60" i="2"/>
  <c r="DP59" i="2"/>
  <c r="DQ59" i="2" l="1"/>
  <c r="DR59" i="2" s="1"/>
  <c r="DS59" i="2" s="1"/>
  <c r="DO61" i="2"/>
  <c r="DP60" i="2"/>
  <c r="DQ60" i="2" l="1"/>
  <c r="DR60" i="2" s="1"/>
  <c r="DS60" i="2" s="1"/>
  <c r="DO62" i="2"/>
  <c r="DP61" i="2"/>
  <c r="DQ61" i="2" l="1"/>
  <c r="DR61" i="2" s="1"/>
  <c r="DS61" i="2" s="1"/>
  <c r="DP62" i="2"/>
  <c r="DO63" i="2"/>
  <c r="DP63" i="2" l="1"/>
  <c r="DO64" i="2"/>
  <c r="DQ62" i="2"/>
  <c r="DR62" i="2" s="1"/>
  <c r="DS62" i="2" s="1"/>
  <c r="DP64" i="2" l="1"/>
  <c r="DO65" i="2"/>
  <c r="DQ63" i="2"/>
  <c r="DR63" i="2" s="1"/>
  <c r="DS63" i="2" s="1"/>
  <c r="DO66" i="2" l="1"/>
  <c r="DP65" i="2"/>
  <c r="DQ64" i="2"/>
  <c r="DR64" i="2" s="1"/>
  <c r="DS64" i="2" s="1"/>
  <c r="DQ65" i="2" l="1"/>
  <c r="DR65" i="2" s="1"/>
  <c r="DS65" i="2" s="1"/>
  <c r="DO67" i="2"/>
  <c r="DP66" i="2"/>
  <c r="DQ66" i="2" l="1"/>
  <c r="DR66" i="2" s="1"/>
  <c r="DS66" i="2" s="1"/>
  <c r="DO68" i="2"/>
  <c r="DP67" i="2"/>
  <c r="DQ67" i="2" l="1"/>
  <c r="DR67" i="2" s="1"/>
  <c r="DS67" i="2" s="1"/>
  <c r="DO69" i="2"/>
  <c r="DP68" i="2"/>
  <c r="DQ68" i="2" l="1"/>
  <c r="DR68" i="2" s="1"/>
  <c r="DS68" i="2" s="1"/>
  <c r="DP69" i="2"/>
  <c r="DO70" i="2"/>
  <c r="DQ69" i="2" l="1"/>
  <c r="DR69" i="2" s="1"/>
  <c r="DS69" i="2" s="1"/>
  <c r="DP70" i="2"/>
  <c r="DO71" i="2"/>
  <c r="DQ70" i="2" l="1"/>
  <c r="DR70" i="2" s="1"/>
  <c r="DS70" i="2" s="1"/>
  <c r="DP71" i="2"/>
  <c r="DO72" i="2"/>
  <c r="DP72" i="2" l="1"/>
  <c r="DO73" i="2"/>
  <c r="DQ71" i="2"/>
  <c r="DR71" i="2" s="1"/>
  <c r="DS71" i="2" s="1"/>
  <c r="DP73" i="2" l="1"/>
  <c r="DO74" i="2"/>
  <c r="DQ72" i="2"/>
  <c r="DR72" i="2" s="1"/>
  <c r="DS72" i="2" s="1"/>
  <c r="DO75" i="2" l="1"/>
  <c r="DP74" i="2"/>
  <c r="DQ73" i="2"/>
  <c r="DR73" i="2" s="1"/>
  <c r="DS73" i="2" s="1"/>
  <c r="DQ74" i="2" l="1"/>
  <c r="DR74" i="2" s="1"/>
  <c r="DS74" i="2" s="1"/>
  <c r="DO76" i="2"/>
  <c r="DP75" i="2"/>
  <c r="DQ75" i="2" l="1"/>
  <c r="DR75" i="2" s="1"/>
  <c r="DS75" i="2" s="1"/>
  <c r="DO77" i="2"/>
  <c r="DP76" i="2"/>
  <c r="DQ76" i="2" l="1"/>
  <c r="DR76" i="2" s="1"/>
  <c r="DS76" i="2" s="1"/>
  <c r="DO78" i="2"/>
  <c r="DP77" i="2"/>
  <c r="DQ77" i="2" l="1"/>
  <c r="DR77" i="2" s="1"/>
  <c r="DS77" i="2" s="1"/>
  <c r="DP78" i="2"/>
  <c r="DO79" i="2"/>
  <c r="DP79" i="2" l="1"/>
  <c r="DO80" i="2"/>
  <c r="DQ78" i="2"/>
  <c r="DR78" i="2" s="1"/>
  <c r="DS78" i="2" s="1"/>
  <c r="DP80" i="2" l="1"/>
  <c r="DO81" i="2"/>
  <c r="DQ79" i="2"/>
  <c r="DR79" i="2" s="1"/>
  <c r="DS79" i="2" s="1"/>
  <c r="DO82" i="2" l="1"/>
  <c r="DP81" i="2"/>
  <c r="DQ80" i="2"/>
  <c r="DR80" i="2" s="1"/>
  <c r="DS80" i="2" s="1"/>
  <c r="DQ81" i="2" l="1"/>
  <c r="DR81" i="2" s="1"/>
  <c r="DS81" i="2" s="1"/>
  <c r="DO83" i="2"/>
  <c r="DP82" i="2"/>
  <c r="DQ82" i="2" l="1"/>
  <c r="DR82" i="2" s="1"/>
  <c r="DS82" i="2" s="1"/>
  <c r="DO84" i="2"/>
  <c r="DP83" i="2"/>
  <c r="DO85" i="2" l="1"/>
  <c r="DP84" i="2"/>
  <c r="DQ83" i="2"/>
  <c r="DR83" i="2" s="1"/>
  <c r="DS83" i="2" s="1"/>
  <c r="DQ84" i="2" l="1"/>
  <c r="DR84" i="2" s="1"/>
  <c r="DS84" i="2" s="1"/>
  <c r="DO86" i="2"/>
  <c r="DP85" i="2"/>
  <c r="DQ85" i="2" l="1"/>
  <c r="DR85" i="2" s="1"/>
  <c r="DS85" i="2" s="1"/>
  <c r="DP86" i="2"/>
  <c r="DO87" i="2"/>
  <c r="DQ86" i="2" l="1"/>
  <c r="DR86" i="2" s="1"/>
  <c r="DS86" i="2" s="1"/>
  <c r="DP87" i="2"/>
  <c r="DO88" i="2"/>
  <c r="DP88" i="2" l="1"/>
  <c r="DO89" i="2"/>
  <c r="DQ87" i="2"/>
  <c r="DR87" i="2" s="1"/>
  <c r="DS87" i="2" s="1"/>
  <c r="DO90" i="2" l="1"/>
  <c r="DP89" i="2"/>
  <c r="DQ88" i="2"/>
  <c r="DR88" i="2" s="1"/>
  <c r="DS88" i="2" s="1"/>
  <c r="DQ89" i="2" l="1"/>
  <c r="DR89" i="2" s="1"/>
  <c r="DS89" i="2" s="1"/>
  <c r="DO91" i="2"/>
  <c r="DP90" i="2"/>
  <c r="DQ90" i="2" l="1"/>
  <c r="DR90" i="2" s="1"/>
  <c r="DS90" i="2" s="1"/>
  <c r="DO92" i="2"/>
  <c r="DP91" i="2"/>
  <c r="DQ91" i="2" l="1"/>
  <c r="DR91" i="2" s="1"/>
  <c r="DS91" i="2" s="1"/>
  <c r="DO93" i="2"/>
  <c r="DP92" i="2"/>
  <c r="DO94" i="2" l="1"/>
  <c r="DP93" i="2"/>
  <c r="DQ92" i="2"/>
  <c r="DR92" i="2" s="1"/>
  <c r="DS92" i="2" s="1"/>
  <c r="DQ93" i="2" l="1"/>
  <c r="DR93" i="2" s="1"/>
  <c r="DS93" i="2" s="1"/>
  <c r="DP94" i="2"/>
  <c r="DO95" i="2"/>
  <c r="DP95" i="2" l="1"/>
  <c r="DO96" i="2"/>
  <c r="DQ94" i="2"/>
  <c r="DR94" i="2" s="1"/>
  <c r="DS94" i="2" s="1"/>
  <c r="DP96" i="2" l="1"/>
  <c r="DO97" i="2"/>
  <c r="DQ95" i="2"/>
  <c r="DR95" i="2" s="1"/>
  <c r="DS95" i="2" s="1"/>
  <c r="DO98" i="2" l="1"/>
  <c r="DP97" i="2"/>
  <c r="DQ96" i="2"/>
  <c r="DR96" i="2" s="1"/>
  <c r="DS96" i="2" s="1"/>
  <c r="DQ97" i="2" l="1"/>
  <c r="DR97" i="2" s="1"/>
  <c r="DS97" i="2" s="1"/>
  <c r="DP98" i="2"/>
  <c r="DO99" i="2"/>
  <c r="DP99" i="2" l="1"/>
  <c r="DO100" i="2"/>
  <c r="DQ98" i="2"/>
  <c r="DR98" i="2" s="1"/>
  <c r="DS98" i="2" s="1"/>
  <c r="DP100" i="2" l="1"/>
  <c r="DO101" i="2"/>
  <c r="DQ99" i="2"/>
  <c r="DR99" i="2" s="1"/>
  <c r="DS99" i="2" s="1"/>
  <c r="DP101" i="2" l="1"/>
  <c r="DO102" i="2"/>
  <c r="DQ100" i="2"/>
  <c r="DR100" i="2" s="1"/>
  <c r="DS100" i="2" s="1"/>
  <c r="DP102" i="2" l="1"/>
  <c r="DO103" i="2"/>
  <c r="DQ101" i="2"/>
  <c r="DR101" i="2" s="1"/>
  <c r="DS101" i="2" s="1"/>
  <c r="DP103" i="2" l="1"/>
  <c r="DO104" i="2"/>
  <c r="DQ102" i="2"/>
  <c r="DR102" i="2" s="1"/>
  <c r="DS102" i="2" s="1"/>
  <c r="DP104" i="2" l="1"/>
  <c r="DO105" i="2"/>
  <c r="DQ103" i="2"/>
  <c r="DR103" i="2" s="1"/>
  <c r="DS103" i="2" s="1"/>
  <c r="DP105" i="2" l="1"/>
  <c r="DO106" i="2"/>
  <c r="DQ104" i="2"/>
  <c r="DR104" i="2" s="1"/>
  <c r="DS104" i="2" s="1"/>
  <c r="DP106" i="2" l="1"/>
  <c r="DO107" i="2"/>
  <c r="DQ105" i="2"/>
  <c r="DR105" i="2" s="1"/>
  <c r="DS105" i="2" s="1"/>
  <c r="DP107" i="2" l="1"/>
  <c r="DO108" i="2"/>
  <c r="DQ106" i="2"/>
  <c r="DR106" i="2" s="1"/>
  <c r="DS106" i="2" s="1"/>
  <c r="DP108" i="2" l="1"/>
  <c r="DO109" i="2"/>
  <c r="DQ107" i="2"/>
  <c r="DR107" i="2" s="1"/>
  <c r="DS107" i="2" s="1"/>
  <c r="DP109" i="2" l="1"/>
  <c r="DO110" i="2"/>
  <c r="DQ108" i="2"/>
  <c r="DR108" i="2" s="1"/>
  <c r="DS108" i="2" s="1"/>
  <c r="DP110" i="2" l="1"/>
  <c r="DO111" i="2"/>
  <c r="DQ109" i="2"/>
  <c r="DR109" i="2" s="1"/>
  <c r="DS109" i="2" s="1"/>
  <c r="DP111" i="2" l="1"/>
  <c r="DO112" i="2"/>
  <c r="DQ110" i="2"/>
  <c r="DR110" i="2" s="1"/>
  <c r="DS110" i="2" s="1"/>
  <c r="DP112" i="2" l="1"/>
  <c r="DO113" i="2"/>
  <c r="DQ111" i="2"/>
  <c r="DR111" i="2" s="1"/>
  <c r="DS111" i="2" s="1"/>
  <c r="DP113" i="2" l="1"/>
  <c r="DO114" i="2"/>
  <c r="DQ112" i="2"/>
  <c r="DR112" i="2" s="1"/>
  <c r="DS112" i="2" s="1"/>
  <c r="DP114" i="2" l="1"/>
  <c r="DO115" i="2"/>
  <c r="DQ113" i="2"/>
  <c r="DR113" i="2" s="1"/>
  <c r="DS113" i="2" s="1"/>
  <c r="DP115" i="2" l="1"/>
  <c r="DO116" i="2"/>
  <c r="DQ114" i="2"/>
  <c r="DR114" i="2" s="1"/>
  <c r="DS114" i="2" s="1"/>
  <c r="DP116" i="2" l="1"/>
  <c r="DO117" i="2"/>
  <c r="DQ115" i="2"/>
  <c r="DR115" i="2" s="1"/>
  <c r="DS115" i="2" s="1"/>
  <c r="DO118" i="2" l="1"/>
  <c r="DP117" i="2"/>
  <c r="DQ116" i="2"/>
  <c r="DR116" i="2" s="1"/>
  <c r="DS116" i="2" s="1"/>
  <c r="DQ117" i="2" l="1"/>
  <c r="DR117" i="2" s="1"/>
  <c r="DS117" i="2" s="1"/>
  <c r="DP118" i="2"/>
  <c r="DO119" i="2"/>
  <c r="DP119" i="2" l="1"/>
  <c r="DO120" i="2"/>
  <c r="DQ118" i="2"/>
  <c r="DR118" i="2" s="1"/>
  <c r="DS118" i="2" s="1"/>
  <c r="DP120" i="2" l="1"/>
  <c r="DO121" i="2"/>
  <c r="DQ119" i="2"/>
  <c r="DR119" i="2" s="1"/>
  <c r="DS119" i="2" s="1"/>
  <c r="DP121" i="2" l="1"/>
  <c r="DO122" i="2"/>
  <c r="DQ120" i="2"/>
  <c r="DR120" i="2" s="1"/>
  <c r="DS120" i="2" s="1"/>
  <c r="DP122" i="2" l="1"/>
  <c r="DO123" i="2"/>
  <c r="DQ121" i="2"/>
  <c r="DR121" i="2" s="1"/>
  <c r="DS121" i="2" s="1"/>
  <c r="DP123" i="2" l="1"/>
  <c r="DO124" i="2"/>
  <c r="DQ122" i="2"/>
  <c r="DR122" i="2" s="1"/>
  <c r="DS122" i="2" s="1"/>
  <c r="DP124" i="2" l="1"/>
  <c r="DO125" i="2"/>
  <c r="DQ123" i="2"/>
  <c r="DR123" i="2" s="1"/>
  <c r="DS123" i="2" s="1"/>
  <c r="DO126" i="2" l="1"/>
  <c r="DP125" i="2"/>
  <c r="DQ124" i="2"/>
  <c r="DR124" i="2" s="1"/>
  <c r="DS124" i="2" s="1"/>
  <c r="DQ125" i="2" l="1"/>
  <c r="DR125" i="2" s="1"/>
  <c r="DS125" i="2" s="1"/>
  <c r="DP126" i="2"/>
  <c r="DO127" i="2"/>
  <c r="DP127" i="2" l="1"/>
  <c r="DO128" i="2"/>
  <c r="DQ126" i="2"/>
  <c r="DR126" i="2" s="1"/>
  <c r="DS126" i="2" s="1"/>
  <c r="DO129" i="2" l="1"/>
  <c r="DP128" i="2"/>
  <c r="DQ127" i="2"/>
  <c r="DR127" i="2" s="1"/>
  <c r="DS127" i="2" s="1"/>
  <c r="DQ128" i="2" l="1"/>
  <c r="DR128" i="2" s="1"/>
  <c r="DS128" i="2" s="1"/>
  <c r="DP129" i="2"/>
  <c r="DO130" i="2"/>
  <c r="DP130" i="2" l="1"/>
  <c r="DO131" i="2"/>
  <c r="DQ129" i="2"/>
  <c r="DR129" i="2" s="1"/>
  <c r="DS129" i="2" s="1"/>
  <c r="DP131" i="2" l="1"/>
  <c r="DO132" i="2"/>
  <c r="DQ130" i="2"/>
  <c r="DR130" i="2" s="1"/>
  <c r="DS130" i="2" s="1"/>
  <c r="DP132" i="2" l="1"/>
  <c r="DO133" i="2"/>
  <c r="DQ131" i="2"/>
  <c r="DR131" i="2" s="1"/>
  <c r="DS131" i="2" s="1"/>
  <c r="DP133" i="2" l="1"/>
  <c r="DO134" i="2"/>
  <c r="DQ132" i="2"/>
  <c r="DR132" i="2"/>
  <c r="DS132" i="2" s="1"/>
  <c r="DP134" i="2" l="1"/>
  <c r="DO135" i="2"/>
  <c r="DQ133" i="2"/>
  <c r="DR133" i="2" s="1"/>
  <c r="DS133" i="2" s="1"/>
  <c r="DP135" i="2" l="1"/>
  <c r="DO136" i="2"/>
  <c r="DQ134" i="2"/>
  <c r="DR134" i="2" s="1"/>
  <c r="DS134" i="2" s="1"/>
  <c r="DP136" i="2" l="1"/>
  <c r="DO137" i="2"/>
  <c r="DQ135" i="2"/>
  <c r="DR135" i="2" s="1"/>
  <c r="DS135" i="2" s="1"/>
  <c r="DP137" i="2" l="1"/>
  <c r="DO138" i="2"/>
  <c r="DQ136" i="2"/>
  <c r="DR136" i="2" s="1"/>
  <c r="DS136" i="2" s="1"/>
  <c r="DP138" i="2" l="1"/>
  <c r="DO139" i="2"/>
  <c r="DQ137" i="2"/>
  <c r="DR137" i="2" s="1"/>
  <c r="DS137" i="2" s="1"/>
  <c r="DP139" i="2" l="1"/>
  <c r="DO140" i="2"/>
  <c r="DQ138" i="2"/>
  <c r="DR138" i="2" s="1"/>
  <c r="DS138" i="2" s="1"/>
  <c r="DO141" i="2" l="1"/>
  <c r="DP140" i="2"/>
  <c r="DQ139" i="2"/>
  <c r="DR139" i="2" s="1"/>
  <c r="DS139" i="2" s="1"/>
  <c r="DQ140" i="2" l="1"/>
  <c r="DR140" i="2" s="1"/>
  <c r="DS140" i="2" s="1"/>
  <c r="DP141" i="2"/>
  <c r="DO142" i="2"/>
  <c r="DQ141" i="2" l="1"/>
  <c r="DR141" i="2" s="1"/>
  <c r="DS141" i="2" s="1"/>
  <c r="DO143" i="2"/>
  <c r="DP142" i="2"/>
  <c r="DQ142" i="2" l="1"/>
  <c r="DR142" i="2" s="1"/>
  <c r="DS142" i="2" s="1"/>
  <c r="DP143" i="2"/>
  <c r="DO144" i="2"/>
  <c r="DQ143" i="2" l="1"/>
  <c r="DR143" i="2" s="1"/>
  <c r="DS143" i="2" s="1"/>
  <c r="DO145" i="2"/>
  <c r="DP144" i="2"/>
  <c r="DQ144" i="2" l="1"/>
  <c r="DR144" i="2" s="1"/>
  <c r="DS144" i="2" s="1"/>
  <c r="DP145" i="2"/>
  <c r="DO146" i="2"/>
  <c r="DP146" i="2" l="1"/>
  <c r="DO147" i="2"/>
  <c r="DQ145" i="2"/>
  <c r="DR145" i="2" s="1"/>
  <c r="DS145" i="2" s="1"/>
  <c r="DP147" i="2" l="1"/>
  <c r="DO148" i="2"/>
  <c r="DQ146" i="2"/>
  <c r="DR146" i="2" s="1"/>
  <c r="DS146" i="2" s="1"/>
  <c r="DP148" i="2" l="1"/>
  <c r="DO149" i="2"/>
  <c r="DQ147" i="2"/>
  <c r="DR147" i="2" s="1"/>
  <c r="DS147" i="2" s="1"/>
  <c r="DP149" i="2" l="1"/>
  <c r="DO150" i="2"/>
  <c r="DQ148" i="2"/>
  <c r="DR148" i="2" s="1"/>
  <c r="DS148" i="2" s="1"/>
  <c r="DP150" i="2" l="1"/>
  <c r="DO151" i="2"/>
  <c r="DQ149" i="2"/>
  <c r="DR149" i="2" s="1"/>
  <c r="DS149" i="2" s="1"/>
  <c r="DP151" i="2" l="1"/>
  <c r="DO152" i="2"/>
  <c r="DQ150" i="2"/>
  <c r="DR150" i="2" s="1"/>
  <c r="DS150" i="2" s="1"/>
  <c r="DP152" i="2" l="1"/>
  <c r="DO153" i="2"/>
  <c r="DQ151" i="2"/>
  <c r="DR151" i="2" s="1"/>
  <c r="DS151" i="2" s="1"/>
  <c r="DP153" i="2" l="1"/>
  <c r="DO154" i="2"/>
  <c r="DQ152" i="2"/>
  <c r="DR152" i="2" s="1"/>
  <c r="DS152" i="2" s="1"/>
  <c r="DP154" i="2" l="1"/>
  <c r="DO155" i="2"/>
  <c r="DQ153" i="2"/>
  <c r="DR153" i="2" s="1"/>
  <c r="DS153" i="2" s="1"/>
  <c r="DP155" i="2" l="1"/>
  <c r="DO156" i="2"/>
  <c r="DQ154" i="2"/>
  <c r="DR154" i="2" s="1"/>
  <c r="DS154" i="2" s="1"/>
  <c r="DO157" i="2" l="1"/>
  <c r="DP156" i="2"/>
  <c r="DQ155" i="2"/>
  <c r="DR155" i="2" s="1"/>
  <c r="DS155" i="2" s="1"/>
  <c r="DQ156" i="2" l="1"/>
  <c r="DR156" i="2" s="1"/>
  <c r="DS156" i="2" s="1"/>
  <c r="DP157" i="2"/>
  <c r="DO158" i="2"/>
  <c r="DO159" i="2" l="1"/>
  <c r="DP158" i="2"/>
  <c r="DQ157" i="2"/>
  <c r="DR157" i="2" s="1"/>
  <c r="DS157" i="2" s="1"/>
  <c r="DQ158" i="2" l="1"/>
  <c r="DR158" i="2" s="1"/>
  <c r="DS158" i="2" s="1"/>
  <c r="DP159" i="2"/>
  <c r="DO160" i="2"/>
  <c r="DO161" i="2" l="1"/>
  <c r="DP160" i="2"/>
  <c r="DQ159" i="2"/>
  <c r="DR159" i="2" s="1"/>
  <c r="DS159" i="2" s="1"/>
  <c r="DQ160" i="2" l="1"/>
  <c r="DR160" i="2" s="1"/>
  <c r="DS160" i="2" s="1"/>
  <c r="DP161" i="2"/>
  <c r="DO162" i="2"/>
  <c r="DP162" i="2" l="1"/>
  <c r="DO163" i="2"/>
  <c r="DQ161" i="2"/>
  <c r="DR161" i="2" s="1"/>
  <c r="DS161" i="2" s="1"/>
  <c r="DP163" i="2" l="1"/>
  <c r="DO164" i="2"/>
  <c r="DQ162" i="2"/>
  <c r="DR162" i="2" s="1"/>
  <c r="DS162" i="2" s="1"/>
  <c r="DP164" i="2" l="1"/>
  <c r="DO165" i="2"/>
  <c r="DQ163" i="2"/>
  <c r="DR163" i="2" s="1"/>
  <c r="DS163" i="2" s="1"/>
  <c r="DP165" i="2" l="1"/>
  <c r="DO166" i="2"/>
  <c r="DQ164" i="2"/>
  <c r="DR164" i="2" s="1"/>
  <c r="DS164" i="2" s="1"/>
  <c r="DP166" i="2" l="1"/>
  <c r="DO167" i="2"/>
  <c r="DQ165" i="2"/>
  <c r="DR165" i="2" s="1"/>
  <c r="DS165" i="2" s="1"/>
  <c r="DP167" i="2" l="1"/>
  <c r="DO168" i="2"/>
  <c r="DQ166" i="2"/>
  <c r="DR166" i="2" s="1"/>
  <c r="DS166" i="2" s="1"/>
  <c r="DP168" i="2" l="1"/>
  <c r="DO169" i="2"/>
  <c r="DQ167" i="2"/>
  <c r="DR167" i="2" s="1"/>
  <c r="DS167" i="2" s="1"/>
  <c r="DP169" i="2" l="1"/>
  <c r="DO170" i="2"/>
  <c r="DQ168" i="2"/>
  <c r="DR168" i="2" s="1"/>
  <c r="DS168" i="2" s="1"/>
  <c r="DP170" i="2" l="1"/>
  <c r="DO171" i="2"/>
  <c r="DQ169" i="2"/>
  <c r="DR169" i="2" s="1"/>
  <c r="DS169" i="2" s="1"/>
  <c r="DP171" i="2" l="1"/>
  <c r="DO172" i="2"/>
  <c r="DQ170" i="2"/>
  <c r="DR170" i="2" s="1"/>
  <c r="DS170" i="2" s="1"/>
  <c r="DO173" i="2" l="1"/>
  <c r="DP172" i="2"/>
  <c r="DQ171" i="2"/>
  <c r="DR171" i="2" s="1"/>
  <c r="DS171" i="2" s="1"/>
  <c r="DQ172" i="2" l="1"/>
  <c r="DR172" i="2" s="1"/>
  <c r="DS172" i="2" s="1"/>
  <c r="DP173" i="2"/>
  <c r="DO174" i="2"/>
  <c r="DQ173" i="2" l="1"/>
  <c r="DR173" i="2" s="1"/>
  <c r="DS173" i="2" s="1"/>
  <c r="DO175" i="2"/>
  <c r="DP174" i="2"/>
  <c r="DQ174" i="2" l="1"/>
  <c r="DR174" i="2" s="1"/>
  <c r="DS174" i="2" s="1"/>
  <c r="DP175" i="2"/>
  <c r="DO176" i="2"/>
  <c r="DO177" i="2" l="1"/>
  <c r="DP176" i="2"/>
  <c r="DQ175" i="2"/>
  <c r="DR175" i="2" s="1"/>
  <c r="DS175" i="2" s="1"/>
  <c r="DQ176" i="2" l="1"/>
  <c r="DR176" i="2"/>
  <c r="DS176" i="2" s="1"/>
  <c r="DP177" i="2"/>
  <c r="DO178" i="2"/>
  <c r="DP178" i="2" l="1"/>
  <c r="DO179" i="2"/>
  <c r="DQ177" i="2"/>
  <c r="DR177" i="2" s="1"/>
  <c r="DS177" i="2" s="1"/>
  <c r="DP179" i="2" l="1"/>
  <c r="DO180" i="2"/>
  <c r="DQ178" i="2"/>
  <c r="DR178" i="2" s="1"/>
  <c r="DS178" i="2" s="1"/>
  <c r="DP180" i="2" l="1"/>
  <c r="DO181" i="2"/>
  <c r="DQ179" i="2"/>
  <c r="DR179" i="2" s="1"/>
  <c r="DS179" i="2" s="1"/>
  <c r="DP181" i="2" l="1"/>
  <c r="DO182" i="2"/>
  <c r="DQ180" i="2"/>
  <c r="DR180" i="2" s="1"/>
  <c r="DS180" i="2" s="1"/>
  <c r="DP182" i="2" l="1"/>
  <c r="DO183" i="2"/>
  <c r="DQ181" i="2"/>
  <c r="DR181" i="2" s="1"/>
  <c r="DS181" i="2" s="1"/>
  <c r="DP183" i="2" l="1"/>
  <c r="DO184" i="2"/>
  <c r="DQ182" i="2"/>
  <c r="DR182" i="2" s="1"/>
  <c r="DS182" i="2" s="1"/>
  <c r="DP184" i="2" l="1"/>
  <c r="DO185" i="2"/>
  <c r="DQ183" i="2"/>
  <c r="DR183" i="2" s="1"/>
  <c r="DS183" i="2" s="1"/>
  <c r="DP185" i="2" l="1"/>
  <c r="DO186" i="2"/>
  <c r="DQ184" i="2"/>
  <c r="DR184" i="2" s="1"/>
  <c r="DS184" i="2" s="1"/>
  <c r="DP186" i="2" l="1"/>
  <c r="DO187" i="2"/>
  <c r="DQ185" i="2"/>
  <c r="DR185" i="2" s="1"/>
  <c r="DS185" i="2" s="1"/>
  <c r="DP187" i="2" l="1"/>
  <c r="DO188" i="2"/>
  <c r="DQ186" i="2"/>
  <c r="DR186" i="2" s="1"/>
  <c r="DS186" i="2" s="1"/>
  <c r="DO189" i="2" l="1"/>
  <c r="DP188" i="2"/>
  <c r="DQ187" i="2"/>
  <c r="DR187" i="2" s="1"/>
  <c r="DS187" i="2" s="1"/>
  <c r="DQ188" i="2" l="1"/>
  <c r="DR188" i="2" s="1"/>
  <c r="DS188" i="2" s="1"/>
  <c r="DP189" i="2"/>
  <c r="DO190" i="2"/>
  <c r="DO191" i="2" l="1"/>
  <c r="DP190" i="2"/>
  <c r="DQ189" i="2"/>
  <c r="DR189" i="2" s="1"/>
  <c r="DS189" i="2" s="1"/>
  <c r="DQ190" i="2" l="1"/>
  <c r="DR190" i="2" s="1"/>
  <c r="DS190" i="2" s="1"/>
  <c r="DP191" i="2"/>
  <c r="DO192" i="2"/>
  <c r="DO193" i="2" l="1"/>
  <c r="DP192" i="2"/>
  <c r="DQ191" i="2"/>
  <c r="DR191" i="2" s="1"/>
  <c r="DS191" i="2" s="1"/>
  <c r="DQ192" i="2" l="1"/>
  <c r="DR192" i="2"/>
  <c r="DS192" i="2" s="1"/>
  <c r="DP193" i="2"/>
  <c r="DO194" i="2"/>
  <c r="DP194" i="2" l="1"/>
  <c r="DO195" i="2"/>
  <c r="DQ193" i="2"/>
  <c r="DR193" i="2" s="1"/>
  <c r="DS193" i="2" s="1"/>
  <c r="DP195" i="2" l="1"/>
  <c r="DO196" i="2"/>
  <c r="DQ194" i="2"/>
  <c r="DR194" i="2" s="1"/>
  <c r="DS194" i="2" s="1"/>
  <c r="DP196" i="2" l="1"/>
  <c r="DO197" i="2"/>
  <c r="DQ195" i="2"/>
  <c r="DR195" i="2" s="1"/>
  <c r="DS195" i="2" s="1"/>
  <c r="DP197" i="2" l="1"/>
  <c r="DO198" i="2"/>
  <c r="DQ196" i="2"/>
  <c r="DR196" i="2" s="1"/>
  <c r="DS196" i="2" s="1"/>
  <c r="DP198" i="2" l="1"/>
  <c r="DO199" i="2"/>
  <c r="DQ197" i="2"/>
  <c r="DR197" i="2" s="1"/>
  <c r="DS197" i="2" s="1"/>
  <c r="DP199" i="2" l="1"/>
  <c r="DO200" i="2"/>
  <c r="DQ198" i="2"/>
  <c r="DR198" i="2" s="1"/>
  <c r="DS198" i="2" s="1"/>
  <c r="DP200" i="2" l="1"/>
  <c r="DO201" i="2"/>
  <c r="DQ199" i="2"/>
  <c r="DR199" i="2" s="1"/>
  <c r="DS199" i="2" s="1"/>
  <c r="DP201" i="2" l="1"/>
  <c r="DO202" i="2"/>
  <c r="DQ200" i="2"/>
  <c r="DR200" i="2" s="1"/>
  <c r="DS200" i="2" s="1"/>
  <c r="DP202" i="2" l="1"/>
  <c r="DO203" i="2"/>
  <c r="DP203" i="2" s="1"/>
  <c r="DQ201" i="2"/>
  <c r="DR201" i="2" s="1"/>
  <c r="DS201" i="2" s="1"/>
  <c r="DQ203" i="2" l="1"/>
  <c r="DR203" i="2" s="1"/>
  <c r="DS203" i="2" s="1"/>
  <c r="DQ202" i="2"/>
  <c r="DR202" i="2" s="1"/>
  <c r="DS202" i="2" s="1"/>
  <c r="AF43" i="2"/>
  <c r="AF23" i="2"/>
  <c r="AF53" i="2"/>
  <c r="AF33" i="2"/>
  <c r="I66" i="1"/>
  <c r="AG63" i="2" s="1"/>
  <c r="AF63" i="2"/>
  <c r="I65" i="1"/>
  <c r="AG53" i="2" s="1"/>
  <c r="I63" i="1"/>
  <c r="AG23" i="2" s="1"/>
  <c r="I64" i="1"/>
  <c r="AG33" i="2" s="1"/>
  <c r="AF205" i="2"/>
  <c r="AI13" i="2" s="1"/>
  <c r="I62" i="1"/>
  <c r="AG13" i="2" s="1"/>
  <c r="AG43" i="2" l="1"/>
  <c r="AI5" i="2"/>
  <c r="AJ5" i="2" s="1"/>
  <c r="AI11" i="2"/>
  <c r="AJ11" i="2" s="1"/>
  <c r="AI8" i="2"/>
  <c r="AJ8" i="2" s="1"/>
  <c r="AI4" i="2"/>
  <c r="AJ4" i="2" s="1"/>
  <c r="AI12" i="2"/>
  <c r="AJ12" i="2" s="1"/>
  <c r="AI10" i="2"/>
  <c r="AJ10" i="2" s="1"/>
  <c r="AI7" i="2"/>
  <c r="AJ7" i="2" s="1"/>
  <c r="AI6" i="2"/>
  <c r="AJ6" i="2" s="1"/>
  <c r="AI9" i="2"/>
  <c r="AJ9" i="2" s="1"/>
  <c r="AJ13" i="2"/>
  <c r="AK8" i="2" l="1"/>
  <c r="AL8" i="2" s="1"/>
  <c r="AM8" i="2" s="1"/>
  <c r="AK11" i="2"/>
  <c r="AL11" i="2" s="1"/>
  <c r="AM11" i="2" s="1"/>
  <c r="AK4" i="2"/>
  <c r="AL4" i="2" s="1"/>
  <c r="AM4" i="2" s="1"/>
  <c r="AK9" i="2"/>
  <c r="AL9" i="2" s="1"/>
  <c r="AM9" i="2" s="1"/>
  <c r="AK5" i="2"/>
  <c r="AL5" i="2" s="1"/>
  <c r="AM5" i="2" s="1"/>
  <c r="AK13" i="2"/>
  <c r="AL13" i="2" s="1"/>
  <c r="AM13" i="2" s="1"/>
  <c r="AK6" i="2"/>
  <c r="AL6" i="2" s="1"/>
  <c r="AM6" i="2" s="1"/>
  <c r="AK7" i="2"/>
  <c r="AL7" i="2" s="1"/>
  <c r="AM7" i="2" s="1"/>
  <c r="AK10" i="2"/>
  <c r="AL10" i="2" s="1"/>
  <c r="AM10" i="2" s="1"/>
  <c r="AK12" i="2"/>
  <c r="AL12" i="2" s="1"/>
  <c r="AM12" i="2" s="1"/>
  <c r="AF73" i="2"/>
  <c r="I68" i="1"/>
  <c r="AG83" i="2" s="1"/>
  <c r="I67" i="1"/>
  <c r="AG73" i="2"/>
  <c r="AH76" i="2" l="1" a="1"/>
  <c r="AH76" i="2" s="1"/>
  <c r="AH75" i="2" a="1"/>
  <c r="AH75" i="2" s="1"/>
  <c r="AH83" i="2" a="1"/>
  <c r="AH83" i="2" s="1"/>
  <c r="AH74" i="2" a="1"/>
  <c r="AH74" i="2" s="1"/>
  <c r="AH82" i="2" a="1"/>
  <c r="AH82" i="2" s="1"/>
  <c r="AH78" i="2" a="1"/>
  <c r="AH78" i="2" s="1"/>
  <c r="AH81" i="2" a="1"/>
  <c r="AH81" i="2" s="1"/>
  <c r="AH79" i="2" a="1"/>
  <c r="AH79" i="2" s="1"/>
  <c r="AH77" i="2" a="1"/>
  <c r="AH77" i="2" s="1"/>
  <c r="AH80" i="2" a="1"/>
  <c r="AH80" i="2" s="1"/>
  <c r="AH14" i="2" a="1"/>
  <c r="AH14" i="2" s="1"/>
  <c r="AI14" i="2" s="1"/>
  <c r="AJ14" i="2" s="1"/>
  <c r="AH7" i="2" a="1"/>
  <c r="AH7" i="2" s="1"/>
  <c r="AH62" i="2" a="1"/>
  <c r="AH62" i="2" s="1"/>
  <c r="AH20" i="2" a="1"/>
  <c r="AH20" i="2" s="1"/>
  <c r="AH28" i="2" a="1"/>
  <c r="AH28" i="2" s="1"/>
  <c r="AH43" i="2" a="1"/>
  <c r="AH43" i="2" s="1"/>
  <c r="AH32" i="2" a="1"/>
  <c r="AH32" i="2" s="1"/>
  <c r="AH10" i="2" a="1"/>
  <c r="AH10" i="2" s="1"/>
  <c r="AH38" i="2" a="1"/>
  <c r="AH38" i="2" s="1"/>
  <c r="AH40" i="2" a="1"/>
  <c r="AH40" i="2" s="1"/>
  <c r="AH59" i="2" a="1"/>
  <c r="AH59" i="2" s="1"/>
  <c r="AH15" i="2" a="1"/>
  <c r="AH15" i="2" s="1"/>
  <c r="AI15" i="2" s="1"/>
  <c r="AH69" i="2" a="1"/>
  <c r="AH69" i="2" s="1"/>
  <c r="AH26" i="2" a="1"/>
  <c r="AH26" i="2" s="1"/>
  <c r="AH21" i="2" a="1"/>
  <c r="AH21" i="2" s="1"/>
  <c r="AH57" i="2" a="1"/>
  <c r="AH57" i="2" s="1"/>
  <c r="AH45" i="2" a="1"/>
  <c r="AH45" i="2" s="1"/>
  <c r="AH30" i="2" a="1"/>
  <c r="AH30" i="2" s="1"/>
  <c r="AH60" i="2" a="1"/>
  <c r="AH60" i="2" s="1"/>
  <c r="AH70" i="2" a="1"/>
  <c r="AH70" i="2" s="1"/>
  <c r="AH73" i="2" a="1"/>
  <c r="AH73" i="2" s="1"/>
  <c r="AH9" i="2" a="1"/>
  <c r="AH9" i="2" s="1"/>
  <c r="AH29" i="2" a="1"/>
  <c r="AH29" i="2" s="1"/>
  <c r="AH24" i="2" a="1"/>
  <c r="AH24" i="2" s="1"/>
  <c r="AH56" i="2" a="1"/>
  <c r="AH56" i="2" s="1"/>
  <c r="AH5" i="2" a="1"/>
  <c r="AH5" i="2" s="1"/>
  <c r="AH13" i="2" a="1"/>
  <c r="AH13" i="2" s="1"/>
  <c r="AH22" i="2" a="1"/>
  <c r="AH22" i="2" s="1"/>
  <c r="AH64" i="2" a="1"/>
  <c r="AH64" i="2" s="1"/>
  <c r="AH66" i="2" a="1"/>
  <c r="AH66" i="2" s="1"/>
  <c r="AH48" i="2" a="1"/>
  <c r="AH48" i="2" s="1"/>
  <c r="AH18" i="2" a="1"/>
  <c r="AH18" i="2" s="1"/>
  <c r="AH35" i="2" a="1"/>
  <c r="AH35" i="2" s="1"/>
  <c r="AH33" i="2" a="1"/>
  <c r="AH33" i="2" s="1"/>
  <c r="AH39" i="2" a="1"/>
  <c r="AH39" i="2" s="1"/>
  <c r="AH4" i="2" a="1"/>
  <c r="AH4" i="2" s="1"/>
  <c r="AH25" i="2" a="1"/>
  <c r="AH25" i="2" s="1"/>
  <c r="AH65" i="2" a="1"/>
  <c r="AH65" i="2" s="1"/>
  <c r="AH41" i="2" a="1"/>
  <c r="AH41" i="2" s="1"/>
  <c r="AH6" i="2" a="1"/>
  <c r="AH6" i="2" s="1"/>
  <c r="AH37" i="2" a="1"/>
  <c r="AH37" i="2" s="1"/>
  <c r="AH61" i="2" a="1"/>
  <c r="AH61" i="2" s="1"/>
  <c r="AH12" i="2" a="1"/>
  <c r="AH12" i="2" s="1"/>
  <c r="AH53" i="2" a="1"/>
  <c r="AH53" i="2" s="1"/>
  <c r="AH51" i="2" a="1"/>
  <c r="AH51" i="2" s="1"/>
  <c r="AH72" i="2" a="1"/>
  <c r="AH72" i="2" s="1"/>
  <c r="AH47" i="2" a="1"/>
  <c r="AH47" i="2" s="1"/>
  <c r="AH46" i="2" a="1"/>
  <c r="AH46" i="2" s="1"/>
  <c r="AH52" i="2" a="1"/>
  <c r="AH52" i="2" s="1"/>
  <c r="AH8" i="2" a="1"/>
  <c r="AH8" i="2" s="1"/>
  <c r="AH19" i="2" a="1"/>
  <c r="AH19" i="2" s="1"/>
  <c r="AH31" i="2" a="1"/>
  <c r="AH31" i="2" s="1"/>
  <c r="AH58" i="2" a="1"/>
  <c r="AH58" i="2" s="1"/>
  <c r="AH63" i="2" a="1"/>
  <c r="AH63" i="2" s="1"/>
  <c r="AH44" i="2" a="1"/>
  <c r="AH44" i="2" s="1"/>
  <c r="AH42" i="2" a="1"/>
  <c r="AH42" i="2" s="1"/>
  <c r="AH16" i="2" a="1"/>
  <c r="AH16" i="2" s="1"/>
  <c r="AH27" i="2" a="1"/>
  <c r="AH27" i="2" s="1"/>
  <c r="AH55" i="2" a="1"/>
  <c r="AH55" i="2" s="1"/>
  <c r="AH34" i="2" a="1"/>
  <c r="AH34" i="2" s="1"/>
  <c r="AH36" i="2" a="1"/>
  <c r="AH36" i="2" s="1"/>
  <c r="AH67" i="2" a="1"/>
  <c r="AH67" i="2" s="1"/>
  <c r="AH54" i="2" a="1"/>
  <c r="AH54" i="2" s="1"/>
  <c r="AH17" i="2" a="1"/>
  <c r="AH17" i="2" s="1"/>
  <c r="AH50" i="2" a="1"/>
  <c r="AH50" i="2" s="1"/>
  <c r="AH23" i="2" a="1"/>
  <c r="AH23" i="2" s="1"/>
  <c r="AH11" i="2" a="1"/>
  <c r="AH11" i="2" s="1"/>
  <c r="AH49" i="2" a="1"/>
  <c r="AH49" i="2" s="1"/>
  <c r="AH71" i="2" a="1"/>
  <c r="AH71" i="2" s="1"/>
  <c r="AH68" i="2" a="1"/>
  <c r="AH68" i="2" s="1"/>
  <c r="AJ15" i="2" l="1"/>
  <c r="AI16" i="2"/>
  <c r="AK14" i="2"/>
  <c r="AL14" i="2" s="1"/>
  <c r="AM14" i="2" s="1"/>
  <c r="AJ16" i="2" l="1"/>
  <c r="AI17" i="2"/>
  <c r="AK15" i="2"/>
  <c r="AL15" i="2" s="1"/>
  <c r="AM15" i="2" s="1"/>
  <c r="AJ17" i="2" l="1"/>
  <c r="AI18" i="2"/>
  <c r="AK16" i="2"/>
  <c r="AL16" i="2" s="1"/>
  <c r="AM16" i="2" s="1"/>
  <c r="AI19" i="2" l="1"/>
  <c r="AJ18" i="2"/>
  <c r="AK17" i="2"/>
  <c r="AL17" i="2" s="1"/>
  <c r="AM17" i="2" s="1"/>
  <c r="AJ19" i="2" l="1"/>
  <c r="AI20" i="2"/>
  <c r="AK18" i="2"/>
  <c r="AL18" i="2" s="1"/>
  <c r="AM18" i="2" s="1"/>
  <c r="AJ20" i="2" l="1"/>
  <c r="AI21" i="2"/>
  <c r="AK19" i="2"/>
  <c r="AL19" i="2" s="1"/>
  <c r="AM19" i="2" s="1"/>
  <c r="AI22" i="2" l="1"/>
  <c r="AJ21" i="2"/>
  <c r="AK20" i="2"/>
  <c r="AL20" i="2" s="1"/>
  <c r="AM20" i="2" s="1"/>
  <c r="AK21" i="2" l="1"/>
  <c r="AL21" i="2"/>
  <c r="AM21" i="2" s="1"/>
  <c r="AJ22" i="2"/>
  <c r="AI23" i="2"/>
  <c r="AK22" i="2" l="1"/>
  <c r="AL22" i="2" s="1"/>
  <c r="AM22" i="2" s="1"/>
  <c r="AJ23" i="2"/>
  <c r="AI24" i="2"/>
  <c r="AK23" i="2" l="1"/>
  <c r="AL23" i="2" s="1"/>
  <c r="AM23" i="2" s="1"/>
  <c r="AJ24" i="2"/>
  <c r="AI25" i="2"/>
  <c r="AJ25" i="2" l="1"/>
  <c r="AI26" i="2"/>
  <c r="AK24" i="2"/>
  <c r="AL24" i="2" s="1"/>
  <c r="AM24" i="2" s="1"/>
  <c r="AJ26" i="2" l="1"/>
  <c r="AI27" i="2"/>
  <c r="AK25" i="2"/>
  <c r="AL25" i="2" s="1"/>
  <c r="AM25" i="2" s="1"/>
  <c r="AI28" i="2" l="1"/>
  <c r="AJ27" i="2"/>
  <c r="AK26" i="2"/>
  <c r="AL26" i="2" s="1"/>
  <c r="AM26" i="2" s="1"/>
  <c r="AK27" i="2" l="1"/>
  <c r="AL27" i="2" s="1"/>
  <c r="AM27" i="2" s="1"/>
  <c r="AJ28" i="2"/>
  <c r="AI29" i="2"/>
  <c r="AJ29" i="2" l="1"/>
  <c r="AI30" i="2"/>
  <c r="AK28" i="2"/>
  <c r="AL28" i="2" s="1"/>
  <c r="AM28" i="2" s="1"/>
  <c r="AJ30" i="2" l="1"/>
  <c r="AI31" i="2"/>
  <c r="AK29" i="2"/>
  <c r="AL29" i="2" s="1"/>
  <c r="AM29" i="2" s="1"/>
  <c r="AJ31" i="2" l="1"/>
  <c r="AI32" i="2"/>
  <c r="AK30" i="2"/>
  <c r="AL30" i="2" s="1"/>
  <c r="AM30" i="2" s="1"/>
  <c r="AJ32" i="2" l="1"/>
  <c r="AI33" i="2"/>
  <c r="AK31" i="2"/>
  <c r="AL31" i="2" s="1"/>
  <c r="AM31" i="2" s="1"/>
  <c r="AI34" i="2" l="1"/>
  <c r="AJ33" i="2"/>
  <c r="AK32" i="2"/>
  <c r="AL32" i="2" s="1"/>
  <c r="AM32" i="2" s="1"/>
  <c r="AK33" i="2" l="1"/>
  <c r="AL33" i="2" s="1"/>
  <c r="AM33" i="2" s="1"/>
  <c r="AO3" i="2" s="1"/>
  <c r="AJ34" i="2"/>
  <c r="AI35" i="2"/>
  <c r="AK34" i="2" l="1"/>
  <c r="AL34" i="2" s="1"/>
  <c r="AM34" i="2" s="1"/>
  <c r="AI36" i="2"/>
  <c r="AJ35" i="2"/>
  <c r="AO83" i="2"/>
  <c r="AO167" i="2"/>
  <c r="AO16" i="2"/>
  <c r="AO54" i="2"/>
  <c r="AO145" i="2"/>
  <c r="AO4" i="2"/>
  <c r="AO134" i="2"/>
  <c r="AO177" i="2"/>
  <c r="AO32" i="2"/>
  <c r="AO89" i="2"/>
  <c r="AO146" i="2"/>
  <c r="AO101" i="2"/>
  <c r="AO22" i="2"/>
  <c r="AO57" i="2"/>
  <c r="AO9" i="2"/>
  <c r="AO81" i="2"/>
  <c r="AO11" i="2"/>
  <c r="AO86" i="2"/>
  <c r="AO192" i="2"/>
  <c r="AO139" i="2"/>
  <c r="D7" i="4"/>
  <c r="AO199" i="2"/>
  <c r="AO34" i="2"/>
  <c r="AO69" i="2"/>
  <c r="AO107" i="2"/>
  <c r="AO65" i="2"/>
  <c r="AO141" i="2"/>
  <c r="AO154" i="2"/>
  <c r="AO130" i="2"/>
  <c r="AO103" i="2"/>
  <c r="AO116" i="2"/>
  <c r="AO201" i="2"/>
  <c r="AO39" i="2"/>
  <c r="AO132" i="2"/>
  <c r="AO71" i="2"/>
  <c r="AO40" i="2"/>
  <c r="AO143" i="2"/>
  <c r="AO142" i="2"/>
  <c r="AO76" i="2"/>
  <c r="AO150" i="2"/>
  <c r="AO155" i="2"/>
  <c r="AO42" i="2"/>
  <c r="AO60" i="2"/>
  <c r="AO27" i="2"/>
  <c r="AO49" i="2"/>
  <c r="AO187" i="2"/>
  <c r="AO175" i="2"/>
  <c r="AO26" i="2"/>
  <c r="AO63" i="2"/>
  <c r="AO138" i="2"/>
  <c r="AO125" i="2"/>
  <c r="AO100" i="2"/>
  <c r="AO80" i="2"/>
  <c r="AO77" i="2"/>
  <c r="AO170" i="2"/>
  <c r="AO44" i="2"/>
  <c r="AO92" i="2"/>
  <c r="AO163" i="2"/>
  <c r="AO59" i="2"/>
  <c r="AO70" i="2"/>
  <c r="AO74" i="2"/>
  <c r="AO33" i="2"/>
  <c r="AO176" i="2"/>
  <c r="AO197" i="2"/>
  <c r="AO68" i="2"/>
  <c r="AO66" i="2"/>
  <c r="AO109" i="2"/>
  <c r="AO30" i="2"/>
  <c r="AO166" i="2"/>
  <c r="AO185" i="2"/>
  <c r="AO6" i="2"/>
  <c r="AO158" i="2"/>
  <c r="AO19" i="2"/>
  <c r="AO21" i="2"/>
  <c r="AO52" i="2"/>
  <c r="AO72" i="2"/>
  <c r="AO58" i="2"/>
  <c r="AO75" i="2"/>
  <c r="AO137" i="2"/>
  <c r="AO174" i="2"/>
  <c r="AO171" i="2"/>
  <c r="AO12" i="2"/>
  <c r="AO178" i="2"/>
  <c r="AO64" i="2"/>
  <c r="AO87" i="2"/>
  <c r="AO15" i="2"/>
  <c r="AO8" i="2"/>
  <c r="AO78" i="2"/>
  <c r="AO147" i="2"/>
  <c r="AO179" i="2"/>
  <c r="AO169" i="2"/>
  <c r="AO17" i="2"/>
  <c r="AO111" i="2"/>
  <c r="AO195" i="2"/>
  <c r="AO144" i="2"/>
  <c r="AO28" i="2"/>
  <c r="AO198" i="2"/>
  <c r="AO120" i="2"/>
  <c r="AO121" i="2"/>
  <c r="AO164" i="2"/>
  <c r="AO24" i="2"/>
  <c r="AO124" i="2"/>
  <c r="AO160" i="2"/>
  <c r="AO53" i="2"/>
  <c r="AO84" i="2"/>
  <c r="AO61" i="2"/>
  <c r="AO173" i="2"/>
  <c r="AO156" i="2"/>
  <c r="AO37" i="2"/>
  <c r="AO105" i="2"/>
  <c r="AO161" i="2"/>
  <c r="AO85" i="2"/>
  <c r="AO115" i="2"/>
  <c r="AO193" i="2"/>
  <c r="AO182" i="2"/>
  <c r="AO43" i="2"/>
  <c r="AO149" i="2"/>
  <c r="AO140" i="2"/>
  <c r="AO183" i="2"/>
  <c r="AO20" i="2"/>
  <c r="AO36" i="2"/>
  <c r="AO79" i="2"/>
  <c r="AO189" i="2"/>
  <c r="AO114" i="2"/>
  <c r="AO159" i="2"/>
  <c r="AO129" i="2"/>
  <c r="AO38" i="2"/>
  <c r="AO35" i="2"/>
  <c r="AO7" i="2"/>
  <c r="AO188" i="2"/>
  <c r="AO82" i="2"/>
  <c r="AO10" i="2"/>
  <c r="AO99" i="2"/>
  <c r="AO151" i="2"/>
  <c r="AO113" i="2"/>
  <c r="AO45" i="2"/>
  <c r="AO104" i="2"/>
  <c r="AO48" i="2"/>
  <c r="AO181" i="2"/>
  <c r="AO191" i="2"/>
  <c r="AO102" i="2"/>
  <c r="AO131" i="2"/>
  <c r="AO93" i="2"/>
  <c r="AO118" i="2"/>
  <c r="AO168" i="2"/>
  <c r="AO73" i="2"/>
  <c r="AO96" i="2"/>
  <c r="AO196" i="2"/>
  <c r="AO122" i="2"/>
  <c r="AO202" i="2"/>
  <c r="AO14" i="2"/>
  <c r="AO50" i="2"/>
  <c r="AO119" i="2"/>
  <c r="AO148" i="2"/>
  <c r="AO46" i="2"/>
  <c r="AO13" i="2"/>
  <c r="AO29" i="2"/>
  <c r="AO133" i="2"/>
  <c r="AO184" i="2"/>
  <c r="AO90" i="2"/>
  <c r="AO18" i="2"/>
  <c r="AO91" i="2"/>
  <c r="AO23" i="2"/>
  <c r="AO98" i="2"/>
  <c r="AO190" i="2"/>
  <c r="AO110" i="2"/>
  <c r="AO127" i="2"/>
  <c r="AO165" i="2"/>
  <c r="AO126" i="2"/>
  <c r="AO180" i="2"/>
  <c r="AO41" i="2"/>
  <c r="AO153" i="2"/>
  <c r="AO152" i="2"/>
  <c r="AO47" i="2"/>
  <c r="AO172" i="2"/>
  <c r="AO31" i="2"/>
  <c r="AO112" i="2"/>
  <c r="AO51" i="2"/>
  <c r="AO25" i="2"/>
  <c r="AO157" i="2"/>
  <c r="AO67" i="2"/>
  <c r="AO200" i="2"/>
  <c r="AO162" i="2"/>
  <c r="AO5" i="2"/>
  <c r="AO106" i="2"/>
  <c r="AO88" i="2"/>
  <c r="AO117" i="2"/>
  <c r="AO186" i="2"/>
  <c r="AO203" i="2"/>
  <c r="AO194" i="2"/>
  <c r="AO95" i="2"/>
  <c r="AO62" i="2"/>
  <c r="AO135" i="2"/>
  <c r="AO56" i="2"/>
  <c r="AO136" i="2"/>
  <c r="AO108" i="2"/>
  <c r="AO97" i="2"/>
  <c r="AO123" i="2"/>
  <c r="AO55" i="2"/>
  <c r="AO128" i="2"/>
  <c r="AO94" i="2"/>
  <c r="AK35" i="2" l="1"/>
  <c r="AL35" i="2" s="1"/>
  <c r="AM35" i="2" s="1"/>
  <c r="AI37" i="2"/>
  <c r="AJ36" i="2"/>
  <c r="AJ37" i="2" l="1"/>
  <c r="AI38" i="2"/>
  <c r="AK36" i="2"/>
  <c r="AL36" i="2" s="1"/>
  <c r="AM36" i="2" s="1"/>
  <c r="AJ38" i="2" l="1"/>
  <c r="AI39" i="2"/>
  <c r="AK37" i="2"/>
  <c r="AL37" i="2" s="1"/>
  <c r="AM37" i="2" s="1"/>
  <c r="AJ39" i="2" l="1"/>
  <c r="AI40" i="2"/>
  <c r="AK38" i="2"/>
  <c r="AL38" i="2" s="1"/>
  <c r="AM38" i="2" s="1"/>
  <c r="AJ40" i="2" l="1"/>
  <c r="AI41" i="2"/>
  <c r="AK39" i="2"/>
  <c r="AL39" i="2"/>
  <c r="AM39" i="2" s="1"/>
  <c r="AJ41" i="2" l="1"/>
  <c r="AI42" i="2"/>
  <c r="AK40" i="2"/>
  <c r="AL40" i="2" s="1"/>
  <c r="AM40" i="2" s="1"/>
  <c r="AJ42" i="2" l="1"/>
  <c r="AI43" i="2"/>
  <c r="AK41" i="2"/>
  <c r="AL41" i="2" s="1"/>
  <c r="AM41" i="2" s="1"/>
  <c r="AI44" i="2" l="1"/>
  <c r="AJ43" i="2"/>
  <c r="AK42" i="2"/>
  <c r="AL42" i="2" s="1"/>
  <c r="AM42" i="2" s="1"/>
  <c r="AK43" i="2" l="1"/>
  <c r="AL43" i="2" s="1"/>
  <c r="AM43" i="2" s="1"/>
  <c r="AJ44" i="2"/>
  <c r="AI45" i="2"/>
  <c r="AK44" i="2" l="1"/>
  <c r="AL44" i="2" s="1"/>
  <c r="AM44" i="2" s="1"/>
  <c r="AI46" i="2"/>
  <c r="AJ45" i="2"/>
  <c r="AK45" i="2" l="1"/>
  <c r="AL45" i="2" s="1"/>
  <c r="AM45" i="2" s="1"/>
  <c r="AJ46" i="2"/>
  <c r="AI47" i="2"/>
  <c r="AJ47" i="2" l="1"/>
  <c r="AI48" i="2"/>
  <c r="AK46" i="2"/>
  <c r="AL46" i="2" s="1"/>
  <c r="AM46" i="2" s="1"/>
  <c r="AJ48" i="2" l="1"/>
  <c r="AI49" i="2"/>
  <c r="AK47" i="2"/>
  <c r="AL47" i="2" s="1"/>
  <c r="AM47" i="2" s="1"/>
  <c r="AI50" i="2" l="1"/>
  <c r="AJ49" i="2"/>
  <c r="AK48" i="2"/>
  <c r="AL48" i="2" s="1"/>
  <c r="AM48" i="2" s="1"/>
  <c r="AK49" i="2" l="1"/>
  <c r="AL49" i="2" s="1"/>
  <c r="AM49" i="2" s="1"/>
  <c r="AJ50" i="2"/>
  <c r="AI51" i="2"/>
  <c r="AK50" i="2" l="1"/>
  <c r="AL50" i="2" s="1"/>
  <c r="AM50" i="2" s="1"/>
  <c r="AJ51" i="2"/>
  <c r="AI52" i="2"/>
  <c r="AJ52" i="2" l="1"/>
  <c r="AI53" i="2"/>
  <c r="AK51" i="2"/>
  <c r="AL51" i="2" s="1"/>
  <c r="AM51" i="2" s="1"/>
  <c r="AI54" i="2" l="1"/>
  <c r="AJ53" i="2"/>
  <c r="AK52" i="2"/>
  <c r="AL52" i="2" s="1"/>
  <c r="AM52" i="2" s="1"/>
  <c r="AK53" i="2" l="1"/>
  <c r="AL53" i="2" s="1"/>
  <c r="AM53" i="2" s="1"/>
  <c r="AJ54" i="2"/>
  <c r="AI55" i="2"/>
  <c r="AJ55" i="2" l="1"/>
  <c r="AI56" i="2"/>
  <c r="AK54" i="2"/>
  <c r="AL54" i="2" s="1"/>
  <c r="AM54" i="2" s="1"/>
  <c r="AJ56" i="2" l="1"/>
  <c r="AI57" i="2"/>
  <c r="AK55" i="2"/>
  <c r="AL55" i="2" s="1"/>
  <c r="AM55" i="2" s="1"/>
  <c r="AJ57" i="2" l="1"/>
  <c r="AI58" i="2"/>
  <c r="AK56" i="2"/>
  <c r="AL56" i="2" s="1"/>
  <c r="AM56" i="2" s="1"/>
  <c r="AJ58" i="2" l="1"/>
  <c r="AI59" i="2"/>
  <c r="AK57" i="2"/>
  <c r="AL57" i="2" s="1"/>
  <c r="AM57" i="2" s="1"/>
  <c r="AJ59" i="2" l="1"/>
  <c r="AI60" i="2"/>
  <c r="AK58" i="2"/>
  <c r="AL58" i="2" s="1"/>
  <c r="AM58" i="2" s="1"/>
  <c r="AJ60" i="2" l="1"/>
  <c r="AI61" i="2"/>
  <c r="AK59" i="2"/>
  <c r="AL59" i="2" s="1"/>
  <c r="AM59" i="2" s="1"/>
  <c r="AI62" i="2" l="1"/>
  <c r="AJ61" i="2"/>
  <c r="AK60" i="2"/>
  <c r="AL60" i="2" s="1"/>
  <c r="AM60" i="2" s="1"/>
  <c r="AK61" i="2" l="1"/>
  <c r="AL61" i="2" s="1"/>
  <c r="AM61" i="2" s="1"/>
  <c r="AI63" i="2"/>
  <c r="AJ62" i="2"/>
  <c r="AK62" i="2" l="1"/>
  <c r="AL62" i="2" s="1"/>
  <c r="AM62" i="2" s="1"/>
  <c r="AJ63" i="2"/>
  <c r="AI64" i="2"/>
  <c r="AJ64" i="2" l="1"/>
  <c r="AI65" i="2"/>
  <c r="AK63" i="2"/>
  <c r="AL63" i="2" s="1"/>
  <c r="AM63" i="2" s="1"/>
  <c r="AJ65" i="2" l="1"/>
  <c r="AI66" i="2"/>
  <c r="AK64" i="2"/>
  <c r="AL64" i="2" s="1"/>
  <c r="AM64" i="2" s="1"/>
  <c r="AJ66" i="2" l="1"/>
  <c r="AI67" i="2"/>
  <c r="AK65" i="2"/>
  <c r="AL65" i="2" s="1"/>
  <c r="AM65" i="2" s="1"/>
  <c r="AJ67" i="2" l="1"/>
  <c r="AI68" i="2"/>
  <c r="AK66" i="2"/>
  <c r="AL66" i="2" s="1"/>
  <c r="AM66" i="2" s="1"/>
  <c r="AJ68" i="2" l="1"/>
  <c r="AI69" i="2"/>
  <c r="AK67" i="2"/>
  <c r="AL67" i="2" s="1"/>
  <c r="AM67" i="2" s="1"/>
  <c r="AJ69" i="2" l="1"/>
  <c r="AI70" i="2"/>
  <c r="AK68" i="2"/>
  <c r="AL68" i="2" s="1"/>
  <c r="AM68" i="2" s="1"/>
  <c r="AI71" i="2" l="1"/>
  <c r="AJ70" i="2"/>
  <c r="AK69" i="2"/>
  <c r="AL69" i="2" s="1"/>
  <c r="AM69" i="2" s="1"/>
  <c r="AK70" i="2" l="1"/>
  <c r="AL70" i="2" s="1"/>
  <c r="AM70" i="2" s="1"/>
  <c r="AJ71" i="2"/>
  <c r="AI72" i="2"/>
  <c r="AK71" i="2" l="1"/>
  <c r="AL71" i="2" s="1"/>
  <c r="AM71" i="2" s="1"/>
  <c r="AJ72" i="2"/>
  <c r="AI73" i="2"/>
  <c r="AI74" i="2" l="1"/>
  <c r="AJ73" i="2"/>
  <c r="AK72" i="2"/>
  <c r="AL72" i="2" s="1"/>
  <c r="AM72" i="2" s="1"/>
  <c r="AK73" i="2" l="1"/>
  <c r="AL73" i="2" s="1"/>
  <c r="AM73" i="2" s="1"/>
  <c r="AJ74" i="2"/>
  <c r="AI75" i="2"/>
  <c r="AK74" i="2" l="1"/>
  <c r="AL74" i="2" s="1"/>
  <c r="AM74" i="2" s="1"/>
  <c r="AJ75" i="2"/>
  <c r="AI76" i="2"/>
  <c r="AK75" i="2" l="1"/>
  <c r="AL75" i="2" s="1"/>
  <c r="AM75" i="2" s="1"/>
  <c r="AI77" i="2"/>
  <c r="AJ76" i="2"/>
  <c r="AJ77" i="2" l="1"/>
  <c r="AI78" i="2"/>
  <c r="AK76" i="2"/>
  <c r="AL76" i="2" s="1"/>
  <c r="AM76" i="2" s="1"/>
  <c r="AJ78" i="2" l="1"/>
  <c r="AI79" i="2"/>
  <c r="AK77" i="2"/>
  <c r="AL77" i="2" s="1"/>
  <c r="AM77" i="2" s="1"/>
  <c r="AJ79" i="2" l="1"/>
  <c r="AI80" i="2"/>
  <c r="AK78" i="2"/>
  <c r="AL78" i="2" s="1"/>
  <c r="AM78" i="2" s="1"/>
  <c r="AJ80" i="2" l="1"/>
  <c r="AI81" i="2"/>
  <c r="AK79" i="2"/>
  <c r="AL79" i="2" s="1"/>
  <c r="AM79" i="2" s="1"/>
  <c r="AJ81" i="2" l="1"/>
  <c r="AI82" i="2"/>
  <c r="AK80" i="2"/>
  <c r="AL80" i="2" s="1"/>
  <c r="AM80" i="2" s="1"/>
  <c r="AJ82" i="2" l="1"/>
  <c r="AI83" i="2"/>
  <c r="AK81" i="2"/>
  <c r="AL81" i="2" s="1"/>
  <c r="AM81" i="2" s="1"/>
  <c r="AJ83" i="2" l="1"/>
  <c r="AI84" i="2"/>
  <c r="AK82" i="2"/>
  <c r="AL82" i="2" s="1"/>
  <c r="AM82" i="2" s="1"/>
  <c r="AJ84" i="2" l="1"/>
  <c r="AI85" i="2"/>
  <c r="AK83" i="2"/>
  <c r="AL83" i="2" s="1"/>
  <c r="AM83" i="2" s="1"/>
  <c r="AN3" i="2" l="1"/>
  <c r="C7" i="4" s="1"/>
  <c r="E7" i="4" s="1"/>
  <c r="F7" i="4" s="1"/>
  <c r="AN170" i="2"/>
  <c r="AN164" i="2"/>
  <c r="AN17" i="2"/>
  <c r="AN27" i="2"/>
  <c r="AN26" i="2"/>
  <c r="AN178" i="2"/>
  <c r="AN97" i="2"/>
  <c r="AN176" i="2"/>
  <c r="AN186" i="2"/>
  <c r="AN137" i="2"/>
  <c r="AN22" i="2"/>
  <c r="AN29" i="2"/>
  <c r="AN135" i="2"/>
  <c r="AN106" i="2"/>
  <c r="AN116" i="2"/>
  <c r="AN198" i="2"/>
  <c r="AN11" i="2"/>
  <c r="AN81" i="2"/>
  <c r="AN163" i="2"/>
  <c r="AN118" i="2"/>
  <c r="AN88" i="2"/>
  <c r="AN203" i="2"/>
  <c r="AN12" i="2"/>
  <c r="AN177" i="2"/>
  <c r="AN199" i="2"/>
  <c r="AN136" i="2"/>
  <c r="AN80" i="2"/>
  <c r="AN87" i="2"/>
  <c r="AN52" i="2"/>
  <c r="AN157" i="2"/>
  <c r="AN95" i="2"/>
  <c r="AN111" i="2"/>
  <c r="AN196" i="2"/>
  <c r="AN63" i="2"/>
  <c r="AN20" i="2"/>
  <c r="AN152" i="2"/>
  <c r="AN57" i="2"/>
  <c r="AN187" i="2"/>
  <c r="AN101" i="2"/>
  <c r="AN127" i="2"/>
  <c r="AN33" i="2"/>
  <c r="AN119" i="2"/>
  <c r="AN173" i="2"/>
  <c r="AN55" i="2"/>
  <c r="AN188" i="2"/>
  <c r="AN19" i="2"/>
  <c r="AN98" i="2"/>
  <c r="AN168" i="2"/>
  <c r="AN56" i="2"/>
  <c r="AN37" i="2"/>
  <c r="AN48" i="2"/>
  <c r="AN115" i="2"/>
  <c r="AN24" i="2"/>
  <c r="AN184" i="2"/>
  <c r="AN172" i="2"/>
  <c r="AN79" i="2"/>
  <c r="AN9" i="2"/>
  <c r="AN195" i="2"/>
  <c r="AN72" i="2"/>
  <c r="AN31" i="2"/>
  <c r="AN113" i="2"/>
  <c r="AN34" i="2"/>
  <c r="AN67" i="2"/>
  <c r="AN7" i="2"/>
  <c r="AN153" i="2"/>
  <c r="AN131" i="2"/>
  <c r="AN141" i="2"/>
  <c r="AN13" i="2"/>
  <c r="AN126" i="2"/>
  <c r="AN104" i="2"/>
  <c r="AN96" i="2"/>
  <c r="AN30" i="2"/>
  <c r="AN105" i="2"/>
  <c r="AN78" i="2"/>
  <c r="AN159" i="2"/>
  <c r="AN38" i="2"/>
  <c r="AN193" i="2"/>
  <c r="AN194" i="2"/>
  <c r="AN36" i="2"/>
  <c r="AN14" i="2"/>
  <c r="AN165" i="2"/>
  <c r="AN62" i="2"/>
  <c r="AN102" i="2"/>
  <c r="AN25" i="2"/>
  <c r="AN174" i="2"/>
  <c r="AN60" i="2"/>
  <c r="AN46" i="2"/>
  <c r="AN197" i="2"/>
  <c r="AN43" i="2"/>
  <c r="AN122" i="2"/>
  <c r="AN5" i="2"/>
  <c r="AN93" i="2"/>
  <c r="AN151" i="2"/>
  <c r="AN109" i="2"/>
  <c r="AN99" i="2"/>
  <c r="AN71" i="2"/>
  <c r="AN202" i="2"/>
  <c r="AN82" i="2"/>
  <c r="AN114" i="2"/>
  <c r="AN146" i="2"/>
  <c r="AN124" i="2"/>
  <c r="AN158" i="2"/>
  <c r="AN144" i="2"/>
  <c r="AN145" i="2"/>
  <c r="AN83" i="2"/>
  <c r="AN68" i="2"/>
  <c r="AN91" i="2"/>
  <c r="AN42" i="2"/>
  <c r="AN171" i="2"/>
  <c r="AN181" i="2"/>
  <c r="AN107" i="2"/>
  <c r="AN185" i="2"/>
  <c r="AN94" i="2"/>
  <c r="AN50" i="2"/>
  <c r="AN70" i="2"/>
  <c r="AN77" i="2"/>
  <c r="AN85" i="2"/>
  <c r="AN147" i="2"/>
  <c r="AN121" i="2"/>
  <c r="AN133" i="2"/>
  <c r="AN167" i="2"/>
  <c r="AN142" i="2"/>
  <c r="AN130" i="2"/>
  <c r="AN139" i="2"/>
  <c r="AN10" i="2"/>
  <c r="AN21" i="2"/>
  <c r="AN49" i="2"/>
  <c r="AN201" i="2"/>
  <c r="AN108" i="2"/>
  <c r="AN200" i="2"/>
  <c r="AN59" i="2"/>
  <c r="AN75" i="2"/>
  <c r="AN41" i="2"/>
  <c r="AN53" i="2"/>
  <c r="AN175" i="2"/>
  <c r="AN182" i="2"/>
  <c r="AN4" i="2"/>
  <c r="AN155" i="2"/>
  <c r="AN73" i="2"/>
  <c r="AN125" i="2"/>
  <c r="AN120" i="2"/>
  <c r="AN35" i="2"/>
  <c r="AN128" i="2"/>
  <c r="AN154" i="2"/>
  <c r="AN92" i="2"/>
  <c r="AN66" i="2"/>
  <c r="AN132" i="2"/>
  <c r="AN190" i="2"/>
  <c r="AN64" i="2"/>
  <c r="AN180" i="2"/>
  <c r="AN162" i="2"/>
  <c r="AN39" i="2"/>
  <c r="AN28" i="2"/>
  <c r="AN189" i="2"/>
  <c r="AN44" i="2"/>
  <c r="AN86" i="2"/>
  <c r="AN54" i="2"/>
  <c r="AN161" i="2"/>
  <c r="AN23" i="2"/>
  <c r="AN58" i="2"/>
  <c r="AN51" i="2"/>
  <c r="AN183" i="2"/>
  <c r="AN110" i="2"/>
  <c r="AN112" i="2"/>
  <c r="AN169" i="2"/>
  <c r="AN191" i="2"/>
  <c r="AN138" i="2"/>
  <c r="AN89" i="2"/>
  <c r="AN192" i="2"/>
  <c r="AN143" i="2"/>
  <c r="AN40" i="2"/>
  <c r="AN100" i="2"/>
  <c r="AN149" i="2"/>
  <c r="AN166" i="2"/>
  <c r="AN160" i="2"/>
  <c r="AN47" i="2"/>
  <c r="AN129" i="2"/>
  <c r="AN84" i="2"/>
  <c r="AN8" i="2"/>
  <c r="AN140" i="2"/>
  <c r="AN15" i="2"/>
  <c r="AN103" i="2"/>
  <c r="AN90" i="2"/>
  <c r="AN18" i="2"/>
  <c r="AN74" i="2"/>
  <c r="AN179" i="2"/>
  <c r="AN117" i="2"/>
  <c r="AN32" i="2"/>
  <c r="AN156" i="2"/>
  <c r="AN65" i="2"/>
  <c r="AN69" i="2"/>
  <c r="AN61" i="2"/>
  <c r="AN148" i="2"/>
  <c r="AN123" i="2"/>
  <c r="AN150" i="2"/>
  <c r="AN45" i="2"/>
  <c r="AN134" i="2"/>
  <c r="AN16" i="2"/>
  <c r="AN6" i="2"/>
  <c r="AN76" i="2"/>
  <c r="AI86" i="2"/>
  <c r="AJ85" i="2"/>
  <c r="AK84" i="2"/>
  <c r="AL84" i="2" s="1"/>
  <c r="AM84" i="2" s="1"/>
  <c r="AK85" i="2" l="1"/>
  <c r="AL85" i="2" s="1"/>
  <c r="AM85" i="2" s="1"/>
  <c r="AJ86" i="2"/>
  <c r="AI87" i="2"/>
  <c r="F16" i="4"/>
  <c r="G7" i="4"/>
  <c r="L7" i="4" l="1"/>
  <c r="L16" i="4" s="1"/>
  <c r="G16" i="4"/>
  <c r="AK86" i="2"/>
  <c r="AL86" i="2" s="1"/>
  <c r="AM86" i="2" s="1"/>
  <c r="AJ87" i="2"/>
  <c r="AI88" i="2"/>
  <c r="AK87" i="2" l="1"/>
  <c r="AL87" i="2" s="1"/>
  <c r="AM87" i="2" s="1"/>
  <c r="AJ88" i="2"/>
  <c r="AI89" i="2"/>
  <c r="AK88" i="2" l="1"/>
  <c r="AL88" i="2" s="1"/>
  <c r="AM88" i="2" s="1"/>
  <c r="AJ89" i="2"/>
  <c r="AI90" i="2"/>
  <c r="AK89" i="2" l="1"/>
  <c r="AL89" i="2" s="1"/>
  <c r="AM89" i="2" s="1"/>
  <c r="AJ90" i="2"/>
  <c r="AI91" i="2"/>
  <c r="AK90" i="2" l="1"/>
  <c r="AL90" i="2" s="1"/>
  <c r="AM90" i="2" s="1"/>
  <c r="AJ91" i="2"/>
  <c r="AI92" i="2"/>
  <c r="AK91" i="2" l="1"/>
  <c r="AL91" i="2" s="1"/>
  <c r="AM91" i="2" s="1"/>
  <c r="AJ92" i="2"/>
  <c r="AI93" i="2"/>
  <c r="AK92" i="2" l="1"/>
  <c r="AL92" i="2" s="1"/>
  <c r="AM92" i="2" s="1"/>
  <c r="AI94" i="2"/>
  <c r="AJ93" i="2"/>
  <c r="AJ94" i="2" l="1"/>
  <c r="AI95" i="2"/>
  <c r="AK93" i="2"/>
  <c r="AL93" i="2" s="1"/>
  <c r="AM93" i="2" s="1"/>
  <c r="AJ95" i="2" l="1"/>
  <c r="AI96" i="2"/>
  <c r="AK94" i="2"/>
  <c r="AL94" i="2" s="1"/>
  <c r="AM94" i="2" s="1"/>
  <c r="AJ96" i="2" l="1"/>
  <c r="AI97" i="2"/>
  <c r="AK95" i="2"/>
  <c r="AL95" i="2" s="1"/>
  <c r="AM95" i="2" s="1"/>
  <c r="AJ97" i="2" l="1"/>
  <c r="AI98" i="2"/>
  <c r="AK96" i="2"/>
  <c r="AL96" i="2" s="1"/>
  <c r="AM96" i="2" s="1"/>
  <c r="AJ98" i="2" l="1"/>
  <c r="AI99" i="2"/>
  <c r="AK97" i="2"/>
  <c r="AL97" i="2" s="1"/>
  <c r="AM97" i="2" s="1"/>
  <c r="AJ99" i="2" l="1"/>
  <c r="AI100" i="2"/>
  <c r="AK98" i="2"/>
  <c r="AL98" i="2" s="1"/>
  <c r="AM98" i="2" s="1"/>
  <c r="AI101" i="2" l="1"/>
  <c r="AJ100" i="2"/>
  <c r="AK99" i="2"/>
  <c r="AL99" i="2" s="1"/>
  <c r="AM99" i="2" s="1"/>
  <c r="AK100" i="2" l="1"/>
  <c r="AL100" i="2" s="1"/>
  <c r="AM100" i="2" s="1"/>
  <c r="AJ101" i="2"/>
  <c r="AI102" i="2"/>
  <c r="AJ102" i="2" l="1"/>
  <c r="AI103" i="2"/>
  <c r="AK101" i="2"/>
  <c r="AL101" i="2" s="1"/>
  <c r="AM101" i="2" s="1"/>
  <c r="AJ103" i="2" l="1"/>
  <c r="AI104" i="2"/>
  <c r="AK102" i="2"/>
  <c r="AL102" i="2" s="1"/>
  <c r="AM102" i="2" s="1"/>
  <c r="AJ104" i="2" l="1"/>
  <c r="AI105" i="2"/>
  <c r="AK103" i="2"/>
  <c r="AL103" i="2" s="1"/>
  <c r="AM103" i="2" s="1"/>
  <c r="AJ105" i="2" l="1"/>
  <c r="AI106" i="2"/>
  <c r="AK104" i="2"/>
  <c r="AL104" i="2" s="1"/>
  <c r="AM104" i="2" s="1"/>
  <c r="AJ106" i="2" l="1"/>
  <c r="AI107" i="2"/>
  <c r="AK105" i="2"/>
  <c r="AL105" i="2" s="1"/>
  <c r="AM105" i="2" s="1"/>
  <c r="AJ107" i="2" l="1"/>
  <c r="AI108" i="2"/>
  <c r="AK106" i="2"/>
  <c r="AL106" i="2" s="1"/>
  <c r="AM106" i="2" s="1"/>
  <c r="AJ108" i="2" l="1"/>
  <c r="AI109" i="2"/>
  <c r="AK107" i="2"/>
  <c r="AL107" i="2" s="1"/>
  <c r="AM107" i="2" s="1"/>
  <c r="AJ109" i="2" l="1"/>
  <c r="AI110" i="2"/>
  <c r="AK108" i="2"/>
  <c r="AL108" i="2" s="1"/>
  <c r="AM108" i="2" s="1"/>
  <c r="AJ110" i="2" l="1"/>
  <c r="AI111" i="2"/>
  <c r="AK109" i="2"/>
  <c r="AL109" i="2" s="1"/>
  <c r="AM109" i="2" s="1"/>
  <c r="AJ111" i="2" l="1"/>
  <c r="AI112" i="2"/>
  <c r="AK110" i="2"/>
  <c r="AL110" i="2" s="1"/>
  <c r="AM110" i="2" s="1"/>
  <c r="AI113" i="2" l="1"/>
  <c r="AJ112" i="2"/>
  <c r="AK111" i="2"/>
  <c r="AL111" i="2" s="1"/>
  <c r="AM111" i="2" s="1"/>
  <c r="AK112" i="2" l="1"/>
  <c r="AL112" i="2" s="1"/>
  <c r="AM112" i="2" s="1"/>
  <c r="AJ113" i="2"/>
  <c r="AI114" i="2"/>
  <c r="AJ114" i="2" l="1"/>
  <c r="AI115" i="2"/>
  <c r="AK113" i="2"/>
  <c r="AL113" i="2" s="1"/>
  <c r="AM113" i="2" s="1"/>
  <c r="AI116" i="2" l="1"/>
  <c r="AJ115" i="2"/>
  <c r="AK114" i="2"/>
  <c r="AL114" i="2" s="1"/>
  <c r="AM114" i="2" s="1"/>
  <c r="AK115" i="2" l="1"/>
  <c r="AL115" i="2" s="1"/>
  <c r="AM115" i="2" s="1"/>
  <c r="AJ116" i="2"/>
  <c r="AI117" i="2"/>
  <c r="AJ117" i="2" l="1"/>
  <c r="AI118" i="2"/>
  <c r="AK116" i="2"/>
  <c r="AL116" i="2" s="1"/>
  <c r="AM116" i="2" s="1"/>
  <c r="AJ118" i="2" l="1"/>
  <c r="AI119" i="2"/>
  <c r="AK117" i="2"/>
  <c r="AL117" i="2" s="1"/>
  <c r="AM117" i="2" s="1"/>
  <c r="AI120" i="2" l="1"/>
  <c r="AJ119" i="2"/>
  <c r="AK118" i="2"/>
  <c r="AL118" i="2" s="1"/>
  <c r="AM118" i="2" s="1"/>
  <c r="AK119" i="2" l="1"/>
  <c r="AL119" i="2" s="1"/>
  <c r="AM119" i="2" s="1"/>
  <c r="AJ120" i="2"/>
  <c r="AI121" i="2"/>
  <c r="AJ121" i="2" l="1"/>
  <c r="AI122" i="2"/>
  <c r="AK120" i="2"/>
  <c r="AL120" i="2" s="1"/>
  <c r="AM120" i="2" s="1"/>
  <c r="AJ122" i="2" l="1"/>
  <c r="AI123" i="2"/>
  <c r="AK121" i="2"/>
  <c r="AL121" i="2" s="1"/>
  <c r="AM121" i="2" s="1"/>
  <c r="AI124" i="2" l="1"/>
  <c r="AJ123" i="2"/>
  <c r="AK122" i="2"/>
  <c r="AL122" i="2" s="1"/>
  <c r="AM122" i="2" s="1"/>
  <c r="AK123" i="2" l="1"/>
  <c r="AL123" i="2" s="1"/>
  <c r="AM123" i="2" s="1"/>
  <c r="AJ124" i="2"/>
  <c r="AI125" i="2"/>
  <c r="AK124" i="2" l="1"/>
  <c r="AL124" i="2" s="1"/>
  <c r="AM124" i="2" s="1"/>
  <c r="AI126" i="2"/>
  <c r="AJ125" i="2"/>
  <c r="AK125" i="2" l="1"/>
  <c r="AL125" i="2" s="1"/>
  <c r="AM125" i="2" s="1"/>
  <c r="AJ126" i="2"/>
  <c r="AI127" i="2"/>
  <c r="AK126" i="2" l="1"/>
  <c r="AL126" i="2" s="1"/>
  <c r="AM126" i="2" s="1"/>
  <c r="AJ127" i="2"/>
  <c r="AI128" i="2"/>
  <c r="AJ128" i="2" l="1"/>
  <c r="AI129" i="2"/>
  <c r="AK127" i="2"/>
  <c r="AL127" i="2" s="1"/>
  <c r="AM127" i="2" s="1"/>
  <c r="AJ129" i="2" l="1"/>
  <c r="AI130" i="2"/>
  <c r="AK128" i="2"/>
  <c r="AL128" i="2" s="1"/>
  <c r="AM128" i="2" s="1"/>
  <c r="AJ130" i="2" l="1"/>
  <c r="AI131" i="2"/>
  <c r="AK129" i="2"/>
  <c r="AL129" i="2" s="1"/>
  <c r="AM129" i="2" s="1"/>
  <c r="AJ131" i="2" l="1"/>
  <c r="AI132" i="2"/>
  <c r="AK130" i="2"/>
  <c r="AL130" i="2" s="1"/>
  <c r="AM130" i="2" s="1"/>
  <c r="AJ132" i="2" l="1"/>
  <c r="AI133" i="2"/>
  <c r="AK131" i="2"/>
  <c r="AL131" i="2" s="1"/>
  <c r="AM131" i="2" s="1"/>
  <c r="AI134" i="2" l="1"/>
  <c r="AJ133" i="2"/>
  <c r="AK132" i="2"/>
  <c r="AL132" i="2" s="1"/>
  <c r="AM132" i="2" s="1"/>
  <c r="AK133" i="2" l="1"/>
  <c r="AL133" i="2" s="1"/>
  <c r="AM133" i="2" s="1"/>
  <c r="AJ134" i="2"/>
  <c r="AI135" i="2"/>
  <c r="AJ135" i="2" l="1"/>
  <c r="AI136" i="2"/>
  <c r="AK134" i="2"/>
  <c r="AL134" i="2" s="1"/>
  <c r="AM134" i="2" s="1"/>
  <c r="AJ136" i="2" l="1"/>
  <c r="AI137" i="2"/>
  <c r="AK135" i="2"/>
  <c r="AL135" i="2"/>
  <c r="AM135" i="2" s="1"/>
  <c r="AJ137" i="2" l="1"/>
  <c r="AI138" i="2"/>
  <c r="AK136" i="2"/>
  <c r="AL136" i="2" s="1"/>
  <c r="AM136" i="2" s="1"/>
  <c r="AJ138" i="2" l="1"/>
  <c r="AI139" i="2"/>
  <c r="AK137" i="2"/>
  <c r="AL137" i="2" s="1"/>
  <c r="AM137" i="2" s="1"/>
  <c r="AI140" i="2" l="1"/>
  <c r="AJ139" i="2"/>
  <c r="AK138" i="2"/>
  <c r="AL138" i="2" s="1"/>
  <c r="AM138" i="2" s="1"/>
  <c r="AK139" i="2" l="1"/>
  <c r="AL139" i="2" s="1"/>
  <c r="AM139" i="2" s="1"/>
  <c r="AI141" i="2"/>
  <c r="AJ140" i="2"/>
  <c r="AK140" i="2" l="1"/>
  <c r="AL140" i="2" s="1"/>
  <c r="AM140" i="2" s="1"/>
  <c r="AJ141" i="2"/>
  <c r="AI142" i="2"/>
  <c r="AI143" i="2" l="1"/>
  <c r="AJ142" i="2"/>
  <c r="AK141" i="2"/>
  <c r="AL141" i="2" s="1"/>
  <c r="AM141" i="2" s="1"/>
  <c r="AK142" i="2" l="1"/>
  <c r="AL142" i="2" s="1"/>
  <c r="AM142" i="2" s="1"/>
  <c r="AJ143" i="2"/>
  <c r="AI144" i="2"/>
  <c r="AJ144" i="2" l="1"/>
  <c r="AI145" i="2"/>
  <c r="AK143" i="2"/>
  <c r="AL143" i="2" s="1"/>
  <c r="AM143" i="2" s="1"/>
  <c r="AJ145" i="2" l="1"/>
  <c r="AI146" i="2"/>
  <c r="AK144" i="2"/>
  <c r="AL144" i="2" s="1"/>
  <c r="AM144" i="2" s="1"/>
  <c r="AJ146" i="2" l="1"/>
  <c r="AI147" i="2"/>
  <c r="AK145" i="2"/>
  <c r="AL145" i="2" s="1"/>
  <c r="AM145" i="2" s="1"/>
  <c r="AJ147" i="2" l="1"/>
  <c r="AI148" i="2"/>
  <c r="AK146" i="2"/>
  <c r="AL146" i="2" s="1"/>
  <c r="AM146" i="2" s="1"/>
  <c r="AJ148" i="2" l="1"/>
  <c r="AI149" i="2"/>
  <c r="AK147" i="2"/>
  <c r="AL147" i="2" s="1"/>
  <c r="AM147" i="2" s="1"/>
  <c r="AJ149" i="2" l="1"/>
  <c r="AI150" i="2"/>
  <c r="AK148" i="2"/>
  <c r="AL148" i="2" s="1"/>
  <c r="AM148" i="2" s="1"/>
  <c r="AI151" i="2" l="1"/>
  <c r="AJ150" i="2"/>
  <c r="AK149" i="2"/>
  <c r="AL149" i="2" s="1"/>
  <c r="AM149" i="2" s="1"/>
  <c r="AK150" i="2" l="1"/>
  <c r="AL150" i="2" s="1"/>
  <c r="AM150" i="2" s="1"/>
  <c r="AJ151" i="2"/>
  <c r="AI152" i="2"/>
  <c r="AK151" i="2" l="1"/>
  <c r="AL151" i="2" s="1"/>
  <c r="AM151" i="2" s="1"/>
  <c r="AJ152" i="2"/>
  <c r="AI153" i="2"/>
  <c r="AJ153" i="2" l="1"/>
  <c r="AI154" i="2"/>
  <c r="AK152" i="2"/>
  <c r="AL152" i="2" s="1"/>
  <c r="AM152" i="2" s="1"/>
  <c r="AJ154" i="2" l="1"/>
  <c r="AI155" i="2"/>
  <c r="AK153" i="2"/>
  <c r="AL153" i="2" s="1"/>
  <c r="AM153" i="2" s="1"/>
  <c r="AJ155" i="2" l="1"/>
  <c r="AI156" i="2"/>
  <c r="AK154" i="2"/>
  <c r="AL154" i="2" s="1"/>
  <c r="AM154" i="2" s="1"/>
  <c r="AJ156" i="2" l="1"/>
  <c r="AI157" i="2"/>
  <c r="AK155" i="2"/>
  <c r="AL155" i="2" s="1"/>
  <c r="AM155" i="2" s="1"/>
  <c r="AJ157" i="2" l="1"/>
  <c r="AI158" i="2"/>
  <c r="AK156" i="2"/>
  <c r="AL156" i="2" s="1"/>
  <c r="AM156" i="2" s="1"/>
  <c r="AJ158" i="2" l="1"/>
  <c r="AI159" i="2"/>
  <c r="AK157" i="2"/>
  <c r="AL157" i="2" s="1"/>
  <c r="AM157" i="2" s="1"/>
  <c r="AI160" i="2" l="1"/>
  <c r="AJ159" i="2"/>
  <c r="AK158" i="2"/>
  <c r="AL158" i="2" s="1"/>
  <c r="AM158" i="2" s="1"/>
  <c r="AK159" i="2" l="1"/>
  <c r="AL159" i="2" s="1"/>
  <c r="AM159" i="2" s="1"/>
  <c r="AJ160" i="2"/>
  <c r="AI161" i="2"/>
  <c r="AI162" i="2" l="1"/>
  <c r="AJ161" i="2"/>
  <c r="AK160" i="2"/>
  <c r="AL160" i="2" s="1"/>
  <c r="AM160" i="2" s="1"/>
  <c r="AK161" i="2" l="1"/>
  <c r="AL161" i="2" s="1"/>
  <c r="AM161" i="2" s="1"/>
  <c r="AJ162" i="2"/>
  <c r="AI163" i="2"/>
  <c r="AJ163" i="2" l="1"/>
  <c r="AI164" i="2"/>
  <c r="AK162" i="2"/>
  <c r="AL162" i="2" s="1"/>
  <c r="AM162" i="2" s="1"/>
  <c r="AJ164" i="2" l="1"/>
  <c r="AI165" i="2"/>
  <c r="AK163" i="2"/>
  <c r="AL163" i="2" s="1"/>
  <c r="AM163" i="2" s="1"/>
  <c r="AJ165" i="2" l="1"/>
  <c r="AI166" i="2"/>
  <c r="AK164" i="2"/>
  <c r="AL164" i="2" s="1"/>
  <c r="AM164" i="2" s="1"/>
  <c r="AI167" i="2" l="1"/>
  <c r="AJ166" i="2"/>
  <c r="AK165" i="2"/>
  <c r="AL165" i="2" s="1"/>
  <c r="AM165" i="2" s="1"/>
  <c r="AK166" i="2" l="1"/>
  <c r="AL166" i="2" s="1"/>
  <c r="AM166" i="2" s="1"/>
  <c r="AI168" i="2"/>
  <c r="AJ167" i="2"/>
  <c r="AK167" i="2" l="1"/>
  <c r="AL167" i="2" s="1"/>
  <c r="AM167" i="2" s="1"/>
  <c r="AI169" i="2"/>
  <c r="AJ168" i="2"/>
  <c r="AK168" i="2" l="1"/>
  <c r="AL168" i="2" s="1"/>
  <c r="AM168" i="2" s="1"/>
  <c r="AJ169" i="2"/>
  <c r="AI170" i="2"/>
  <c r="AJ170" i="2" l="1"/>
  <c r="AI171" i="2"/>
  <c r="AK169" i="2"/>
  <c r="AL169" i="2" s="1"/>
  <c r="AM169" i="2" s="1"/>
  <c r="AJ171" i="2" l="1"/>
  <c r="AI172" i="2"/>
  <c r="AK170" i="2"/>
  <c r="AL170" i="2" s="1"/>
  <c r="AM170" i="2" s="1"/>
  <c r="AJ172" i="2" l="1"/>
  <c r="AI173" i="2"/>
  <c r="AK171" i="2"/>
  <c r="AL171" i="2" s="1"/>
  <c r="AM171" i="2" s="1"/>
  <c r="AJ173" i="2" l="1"/>
  <c r="AI174" i="2"/>
  <c r="AK172" i="2"/>
  <c r="AL172" i="2" s="1"/>
  <c r="AM172" i="2" s="1"/>
  <c r="AJ174" i="2" l="1"/>
  <c r="AI175" i="2"/>
  <c r="AK173" i="2"/>
  <c r="AL173" i="2" s="1"/>
  <c r="AM173" i="2" s="1"/>
  <c r="AJ175" i="2" l="1"/>
  <c r="AI176" i="2"/>
  <c r="AK174" i="2"/>
  <c r="AL174" i="2" s="1"/>
  <c r="AM174" i="2" s="1"/>
  <c r="AJ176" i="2" l="1"/>
  <c r="AI177" i="2"/>
  <c r="AK175" i="2"/>
  <c r="AL175" i="2" s="1"/>
  <c r="AM175" i="2" s="1"/>
  <c r="AJ177" i="2" l="1"/>
  <c r="AI178" i="2"/>
  <c r="AK176" i="2"/>
  <c r="AL176" i="2" s="1"/>
  <c r="AM176" i="2" s="1"/>
  <c r="AJ178" i="2" l="1"/>
  <c r="AI179" i="2"/>
  <c r="AK177" i="2"/>
  <c r="AL177" i="2" s="1"/>
  <c r="AM177" i="2" s="1"/>
  <c r="AJ179" i="2" l="1"/>
  <c r="AI180" i="2"/>
  <c r="AK178" i="2"/>
  <c r="AL178" i="2" s="1"/>
  <c r="AM178" i="2" s="1"/>
  <c r="AJ180" i="2" l="1"/>
  <c r="AI181" i="2"/>
  <c r="AK179" i="2"/>
  <c r="AL179" i="2" s="1"/>
  <c r="AM179" i="2" s="1"/>
  <c r="AJ181" i="2" l="1"/>
  <c r="AI182" i="2"/>
  <c r="AK180" i="2"/>
  <c r="AL180" i="2" s="1"/>
  <c r="AM180" i="2" s="1"/>
  <c r="AJ182" i="2" l="1"/>
  <c r="AI183" i="2"/>
  <c r="AK181" i="2"/>
  <c r="AL181" i="2" s="1"/>
  <c r="AM181" i="2" s="1"/>
  <c r="AJ183" i="2" l="1"/>
  <c r="AI184" i="2"/>
  <c r="AK182" i="2"/>
  <c r="AL182" i="2" s="1"/>
  <c r="AM182" i="2" s="1"/>
  <c r="AJ184" i="2" l="1"/>
  <c r="AI185" i="2"/>
  <c r="AK183" i="2"/>
  <c r="AL183" i="2" s="1"/>
  <c r="AM183" i="2" s="1"/>
  <c r="AJ185" i="2" l="1"/>
  <c r="AI186" i="2"/>
  <c r="AK184" i="2"/>
  <c r="AL184" i="2" s="1"/>
  <c r="AM184" i="2" s="1"/>
  <c r="AJ186" i="2" l="1"/>
  <c r="AI187" i="2"/>
  <c r="AK185" i="2"/>
  <c r="AL185" i="2" s="1"/>
  <c r="AM185" i="2" s="1"/>
  <c r="AI188" i="2" l="1"/>
  <c r="AJ187" i="2"/>
  <c r="AK186" i="2"/>
  <c r="AL186" i="2" s="1"/>
  <c r="AM186" i="2" s="1"/>
  <c r="AK187" i="2" l="1"/>
  <c r="AL187" i="2" s="1"/>
  <c r="AM187" i="2" s="1"/>
  <c r="AJ188" i="2"/>
  <c r="AI189" i="2"/>
  <c r="AJ189" i="2" l="1"/>
  <c r="AI190" i="2"/>
  <c r="AK188" i="2"/>
  <c r="AL188" i="2" s="1"/>
  <c r="AM188" i="2" s="1"/>
  <c r="AJ190" i="2" l="1"/>
  <c r="AI191" i="2"/>
  <c r="AK189" i="2"/>
  <c r="AL189" i="2" s="1"/>
  <c r="AM189" i="2" s="1"/>
  <c r="AJ191" i="2" l="1"/>
  <c r="AI192" i="2"/>
  <c r="AK190" i="2"/>
  <c r="AL190" i="2" s="1"/>
  <c r="AM190" i="2" s="1"/>
  <c r="AI193" i="2" l="1"/>
  <c r="AJ192" i="2"/>
  <c r="AK191" i="2"/>
  <c r="AL191" i="2" s="1"/>
  <c r="AM191" i="2" s="1"/>
  <c r="AK192" i="2" l="1"/>
  <c r="AL192" i="2" s="1"/>
  <c r="AM192" i="2" s="1"/>
  <c r="AJ193" i="2"/>
  <c r="AI194" i="2"/>
  <c r="AJ194" i="2" l="1"/>
  <c r="AI195" i="2"/>
  <c r="AK193" i="2"/>
  <c r="AL193" i="2" s="1"/>
  <c r="AM193" i="2" s="1"/>
  <c r="AJ195" i="2" l="1"/>
  <c r="AI196" i="2"/>
  <c r="AK194" i="2"/>
  <c r="AL194" i="2" s="1"/>
  <c r="AM194" i="2" s="1"/>
  <c r="AI197" i="2" l="1"/>
  <c r="AJ196" i="2"/>
  <c r="AK195" i="2"/>
  <c r="AL195" i="2" s="1"/>
  <c r="AM195" i="2" s="1"/>
  <c r="AK196" i="2" l="1"/>
  <c r="AL196" i="2" s="1"/>
  <c r="AM196" i="2" s="1"/>
  <c r="AJ197" i="2"/>
  <c r="AI198" i="2"/>
  <c r="AJ198" i="2" l="1"/>
  <c r="AI199" i="2"/>
  <c r="AK197" i="2"/>
  <c r="AL197" i="2" s="1"/>
  <c r="AM197" i="2" s="1"/>
  <c r="AJ199" i="2" l="1"/>
  <c r="AI200" i="2"/>
  <c r="AK198" i="2"/>
  <c r="AL198" i="2" s="1"/>
  <c r="AM198" i="2" s="1"/>
  <c r="AJ200" i="2" l="1"/>
  <c r="AI201" i="2"/>
  <c r="AK199" i="2"/>
  <c r="AL199" i="2" s="1"/>
  <c r="AM199" i="2" s="1"/>
  <c r="AJ201" i="2" l="1"/>
  <c r="AI202" i="2"/>
  <c r="AK200" i="2"/>
  <c r="AL200" i="2" s="1"/>
  <c r="AM200" i="2" s="1"/>
  <c r="AI203" i="2" l="1"/>
  <c r="AJ203" i="2" s="1"/>
  <c r="AJ202" i="2"/>
  <c r="AK201" i="2"/>
  <c r="AL201" i="2" s="1"/>
  <c r="AM201" i="2" s="1"/>
  <c r="AK202" i="2" l="1"/>
  <c r="AL202" i="2" s="1"/>
  <c r="AM202" i="2" s="1"/>
  <c r="AK203" i="2"/>
  <c r="AL203" i="2" s="1"/>
  <c r="AM203" i="2" s="1"/>
</calcChain>
</file>

<file path=xl/sharedStrings.xml><?xml version="1.0" encoding="utf-8"?>
<sst xmlns="http://schemas.openxmlformats.org/spreadsheetml/2006/main" count="1185" uniqueCount="332">
  <si>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</si>
  <si>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</si>
  <si>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</si>
  <si>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</si>
  <si>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</si>
  <si>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</si>
  <si>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</si>
  <si>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</si>
  <si>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</si>
  <si>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</si>
  <si>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</si>
  <si>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</si>
  <si>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</si>
  <si>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</si>
  <si>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</si>
  <si>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</si>
  <si>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</si>
  <si>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</si>
  <si>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</si>
  <si>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</si>
  <si>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</si>
  <si>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</si>
  <si>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</si>
  <si>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</si>
  <si>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</si>
  <si>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</si>
  <si>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</si>
  <si>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</si>
  <si>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</si>
  <si>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</si>
  <si>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</si>
  <si>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</si>
  <si>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</si>
  <si>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</si>
  <si>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</si>
  <si>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</si>
  <si>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</si>
  <si>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</si>
  <si>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</si>
  <si>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</si>
  <si>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</si>
  <si>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</si>
  <si>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</si>
  <si>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</si>
  <si>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</si>
  <si>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</si>
  <si>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</si>
  <si>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</si>
  <si>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</si>
  <si>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</si>
  <si>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</si>
  <si>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</si>
  <si>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</si>
  <si>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</si>
  <si>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</si>
  <si>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</si>
  <si>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</si>
  <si>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</si>
  <si>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</si>
  <si>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</si>
  <si>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</si>
  <si>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</si>
  <si>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</si>
  <si>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</si>
  <si>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</si>
  <si>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</si>
  <si>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</si>
  <si>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</si>
  <si>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</si>
  <si>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</si>
  <si>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</si>
  <si>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</si>
  <si>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</si>
  <si>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</si>
  <si>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</si>
  <si>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</si>
  <si>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</si>
  <si>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</si>
  <si>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</si>
  <si>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</si>
  <si>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</si>
  <si>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</si>
  <si>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</si>
  <si>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</si>
  <si>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</si>
  <si>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</si>
  <si>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</si>
  <si>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</si>
  <si>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</si>
  <si>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</si>
  <si>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</si>
  <si>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</si>
  <si>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</si>
  <si>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</si>
  <si>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</si>
  <si>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</si>
  <si>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</si>
  <si>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</si>
  <si>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</si>
  <si>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</si>
  <si>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</si>
  <si>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</si>
  <si>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</si>
  <si>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</si>
  <si>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</si>
  <si>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</si>
  <si>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</si>
  <si>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</si>
  <si>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</si>
  <si>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</si>
  <si>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</si>
  <si>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</si>
  <si>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</si>
  <si>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</si>
  <si>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</si>
  <si>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</si>
  <si>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</si>
  <si>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</si>
  <si>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</si>
  <si>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</si>
  <si>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</si>
  <si>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</si>
  <si>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</si>
  <si>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</si>
  <si>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</si>
  <si>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</si>
  <si>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</si>
  <si>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</si>
  <si>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</si>
  <si>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</si>
  <si>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</si>
  <si>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</si>
  <si>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</si>
  <si>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</si>
  <si>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</si>
  <si>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</si>
  <si>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</si>
  <si>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</si>
  <si>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</si>
  <si>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</si>
  <si>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</si>
  <si>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</si>
  <si>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</si>
  <si>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</si>
  <si>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</si>
  <si>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</si>
  <si>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</si>
  <si>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</si>
  <si>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</si>
  <si>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</si>
  <si>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</si>
  <si>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</si>
  <si>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</si>
  <si>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</si>
  <si>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</si>
  <si>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</si>
  <si>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</si>
  <si>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</si>
  <si>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</si>
  <si>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</si>
  <si>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</si>
  <si>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</si>
  <si>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</si>
  <si>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</si>
  <si>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</si>
  <si>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</si>
  <si>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</si>
  <si>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</si>
  <si>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</si>
  <si>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</si>
  <si>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</si>
  <si>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</si>
  <si>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</si>
  <si>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</si>
  <si>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</si>
  <si>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</si>
  <si>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</si>
  <si>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</si>
  <si>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</si>
  <si>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</si>
  <si>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</si>
  <si>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</si>
  <si>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</si>
  <si>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</si>
  <si>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</si>
  <si>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</si>
  <si>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</si>
  <si>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</si>
  <si>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</si>
  <si>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</si>
  <si>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</si>
  <si>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</si>
  <si>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</si>
  <si>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</si>
  <si>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</si>
  <si>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</si>
  <si>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</si>
  <si>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</si>
  <si>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</si>
  <si>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</si>
  <si>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</si>
  <si>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</si>
  <si>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</si>
  <si>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</si>
  <si>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</si>
  <si>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</si>
  <si>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</si>
  <si>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</si>
  <si>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</si>
  <si>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</si>
  <si>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</si>
  <si>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</si>
  <si>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</si>
  <si>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</si>
  <si>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</si>
  <si>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</si>
  <si>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</si>
  <si>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</si>
  <si>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</si>
  <si>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</si>
  <si>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</si>
  <si>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</si>
  <si>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</si>
  <si>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</si>
  <si>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</si>
  <si>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</si>
  <si>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</si>
  <si>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</si>
  <si>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</si>
  <si>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</si>
  <si>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</si>
  <si>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</si>
  <si>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</si>
  <si>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</si>
  <si>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</si>
  <si>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</si>
  <si>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</si>
  <si>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</si>
  <si>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</si>
  <si>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</si>
  <si>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</si>
  <si>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</si>
  <si>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</si>
  <si>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</si>
  <si>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</si>
  <si>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</si>
  <si>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</si>
  <si>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</si>
  <si>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</si>
  <si>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</si>
  <si>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</si>
  <si>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</si>
  <si>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</si>
  <si>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</si>
  <si>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</si>
  <si>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</si>
  <si>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</si>
  <si>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</si>
  <si>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</si>
  <si>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</si>
  <si>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</si>
  <si>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</si>
  <si>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</si>
  <si>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</si>
  <si>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</si>
  <si>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</si>
  <si>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</si>
  <si>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</si>
  <si>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</si>
  <si>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</si>
  <si>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</si>
  <si>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</si>
  <si>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</si>
  <si>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</si>
  <si>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</si>
  <si>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</si>
  <si>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</si>
  <si>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</si>
  <si>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</si>
  <si>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</si>
  <si>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</si>
  <si>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</si>
  <si>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</si>
  <si>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</si>
  <si>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</si>
  <si>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</si>
  <si>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</si>
  <si>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</si>
  <si>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</si>
  <si>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</si>
  <si>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</si>
  <si>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</si>
  <si>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</si>
  <si>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</si>
  <si>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</si>
  <si>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</si>
  <si>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</si>
  <si>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</si>
  <si>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</si>
  <si>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</si>
  <si>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</si>
  <si>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</si>
  <si>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</si>
  <si>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</si>
  <si>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</si>
  <si>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</si>
  <si>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</si>
  <si>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</si>
  <si>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</si>
  <si>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</si>
  <si>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</si>
  <si>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</si>
  <si>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</si>
  <si>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</si>
  <si>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</si>
  <si>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</si>
  <si>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</si>
  <si>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</si>
  <si>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</si>
  <si>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</si>
  <si>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</si>
  <si>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</si>
  <si>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</si>
  <si>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</si>
  <si>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F1</t>
  </si>
  <si>
    <t>F2</t>
  </si>
  <si>
    <t>F3</t>
  </si>
  <si>
    <t>OAK Forestry commission - Hamilton and Christies (1974) - Yield class 6</t>
  </si>
  <si>
    <t>Forestry Commission - Hamilton&amp;Christies - sycamore, ash, birch</t>
  </si>
  <si>
    <t>fcbainfo-2018-10-eucalyptus-france-production-plantation-rotation-melun</t>
  </si>
  <si>
    <t>SCOTS PINE Forestry commission - Hamilton and Christies (1974) - Yield class 14</t>
  </si>
  <si>
    <t>Société Forestière - itinéraire Pin maritime à 35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</si>
</sst>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2.1995092375622822</c:v>
                </c:pt>
                <c:pt idx="2">
                  <c:v>3.1201960009585821</c:v>
                </c:pt>
                <c:pt idx="3">
                  <c:v>4.4279612721284538</c:v>
                </c:pt>
                <c:pt idx="4">
                  <c:v>6.2862102636608661</c:v>
                </c:pt>
                <c:pt idx="5">
                  <c:v>8.9275926817150726</c:v>
                </c:pt>
                <c:pt idx="6">
                  <c:v>12.683448795481496</c:v>
                </c:pt>
                <c:pt idx="7">
                  <c:v>18.025817623106104</c:v>
                </c:pt>
                <c:pt idx="8">
                  <c:v>25.627382069427991</c:v>
                </c:pt>
                <c:pt idx="9">
                  <c:v>36.447031603097592</c:v>
                </c:pt>
                <c:pt idx="10">
                  <c:v>51.852020306034944</c:v>
                </c:pt>
                <c:pt idx="11">
                  <c:v>73.792414122794256</c:v>
                </c:pt>
                <c:pt idx="12">
                  <c:v>105.05026759960845</c:v>
                </c:pt>
                <c:pt idx="13">
                  <c:v>149.59562328645418</c:v>
                </c:pt>
                <c:pt idx="14">
                  <c:v>213.09524079266461</c:v>
                </c:pt>
                <c:pt idx="15">
                  <c:v>184.43708559229185</c:v>
                </c:pt>
                <c:pt idx="16">
                  <c:v>213.95569519699578</c:v>
                </c:pt>
                <c:pt idx="17">
                  <c:v>243.38042530319785</c:v>
                </c:pt>
                <c:pt idx="18">
                  <c:v>272.7242242833733</c:v>
                </c:pt>
                <c:pt idx="19">
                  <c:v>301.99702144987947</c:v>
                </c:pt>
                <c:pt idx="20">
                  <c:v>331.20666216725641</c:v>
                </c:pt>
                <c:pt idx="21">
                  <c:v>261.59527644833929</c:v>
                </c:pt>
                <c:pt idx="22">
                  <c:v>284.27041035747783</c:v>
                </c:pt>
                <c:pt idx="23">
                  <c:v>306.9050523897962</c:v>
                </c:pt>
                <c:pt idx="24">
                  <c:v>329.50260723149029</c:v>
                </c:pt>
                <c:pt idx="25">
                  <c:v>352.06597448609381</c:v>
                </c:pt>
                <c:pt idx="26">
                  <c:v>374.59765184914085</c:v>
                </c:pt>
                <c:pt idx="27">
                  <c:v>397.09981214121757</c:v>
                </c:pt>
                <c:pt idx="28">
                  <c:v>419.57436195875334</c:v>
                </c:pt>
                <c:pt idx="29">
                  <c:v>442.02298709837561</c:v>
                </c:pt>
                <c:pt idx="30">
                  <c:v>464.44718827106709</c:v>
                </c:pt>
                <c:pt idx="31">
                  <c:v>486.84830955966549</c:v>
                </c:pt>
                <c:pt idx="32">
                  <c:v>509.2275613667544</c:v>
                </c:pt>
                <c:pt idx="33">
                  <c:v>531.58603911963144</c:v>
                </c:pt>
                <c:pt idx="34">
                  <c:v>553.92473866577609</c:v>
                </c:pt>
                <c:pt idx="35">
                  <c:v>576.24456905681143</c:v>
                </c:pt>
                <c:pt idx="36">
                  <c:v>3.669434796176543E-12</c:v>
                </c:pt>
                <c:pt idx="37">
                  <c:v>3.669434796176543E-12</c:v>
                </c:pt>
                <c:pt idx="38">
                  <c:v>3.669434796176543E-12</c:v>
                </c:pt>
                <c:pt idx="39">
                  <c:v>3.669434796176543E-12</c:v>
                </c:pt>
                <c:pt idx="40">
                  <c:v>3.669434796176543E-12</c:v>
                </c:pt>
                <c:pt idx="41">
                  <c:v>3.669434796176543E-12</c:v>
                </c:pt>
                <c:pt idx="42">
                  <c:v>3.669434796176543E-12</c:v>
                </c:pt>
                <c:pt idx="43">
                  <c:v>3.669434796176543E-12</c:v>
                </c:pt>
                <c:pt idx="44">
                  <c:v>3.669434796176543E-12</c:v>
                </c:pt>
                <c:pt idx="45">
                  <c:v>3.669434796176543E-12</c:v>
                </c:pt>
                <c:pt idx="46">
                  <c:v>3.669434796176543E-12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1.9596131321389336</c:v>
                </c:pt>
                <c:pt idx="2">
                  <c:v>2.4761582486212546</c:v>
                </c:pt>
                <c:pt idx="3">
                  <c:v>3.1294035266218221</c:v>
                </c:pt>
                <c:pt idx="4">
                  <c:v>3.9556609928452722</c:v>
                </c:pt>
                <c:pt idx="5">
                  <c:v>5.0009220022635965</c:v>
                </c:pt>
                <c:pt idx="6">
                  <c:v>6.3234457079258766</c:v>
                </c:pt>
                <c:pt idx="7">
                  <c:v>7.9970418091847293</c:v>
                </c:pt>
                <c:pt idx="8">
                  <c:v>10.115234305738676</c:v>
                </c:pt>
                <c:pt idx="9">
                  <c:v>12.796543330391197</c:v>
                </c:pt>
                <c:pt idx="10">
                  <c:v>16.191186083676552</c:v>
                </c:pt>
                <c:pt idx="11">
                  <c:v>20.489579132350134</c:v>
                </c:pt>
                <c:pt idx="12">
                  <c:v>25.93312754435949</c:v>
                </c:pt>
                <c:pt idx="13">
                  <c:v>32.827917469327751</c:v>
                </c:pt>
                <c:pt idx="14">
                  <c:v>41.562095406088915</c:v>
                </c:pt>
                <c:pt idx="15">
                  <c:v>52.627929153415074</c:v>
                </c:pt>
                <c:pt idx="16">
                  <c:v>66.649814557548993</c:v>
                </c:pt>
                <c:pt idx="17">
                  <c:v>84.419834217390857</c:v>
                </c:pt>
                <c:pt idx="18">
                  <c:v>106.94290908327946</c:v>
                </c:pt>
                <c:pt idx="19">
                  <c:v>135.49413656926941</c:v>
                </c:pt>
                <c:pt idx="20">
                  <c:v>171.69161142115624</c:v>
                </c:pt>
                <c:pt idx="21">
                  <c:v>145.43701528884739</c:v>
                </c:pt>
                <c:pt idx="22">
                  <c:v>167.27960236724707</c:v>
                </c:pt>
                <c:pt idx="23">
                  <c:v>189.05485078557072</c:v>
                </c:pt>
                <c:pt idx="24">
                  <c:v>210.77161283489207</c:v>
                </c:pt>
                <c:pt idx="25">
                  <c:v>232.43676367300134</c:v>
                </c:pt>
                <c:pt idx="26">
                  <c:v>254.05579033045311</c:v>
                </c:pt>
                <c:pt idx="27">
                  <c:v>275.63316891288991</c:v>
                </c:pt>
                <c:pt idx="28">
                  <c:v>297.17261714760798</c:v>
                </c:pt>
                <c:pt idx="29">
                  <c:v>318.67726971308429</c:v>
                </c:pt>
                <c:pt idx="30">
                  <c:v>340.14980368770728</c:v>
                </c:pt>
                <c:pt idx="31">
                  <c:v>238.48938208965981</c:v>
                </c:pt>
                <c:pt idx="32">
                  <c:v>262.53736401160751</c:v>
                </c:pt>
                <c:pt idx="33">
                  <c:v>286.53563599130109</c:v>
                </c:pt>
                <c:pt idx="34">
                  <c:v>310.48894477848006</c:v>
                </c:pt>
                <c:pt idx="35">
                  <c:v>334.40124478994881</c:v>
                </c:pt>
                <c:pt idx="36">
                  <c:v>358.27587877250039</c:v>
                </c:pt>
                <c:pt idx="37">
                  <c:v>382.1157077266439</c:v>
                </c:pt>
                <c:pt idx="38">
                  <c:v>405.92320668233702</c:v>
                </c:pt>
                <c:pt idx="39">
                  <c:v>429.70053681859048</c:v>
                </c:pt>
                <c:pt idx="40">
                  <c:v>453.44960078165491</c:v>
                </c:pt>
                <c:pt idx="41">
                  <c:v>352.15105779017023</c:v>
                </c:pt>
                <c:pt idx="42">
                  <c:v>375.61724038320608</c:v>
                </c:pt>
                <c:pt idx="43">
                  <c:v>399.05150203854504</c:v>
                </c:pt>
                <c:pt idx="44">
                  <c:v>422.45597938275068</c:v>
                </c:pt>
                <c:pt idx="45">
                  <c:v>445.83255313087449</c:v>
                </c:pt>
                <c:pt idx="46">
                  <c:v>469.18289082248174</c:v>
                </c:pt>
                <c:pt idx="47">
                  <c:v>492.50848060673161</c:v>
                </c:pt>
                <c:pt idx="48">
                  <c:v>515.81065829469151</c:v>
                </c:pt>
                <c:pt idx="49">
                  <c:v>539.09062927007483</c:v>
                </c:pt>
                <c:pt idx="50">
                  <c:v>562.34948641975632</c:v>
                </c:pt>
                <c:pt idx="51">
                  <c:v>459.41437524921321</c:v>
                </c:pt>
                <c:pt idx="52">
                  <c:v>480.59515258650191</c:v>
                </c:pt>
                <c:pt idx="53">
                  <c:v>501.75609814989951</c:v>
                </c:pt>
                <c:pt idx="54">
                  <c:v>522.89816530562575</c:v>
                </c:pt>
                <c:pt idx="55">
                  <c:v>544.02222410117713</c:v>
                </c:pt>
                <c:pt idx="56">
                  <c:v>565.12907156479503</c:v>
                </c:pt>
                <c:pt idx="57">
                  <c:v>586.21944038701417</c:v>
                </c:pt>
                <c:pt idx="58">
                  <c:v>607.2940062886438</c:v>
                </c:pt>
                <c:pt idx="59">
                  <c:v>628.35339431349905</c:v>
                </c:pt>
                <c:pt idx="60">
                  <c:v>649.3981842342821</c:v>
                </c:pt>
                <c:pt idx="61">
                  <c:v>553.88260821686379</c:v>
                </c:pt>
                <c:pt idx="62">
                  <c:v>571.95048081503955</c:v>
                </c:pt>
                <c:pt idx="63">
                  <c:v>590.00643624171732</c:v>
                </c:pt>
                <c:pt idx="64">
                  <c:v>608.05089027436441</c:v>
                </c:pt>
                <c:pt idx="65">
                  <c:v>626.08423202034237</c:v>
                </c:pt>
                <c:pt idx="66">
                  <c:v>644.10682636222634</c:v>
                </c:pt>
                <c:pt idx="67">
                  <c:v>662.1190161154027</c:v>
                </c:pt>
                <c:pt idx="68">
                  <c:v>680.12112393885764</c:v>
                </c:pt>
                <c:pt idx="69">
                  <c:v>698.11345403330404</c:v>
                </c:pt>
                <c:pt idx="70">
                  <c:v>716.09629365529281</c:v>
                </c:pt>
                <c:pt idx="71">
                  <c:v>635.28589815827092</c:v>
                </c:pt>
                <c:pt idx="72">
                  <c:v>650.15401973277187</c:v>
                </c:pt>
                <c:pt idx="73">
                  <c:v>665.01513225276028</c:v>
                </c:pt>
                <c:pt idx="74">
                  <c:v>679.86941431516527</c:v>
                </c:pt>
                <c:pt idx="75">
                  <c:v>694.71703608163625</c:v>
                </c:pt>
                <c:pt idx="76">
                  <c:v>709.55815985243373</c:v>
                </c:pt>
                <c:pt idx="77">
                  <c:v>724.39294058984115</c:v>
                </c:pt>
                <c:pt idx="78">
                  <c:v>739.22152639650801</c:v>
                </c:pt>
                <c:pt idx="79">
                  <c:v>754.04405895344462</c:v>
                </c:pt>
                <c:pt idx="80">
                  <c:v>768.86067392181837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2.5899319369248102</c:v>
                </c:pt>
                <c:pt idx="2">
                  <c:v>3.2253851310403672</c:v>
                </c:pt>
                <c:pt idx="3">
                  <c:v>4.0173528690193505</c:v>
                </c:pt>
                <c:pt idx="4">
                  <c:v>5.00452528642787</c:v>
                </c:pt>
                <c:pt idx="5">
                  <c:v>6.2351890481209198</c:v>
                </c:pt>
                <c:pt idx="6">
                  <c:v>7.7696150958050287</c:v>
                </c:pt>
                <c:pt idx="7">
                  <c:v>9.683042215330218</c:v>
                </c:pt>
                <c:pt idx="8">
                  <c:v>12.069405492775401</c:v>
                </c:pt>
                <c:pt idx="9">
                  <c:v>15.045996113937354</c:v>
                </c:pt>
                <c:pt idx="10">
                  <c:v>18.759285743865959</c:v>
                </c:pt>
                <c:pt idx="11">
                  <c:v>23.392207267964867</c:v>
                </c:pt>
                <c:pt idx="12">
                  <c:v>29.173256947236883</c:v>
                </c:pt>
                <c:pt idx="13">
                  <c:v>36.387874748664522</c:v>
                </c:pt>
                <c:pt idx="14">
                  <c:v>45.392674405485643</c:v>
                </c:pt>
                <c:pt idx="15">
                  <c:v>56.633238462952697</c:v>
                </c:pt>
                <c:pt idx="16">
                  <c:v>70.666373465260961</c:v>
                </c:pt>
                <c:pt idx="17">
                  <c:v>88.187945673386295</c:v>
                </c:pt>
                <c:pt idx="18">
                  <c:v>110.06769971495227</c:v>
                </c:pt>
                <c:pt idx="19">
                  <c:v>137.39281569228118</c:v>
                </c:pt>
                <c:pt idx="20">
                  <c:v>171.52240247513097</c:v>
                </c:pt>
                <c:pt idx="21">
                  <c:v>117.08953497430657</c:v>
                </c:pt>
                <c:pt idx="22">
                  <c:v>138.71071738701849</c:v>
                </c:pt>
                <c:pt idx="23">
                  <c:v>160.25079164727728</c:v>
                </c:pt>
                <c:pt idx="24">
                  <c:v>181.72221165400222</c:v>
                </c:pt>
                <c:pt idx="25">
                  <c:v>203.1342371552947</c:v>
                </c:pt>
                <c:pt idx="26">
                  <c:v>224.49401164296532</c:v>
                </c:pt>
                <c:pt idx="27">
                  <c:v>245.80720608227134</c:v>
                </c:pt>
                <c:pt idx="28">
                  <c:v>267.07842670720612</c:v>
                </c:pt>
                <c:pt idx="29">
                  <c:v>288.31148567604197</c:v>
                </c:pt>
                <c:pt idx="30">
                  <c:v>309.50958762804532</c:v>
                </c:pt>
                <c:pt idx="31">
                  <c:v>229.73908693575422</c:v>
                </c:pt>
                <c:pt idx="32">
                  <c:v>247.552271690163</c:v>
                </c:pt>
                <c:pt idx="33">
                  <c:v>265.33636719298863</c:v>
                </c:pt>
                <c:pt idx="34">
                  <c:v>283.09359729649924</c:v>
                </c:pt>
                <c:pt idx="35">
                  <c:v>300.8258840165891</c:v>
                </c:pt>
                <c:pt idx="36">
                  <c:v>318.53490425391561</c:v>
                </c:pt>
                <c:pt idx="37">
                  <c:v>336.22213322966473</c:v>
                </c:pt>
                <c:pt idx="38">
                  <c:v>353.88887829705351</c:v>
                </c:pt>
                <c:pt idx="39">
                  <c:v>371.53630564474861</c:v>
                </c:pt>
                <c:pt idx="40">
                  <c:v>389.16546165993583</c:v>
                </c:pt>
                <c:pt idx="41">
                  <c:v>305.51576628998953</c:v>
                </c:pt>
                <c:pt idx="42">
                  <c:v>318.88191759321518</c:v>
                </c:pt>
                <c:pt idx="43">
                  <c:v>332.23566943149461</c:v>
                </c:pt>
                <c:pt idx="44">
                  <c:v>345.57759046125335</c:v>
                </c:pt>
                <c:pt idx="45">
                  <c:v>358.90820183854021</c:v>
                </c:pt>
                <c:pt idx="46">
                  <c:v>372.22798284097098</c:v>
                </c:pt>
                <c:pt idx="47">
                  <c:v>385.53737564275275</c:v>
                </c:pt>
                <c:pt idx="48">
                  <c:v>398.83678939579403</c:v>
                </c:pt>
                <c:pt idx="49">
                  <c:v>412.12660373799196</c:v>
                </c:pt>
                <c:pt idx="50">
                  <c:v>425.4071718253474</c:v>
                </c:pt>
                <c:pt idx="51">
                  <c:v>367.73157741875724</c:v>
                </c:pt>
                <c:pt idx="52">
                  <c:v>377.41467255842053</c:v>
                </c:pt>
                <c:pt idx="53">
                  <c:v>387.09236005182021</c:v>
                </c:pt>
                <c:pt idx="54">
                  <c:v>396.76479421746376</c:v>
                </c:pt>
                <c:pt idx="55">
                  <c:v>406.43212123270035</c:v>
                </c:pt>
                <c:pt idx="56">
                  <c:v>416.09447975082225</c:v>
                </c:pt>
                <c:pt idx="57">
                  <c:v>425.75200145784316</c:v>
                </c:pt>
                <c:pt idx="58">
                  <c:v>435.40481157611185</c:v>
                </c:pt>
                <c:pt idx="59">
                  <c:v>445.05302932092792</c:v>
                </c:pt>
                <c:pt idx="60">
                  <c:v>454.69676831549168</c:v>
                </c:pt>
                <c:pt idx="61">
                  <c:v>418.68178489381393</c:v>
                </c:pt>
                <c:pt idx="62">
                  <c:v>425.75200145784316</c:v>
                </c:pt>
                <c:pt idx="63">
                  <c:v>432.81969257844707</c:v>
                </c:pt>
                <c:pt idx="64">
                  <c:v>439.88490533840906</c:v>
                </c:pt>
                <c:pt idx="65">
                  <c:v>446.94768518373309</c:v>
                </c:pt>
                <c:pt idx="66">
                  <c:v>454.00807600607862</c:v>
                </c:pt>
                <c:pt idx="67">
                  <c:v>461.06612021979964</c:v>
                </c:pt>
                <c:pt idx="68">
                  <c:v>468.12185883401872</c:v>
                </c:pt>
                <c:pt idx="69">
                  <c:v>475.17533152012783</c:v>
                </c:pt>
                <c:pt idx="70">
                  <c:v>482.22657667507048</c:v>
                </c:pt>
                <c:pt idx="71">
                  <c:v>451.42528061425111</c:v>
                </c:pt>
                <c:pt idx="72">
                  <c:v>456.7627116241062</c:v>
                </c:pt>
                <c:pt idx="73">
                  <c:v>462.09881038696238</c:v>
                </c:pt>
                <c:pt idx="74">
                  <c:v>467.43359446949609</c:v>
                </c:pt>
                <c:pt idx="75">
                  <c:v>472.76708100439265</c:v>
                </c:pt>
                <c:pt idx="76">
                  <c:v>478.09928670594991</c:v>
                </c:pt>
                <c:pt idx="77">
                  <c:v>483.43022788495313</c:v>
                </c:pt>
                <c:pt idx="78">
                  <c:v>488.75992046285774</c:v>
                </c:pt>
                <c:pt idx="79">
                  <c:v>494.08837998532084</c:v>
                </c:pt>
                <c:pt idx="80">
                  <c:v>499.4156216351189</c:v>
                </c:pt>
                <c:pt idx="81">
                  <c:v>1.4005661123635408E-12</c:v>
                </c:pt>
                <c:pt idx="82">
                  <c:v>1.4005661123635408E-12</c:v>
                </c:pt>
                <c:pt idx="83">
                  <c:v>1.4005661123635408E-12</c:v>
                </c:pt>
                <c:pt idx="84">
                  <c:v>1.4005661123635408E-12</c:v>
                </c:pt>
                <c:pt idx="85">
                  <c:v>1.4005661123635408E-12</c:v>
                </c:pt>
                <c:pt idx="86">
                  <c:v>1.4005661123635408E-12</c:v>
                </c:pt>
                <c:pt idx="87">
                  <c:v>1.4005661123635408E-12</c:v>
                </c:pt>
                <c:pt idx="88">
                  <c:v>1.4005661123635408E-12</c:v>
                </c:pt>
                <c:pt idx="89">
                  <c:v>1.4005661123635408E-12</c:v>
                </c:pt>
                <c:pt idx="90">
                  <c:v>1.4005661123635408E-12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3.2877822830537951</c:v>
                </c:pt>
                <c:pt idx="2">
                  <c:v>3.7486563824478041</c:v>
                </c:pt>
                <c:pt idx="3">
                  <c:v>4.2743621988779381</c:v>
                </c:pt>
                <c:pt idx="4">
                  <c:v>4.8740498871689484</c:v>
                </c:pt>
                <c:pt idx="5">
                  <c:v>5.5581650240281348</c:v>
                </c:pt>
                <c:pt idx="6">
                  <c:v>6.3386325329171171</c:v>
                </c:pt>
                <c:pt idx="7">
                  <c:v>7.2290667920123957</c:v>
                </c:pt>
                <c:pt idx="8">
                  <c:v>8.2450116617021205</c:v>
                </c:pt>
                <c:pt idx="9">
                  <c:v>9.4042147024631397</c:v>
                </c:pt>
                <c:pt idx="10">
                  <c:v>10.72694046494486</c:v>
                </c:pt>
                <c:pt idx="11">
                  <c:v>12.236328432650803</c:v>
                </c:pt>
                <c:pt idx="12">
                  <c:v>13.958801996331969</c:v>
                </c:pt>
                <c:pt idx="13">
                  <c:v>15.924535752475025</c:v>
                </c:pt>
                <c:pt idx="14">
                  <c:v>18.16798946253861</c:v>
                </c:pt>
                <c:pt idx="15">
                  <c:v>20.728518203687273</c:v>
                </c:pt>
                <c:pt idx="16">
                  <c:v>23.651069607227843</c:v>
                </c:pt>
                <c:pt idx="17">
                  <c:v>26.986980642400102</c:v>
                </c:pt>
                <c:pt idx="18">
                  <c:v>30.794888188792299</c:v>
                </c:pt>
                <c:pt idx="19">
                  <c:v>35.141769682679019</c:v>
                </c:pt>
                <c:pt idx="20">
                  <c:v>40.104132457894728</c:v>
                </c:pt>
                <c:pt idx="21">
                  <c:v>45.769373072652449</c:v>
                </c:pt>
                <c:pt idx="22">
                  <c:v>52.237330968265496</c:v>
                </c:pt>
                <c:pt idx="23">
                  <c:v>59.622064299257012</c:v>
                </c:pt>
                <c:pt idx="24">
                  <c:v>68.053879770033035</c:v>
                </c:pt>
                <c:pt idx="25">
                  <c:v>77.681652883443277</c:v>
                </c:pt>
                <c:pt idx="26">
                  <c:v>89.749527295102055</c:v>
                </c:pt>
                <c:pt idx="27">
                  <c:v>101.77669150071307</c:v>
                </c:pt>
                <c:pt idx="28">
                  <c:v>113.76864450731324</c:v>
                </c:pt>
                <c:pt idx="29">
                  <c:v>125.72962687559315</c:v>
                </c:pt>
                <c:pt idx="30">
                  <c:v>137.6630039822968</c:v>
                </c:pt>
                <c:pt idx="31">
                  <c:v>150.56283505758572</c:v>
                </c:pt>
                <c:pt idx="32">
                  <c:v>163.43632399978193</c:v>
                </c:pt>
                <c:pt idx="33">
                  <c:v>176.28583963282645</c:v>
                </c:pt>
                <c:pt idx="34">
                  <c:v>189.11337673305502</c:v>
                </c:pt>
                <c:pt idx="35">
                  <c:v>201.92063702336623</c:v>
                </c:pt>
                <c:pt idx="36">
                  <c:v>214.70908849243639</c:v>
                </c:pt>
                <c:pt idx="37">
                  <c:v>227.4800098123992</c:v>
                </c:pt>
                <c:pt idx="38">
                  <c:v>240.234524242437</c:v>
                </c:pt>
                <c:pt idx="39">
                  <c:v>252.97362594481328</c:v>
                </c:pt>
                <c:pt idx="40">
                  <c:v>265.69820071594569</c:v>
                </c:pt>
                <c:pt idx="41">
                  <c:v>213.23441535885948</c:v>
                </c:pt>
                <c:pt idx="42">
                  <c:v>226.9891306675197</c:v>
                </c:pt>
                <c:pt idx="43">
                  <c:v>240.72476870476387</c:v>
                </c:pt>
                <c:pt idx="44">
                  <c:v>254.44257166922989</c:v>
                </c:pt>
                <c:pt idx="45">
                  <c:v>268.14363680502896</c:v>
                </c:pt>
                <c:pt idx="46">
                  <c:v>281.82894001768102</c:v>
                </c:pt>
                <c:pt idx="47">
                  <c:v>295.49935465856686</c:v>
                </c:pt>
                <c:pt idx="48">
                  <c:v>309.15566664872</c:v>
                </c:pt>
                <c:pt idx="49">
                  <c:v>322.79858678882687</c:v>
                </c:pt>
                <c:pt idx="50">
                  <c:v>336.42876087816649</c:v>
                </c:pt>
                <c:pt idx="51">
                  <c:v>281.58469262448438</c:v>
                </c:pt>
                <c:pt idx="52">
                  <c:v>295.01137284288603</c:v>
                </c:pt>
                <c:pt idx="53">
                  <c:v>308.42442403031379</c:v>
                </c:pt>
                <c:pt idx="54">
                  <c:v>321.82452250125192</c:v>
                </c:pt>
                <c:pt idx="55">
                  <c:v>335.21228363803715</c:v>
                </c:pt>
                <c:pt idx="56">
                  <c:v>348.5882696463309</c:v>
                </c:pt>
                <c:pt idx="57">
                  <c:v>361.9529960575826</c:v>
                </c:pt>
                <c:pt idx="58">
                  <c:v>375.30693722065462</c:v>
                </c:pt>
                <c:pt idx="59">
                  <c:v>388.65053097085661</c:v>
                </c:pt>
                <c:pt idx="60">
                  <c:v>401.98418262418676</c:v>
                </c:pt>
                <c:pt idx="61">
                  <c:v>346.64338320780843</c:v>
                </c:pt>
                <c:pt idx="62">
                  <c:v>359.2809282211449</c:v>
                </c:pt>
                <c:pt idx="63">
                  <c:v>371.90875069809834</c:v>
                </c:pt>
                <c:pt idx="64">
                  <c:v>384.52722731702625</c:v>
                </c:pt>
                <c:pt idx="65">
                  <c:v>397.13670801387701</c:v>
                </c:pt>
                <c:pt idx="66">
                  <c:v>409.73751868756921</c:v>
                </c:pt>
                <c:pt idx="67">
                  <c:v>422.32996355517275</c:v>
                </c:pt>
                <c:pt idx="68">
                  <c:v>434.91432721152552</c:v>
                </c:pt>
                <c:pt idx="69">
                  <c:v>447.4908764380329</c:v>
                </c:pt>
                <c:pt idx="70">
                  <c:v>460.05986179752364</c:v>
                </c:pt>
                <c:pt idx="71">
                  <c:v>403.92281739037998</c:v>
                </c:pt>
                <c:pt idx="72">
                  <c:v>415.55043819324038</c:v>
                </c:pt>
                <c:pt idx="73">
                  <c:v>427.17104483253434</c:v>
                </c:pt>
                <c:pt idx="74">
                  <c:v>438.78485503402709</c:v>
                </c:pt>
                <c:pt idx="75">
                  <c:v>450.39207405650853</c:v>
                </c:pt>
                <c:pt idx="76">
                  <c:v>461.99289571537264</c:v>
                </c:pt>
                <c:pt idx="77">
                  <c:v>473.58750329802757</c:v>
                </c:pt>
                <c:pt idx="78">
                  <c:v>485.17607038499403</c:v>
                </c:pt>
                <c:pt idx="79">
                  <c:v>496.75876158847001</c:v>
                </c:pt>
                <c:pt idx="80">
                  <c:v>508.33573321843437</c:v>
                </c:pt>
                <c:pt idx="81">
                  <c:v>451.11731088004416</c:v>
                </c:pt>
                <c:pt idx="82">
                  <c:v>461.50965344860703</c:v>
                </c:pt>
                <c:pt idx="83">
                  <c:v>471.89700327269423</c:v>
                </c:pt>
                <c:pt idx="84">
                  <c:v>482.27948576072555</c:v>
                </c:pt>
                <c:pt idx="85">
                  <c:v>492.6572204804599</c:v>
                </c:pt>
                <c:pt idx="86">
                  <c:v>503.03032155094508</c:v>
                </c:pt>
                <c:pt idx="87">
                  <c:v>513.39889800045637</c:v>
                </c:pt>
                <c:pt idx="88">
                  <c:v>523.76305409401346</c:v>
                </c:pt>
                <c:pt idx="89">
                  <c:v>534.12288963362687</c:v>
                </c:pt>
                <c:pt idx="90">
                  <c:v>544.47850023404135</c:v>
                </c:pt>
                <c:pt idx="91">
                  <c:v>485.90015906795094</c:v>
                </c:pt>
                <c:pt idx="92">
                  <c:v>494.82871437010857</c:v>
                </c:pt>
                <c:pt idx="93">
                  <c:v>503.75385619703394</c:v>
                </c:pt>
                <c:pt idx="94">
                  <c:v>512.67565356716739</c:v>
                </c:pt>
                <c:pt idx="95">
                  <c:v>521.59417290035958</c:v>
                </c:pt>
                <c:pt idx="96">
                  <c:v>530.50947815942664</c:v>
                </c:pt>
                <c:pt idx="97">
                  <c:v>539.42163098169601</c:v>
                </c:pt>
                <c:pt idx="98">
                  <c:v>548.33069080140524</c:v>
                </c:pt>
                <c:pt idx="99">
                  <c:v>557.23671496373254</c:v>
                </c:pt>
                <c:pt idx="100">
                  <c:v>566.13975883115904</c:v>
                </c:pt>
                <c:pt idx="101">
                  <c:v>506.16547976848915</c:v>
                </c:pt>
                <c:pt idx="102">
                  <c:v>513.63997469556193</c:v>
                </c:pt>
                <c:pt idx="103">
                  <c:v>521.11217350977063</c:v>
                </c:pt>
                <c:pt idx="104">
                  <c:v>528.58211378930412</c:v>
                </c:pt>
                <c:pt idx="105">
                  <c:v>536.04983196327225</c:v>
                </c:pt>
                <c:pt idx="106">
                  <c:v>543.51536336270829</c:v>
                </c:pt>
                <c:pt idx="107">
                  <c:v>550.9787422686253</c:v>
                </c:pt>
                <c:pt idx="108">
                  <c:v>558.44000195733156</c:v>
                </c:pt>
                <c:pt idx="109">
                  <c:v>565.89917474319952</c:v>
                </c:pt>
                <c:pt idx="110">
                  <c:v>573.35629201905988</c:v>
                </c:pt>
                <c:pt idx="111">
                  <c:v>515.08638473795293</c:v>
                </c:pt>
                <c:pt idx="112">
                  <c:v>521.83516907361616</c:v>
                </c:pt>
                <c:pt idx="113">
                  <c:v>528.58211378930412</c:v>
                </c:pt>
                <c:pt idx="114">
                  <c:v>535.32724568755873</c:v>
                </c:pt>
                <c:pt idx="115">
                  <c:v>542.07059084014895</c:v>
                </c:pt>
                <c:pt idx="116">
                  <c:v>548.81217461703875</c:v>
                </c:pt>
                <c:pt idx="117">
                  <c:v>555.55202171385497</c:v>
                </c:pt>
                <c:pt idx="118">
                  <c:v>562.2901561779538</c:v>
                </c:pt>
                <c:pt idx="119">
                  <c:v>569.02660143317291</c:v>
                </c:pt>
                <c:pt idx="120">
                  <c:v>575.76138030334971</c:v>
                </c:pt>
                <c:pt idx="121">
                  <c:v>1.0220655882243624E-12</c:v>
                </c:pt>
                <c:pt idx="122">
                  <c:v>1.0220655882243624E-12</c:v>
                </c:pt>
                <c:pt idx="123">
                  <c:v>1.0220655882243624E-12</c:v>
                </c:pt>
                <c:pt idx="124">
                  <c:v>1.0220655882243624E-12</c:v>
                </c:pt>
                <c:pt idx="125">
                  <c:v>1.0220655882243624E-12</c:v>
                </c:pt>
                <c:pt idx="126">
                  <c:v>1.0220655882243624E-12</c:v>
                </c:pt>
                <c:pt idx="127">
                  <c:v>1.0220655882243624E-12</c:v>
                </c:pt>
                <c:pt idx="128">
                  <c:v>1.0220655882243624E-12</c:v>
                </c:pt>
                <c:pt idx="129">
                  <c:v>1.0220655882243624E-12</c:v>
                </c:pt>
                <c:pt idx="130">
                  <c:v>1.0220655882243624E-12</c:v>
                </c:pt>
                <c:pt idx="131">
                  <c:v>1.0220655882243624E-12</c:v>
                </c:pt>
                <c:pt idx="132">
                  <c:v>1.0220655882243624E-12</c:v>
                </c:pt>
                <c:pt idx="133">
                  <c:v>1.0220655882243624E-12</c:v>
                </c:pt>
                <c:pt idx="134">
                  <c:v>1.0220655882243624E-12</c:v>
                </c:pt>
                <c:pt idx="135">
                  <c:v>1.0220655882243624E-12</c:v>
                </c:pt>
                <c:pt idx="136">
                  <c:v>1.0220655882243624E-12</c:v>
                </c:pt>
                <c:pt idx="137">
                  <c:v>1.0220655882243624E-12</c:v>
                </c:pt>
                <c:pt idx="138">
                  <c:v>1.0220655882243624E-12</c:v>
                </c:pt>
                <c:pt idx="139">
                  <c:v>1.0220655882243624E-12</c:v>
                </c:pt>
                <c:pt idx="140">
                  <c:v>1.0220655882243624E-12</c:v>
                </c:pt>
                <c:pt idx="141">
                  <c:v>1.0220655882243624E-12</c:v>
                </c:pt>
                <c:pt idx="142">
                  <c:v>1.0220655882243624E-12</c:v>
                </c:pt>
                <c:pt idx="143">
                  <c:v>1.0220655882243624E-12</c:v>
                </c:pt>
                <c:pt idx="144">
                  <c:v>1.0220655882243624E-12</c:v>
                </c:pt>
                <c:pt idx="145">
                  <c:v>1.0220655882243624E-12</c:v>
                </c:pt>
                <c:pt idx="146">
                  <c:v>1.0220655882243624E-12</c:v>
                </c:pt>
                <c:pt idx="147">
                  <c:v>1.0220655882243624E-12</c:v>
                </c:pt>
                <c:pt idx="148">
                  <c:v>1.0220655882243624E-12</c:v>
                </c:pt>
                <c:pt idx="149">
                  <c:v>1.0220655882243624E-12</c:v>
                </c:pt>
                <c:pt idx="150">
                  <c:v>1.0220655882243624E-12</c:v>
                </c:pt>
                <c:pt idx="151">
                  <c:v>1.0220655882243624E-12</c:v>
                </c:pt>
                <c:pt idx="152">
                  <c:v>1.0220655882243624E-12</c:v>
                </c:pt>
                <c:pt idx="153">
                  <c:v>1.0220655882243624E-12</c:v>
                </c:pt>
                <c:pt idx="154">
                  <c:v>1.0220655882243624E-12</c:v>
                </c:pt>
                <c:pt idx="155">
                  <c:v>1.0220655882243624E-12</c:v>
                </c:pt>
                <c:pt idx="156">
                  <c:v>1.0220655882243624E-12</c:v>
                </c:pt>
                <c:pt idx="157">
                  <c:v>1.0220655882243624E-12</c:v>
                </c:pt>
                <c:pt idx="158">
                  <c:v>1.0220655882243624E-12</c:v>
                </c:pt>
                <c:pt idx="159">
                  <c:v>1.0220655882243624E-12</c:v>
                </c:pt>
                <c:pt idx="160">
                  <c:v>1.0220655882243624E-12</c:v>
                </c:pt>
                <c:pt idx="161">
                  <c:v>1.0220655882243624E-12</c:v>
                </c:pt>
                <c:pt idx="162">
                  <c:v>1.0220655882243624E-12</c:v>
                </c:pt>
                <c:pt idx="163">
                  <c:v>1.0220655882243624E-12</c:v>
                </c:pt>
                <c:pt idx="164">
                  <c:v>1.0220655882243624E-12</c:v>
                </c:pt>
                <c:pt idx="165">
                  <c:v>1.0220655882243624E-12</c:v>
                </c:pt>
                <c:pt idx="166">
                  <c:v>1.0220655882243624E-12</c:v>
                </c:pt>
                <c:pt idx="167">
                  <c:v>1.0220655882243624E-12</c:v>
                </c:pt>
                <c:pt idx="168">
                  <c:v>1.0220655882243624E-12</c:v>
                </c:pt>
                <c:pt idx="169">
                  <c:v>1.0220655882243624E-12</c:v>
                </c:pt>
                <c:pt idx="170">
                  <c:v>1.0220655882243624E-12</c:v>
                </c:pt>
                <c:pt idx="171">
                  <c:v>1.0220655882243624E-12</c:v>
                </c:pt>
                <c:pt idx="172">
                  <c:v>1.0220655882243624E-12</c:v>
                </c:pt>
                <c:pt idx="173">
                  <c:v>1.0220655882243624E-12</c:v>
                </c:pt>
                <c:pt idx="174">
                  <c:v>1.0220655882243624E-12</c:v>
                </c:pt>
                <c:pt idx="175">
                  <c:v>1.0220655882243624E-12</c:v>
                </c:pt>
                <c:pt idx="176">
                  <c:v>1.0220655882243624E-12</c:v>
                </c:pt>
                <c:pt idx="177">
                  <c:v>1.0220655882243624E-12</c:v>
                </c:pt>
                <c:pt idx="178">
                  <c:v>1.0220655882243624E-12</c:v>
                </c:pt>
                <c:pt idx="179">
                  <c:v>1.0220655882243624E-12</c:v>
                </c:pt>
                <c:pt idx="180">
                  <c:v>1.0220655882243624E-12</c:v>
                </c:pt>
                <c:pt idx="181">
                  <c:v>1.0220655882243624E-12</c:v>
                </c:pt>
                <c:pt idx="182">
                  <c:v>1.0220655882243624E-12</c:v>
                </c:pt>
                <c:pt idx="183">
                  <c:v>1.0220655882243624E-12</c:v>
                </c:pt>
                <c:pt idx="184">
                  <c:v>1.0220655882243624E-12</c:v>
                </c:pt>
                <c:pt idx="185">
                  <c:v>1.0220655882243624E-12</c:v>
                </c:pt>
                <c:pt idx="186">
                  <c:v>1.0220655882243624E-12</c:v>
                </c:pt>
                <c:pt idx="187">
                  <c:v>1.0220655882243624E-12</c:v>
                </c:pt>
                <c:pt idx="188">
                  <c:v>1.0220655882243624E-12</c:v>
                </c:pt>
                <c:pt idx="189">
                  <c:v>1.0220655882243624E-12</c:v>
                </c:pt>
                <c:pt idx="190">
                  <c:v>1.0220655882243624E-12</c:v>
                </c:pt>
                <c:pt idx="191">
                  <c:v>1.0220655882243624E-12</c:v>
                </c:pt>
                <c:pt idx="192">
                  <c:v>1.0220655882243624E-12</c:v>
                </c:pt>
                <c:pt idx="193">
                  <c:v>1.0220655882243624E-12</c:v>
                </c:pt>
                <c:pt idx="194">
                  <c:v>1.0220655882243624E-12</c:v>
                </c:pt>
                <c:pt idx="195">
                  <c:v>1.0220655882243624E-12</c:v>
                </c:pt>
                <c:pt idx="196">
                  <c:v>1.0220655882243624E-12</c:v>
                </c:pt>
                <c:pt idx="197">
                  <c:v>1.0220655882243624E-12</c:v>
                </c:pt>
                <c:pt idx="198">
                  <c:v>1.0220655882243624E-12</c:v>
                </c:pt>
                <c:pt idx="199">
                  <c:v>1.0220655882243624E-12</c:v>
                </c:pt>
                <c:pt idx="200">
                  <c:v>1.0220655882243624E-12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opLeftCell="A17" zoomScale="80" zoomScaleNormal="80" workbookViewId="0">
      <selection activeCell="G156" sqref="G15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93.46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0.56000000000000005</v>
      </c>
      <c r="D9" s="33">
        <f t="shared" ref="D9:D18" si="0">C9*$C$5</f>
        <v>52.337600000000002</v>
      </c>
      <c r="E9" s="34">
        <v>35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138</v>
      </c>
      <c r="C10" s="32">
        <v>0.42</v>
      </c>
      <c r="D10" s="33">
        <f t="shared" si="0"/>
        <v>39.253199999999993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5</v>
      </c>
      <c r="C11" s="32">
        <v>1.54E-2</v>
      </c>
      <c r="D11" s="33">
        <f t="shared" si="0"/>
        <v>1.439284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16</v>
      </c>
      <c r="C12" s="32">
        <v>1.54E-2</v>
      </c>
      <c r="D12" s="33">
        <f t="shared" si="0"/>
        <v>1.439284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10</v>
      </c>
      <c r="C13" s="32">
        <v>6.0000000000000001E-3</v>
      </c>
      <c r="D13" s="33">
        <f t="shared" si="0"/>
        <v>0.56075999999999993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52</v>
      </c>
      <c r="C14" s="32">
        <v>2E-3</v>
      </c>
      <c r="D14" s="33">
        <f t="shared" si="0"/>
        <v>0.18692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1.0187999999999999</v>
      </c>
      <c r="D19" s="38">
        <f>SUM(D9:D18)</f>
        <v>95.217048000000005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Erreur : corrigez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C32" s="23" t="s">
        <v>324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C33" s="23" t="s">
        <v>331</v>
      </c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14</v>
      </c>
      <c r="B36" s="60">
        <v>161</v>
      </c>
      <c r="C36" s="60">
        <v>1</v>
      </c>
      <c r="D36" s="60">
        <v>45</v>
      </c>
      <c r="E36" s="51"/>
      <c r="F36" s="51">
        <v>0.5</v>
      </c>
      <c r="G36" s="51">
        <v>0.5</v>
      </c>
      <c r="H36" s="51"/>
      <c r="I36" s="49">
        <f>IFERROR(B36/A36,"")</f>
        <v>11.5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v>253</v>
      </c>
      <c r="C37" s="60">
        <v>2</v>
      </c>
      <c r="D37" s="60">
        <v>72</v>
      </c>
      <c r="E37" s="51">
        <v>0.2</v>
      </c>
      <c r="F37" s="51">
        <v>0.4</v>
      </c>
      <c r="G37" s="51">
        <v>0.4</v>
      </c>
      <c r="H37" s="51"/>
      <c r="I37" s="53">
        <f t="shared" ref="I37:I55" si="1">IF(A37&lt;&gt;0,(B37-(B36-D36))/(A37-A36),"")</f>
        <v>22.833333333333332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35</v>
      </c>
      <c r="B38" s="60">
        <v>446</v>
      </c>
      <c r="C38" s="60">
        <v>3</v>
      </c>
      <c r="D38" s="60">
        <v>446</v>
      </c>
      <c r="E38" s="51">
        <v>0.4</v>
      </c>
      <c r="F38" s="51">
        <v>0.3</v>
      </c>
      <c r="G38" s="51">
        <v>0.3</v>
      </c>
      <c r="H38" s="51"/>
      <c r="I38" s="53">
        <f t="shared" si="1"/>
        <v>17.666666666666668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taeda</v>
      </c>
      <c r="C58" s="23" t="s">
        <v>324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C59" s="23" t="s">
        <v>330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129</v>
      </c>
      <c r="C62" s="60">
        <v>1</v>
      </c>
      <c r="D62" s="60">
        <v>37</v>
      </c>
      <c r="E62" s="51"/>
      <c r="F62" s="51">
        <v>0.5</v>
      </c>
      <c r="G62" s="51">
        <v>0.5</v>
      </c>
      <c r="H62" s="51"/>
      <c r="I62" s="53">
        <f>IFERROR(B62/A62,"")</f>
        <v>6.45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260</v>
      </c>
      <c r="C63" s="60">
        <v>2</v>
      </c>
      <c r="D63" s="60">
        <v>98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16.8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349</v>
      </c>
      <c r="C64" s="60">
        <v>3</v>
      </c>
      <c r="D64" s="60">
        <v>98</v>
      </c>
      <c r="E64" s="51"/>
      <c r="F64" s="51"/>
      <c r="G64" s="51"/>
      <c r="H64" s="51"/>
      <c r="I64" s="49">
        <f>IF(A64&lt;&gt;0,(B64-(B63-D63))/(A64-A63),"")</f>
        <v>18.7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435</v>
      </c>
      <c r="C65" s="60">
        <v>4</v>
      </c>
      <c r="D65" s="60">
        <v>98</v>
      </c>
      <c r="E65" s="51"/>
      <c r="F65" s="51"/>
      <c r="G65" s="51"/>
      <c r="H65" s="51"/>
      <c r="I65" s="49">
        <f>IF(A65&lt;&gt;0,(B65-(B64-D64))/(A65-A64),"")</f>
        <v>18.399999999999999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504</v>
      </c>
      <c r="C66" s="60">
        <v>5</v>
      </c>
      <c r="D66" s="60">
        <v>90</v>
      </c>
      <c r="E66" s="51"/>
      <c r="F66" s="51"/>
      <c r="G66" s="51"/>
      <c r="H66" s="51"/>
      <c r="I66" s="49">
        <f t="shared" ref="I66:I81" si="2">IF(A66&lt;&gt;0,(B66-(B65-D65))/(A66-A65),"")</f>
        <v>16.7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557</v>
      </c>
      <c r="C67" s="60">
        <v>6</v>
      </c>
      <c r="D67" s="60">
        <v>76</v>
      </c>
      <c r="E67" s="51"/>
      <c r="F67" s="51"/>
      <c r="G67" s="51"/>
      <c r="H67" s="51"/>
      <c r="I67" s="49">
        <f t="shared" si="2"/>
        <v>14.3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599</v>
      </c>
      <c r="C68" s="60">
        <v>7</v>
      </c>
      <c r="D68" s="60">
        <v>599</v>
      </c>
      <c r="E68" s="51"/>
      <c r="F68" s="51"/>
      <c r="G68" s="51"/>
      <c r="H68" s="51"/>
      <c r="I68" s="49">
        <f t="shared" si="2"/>
        <v>11.8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Bouleau verruqueux</v>
      </c>
      <c r="C84" s="23" t="s">
        <v>325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C85" s="23" t="s">
        <v>329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95</v>
      </c>
      <c r="C88" s="60">
        <v>1</v>
      </c>
      <c r="D88" s="60">
        <f>15+28</f>
        <v>43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4.75</v>
      </c>
      <c r="J88" s="23">
        <v>175</v>
      </c>
      <c r="K88" s="23">
        <f t="shared" ref="K88:L90" si="3">J88*0.9</f>
        <v>157.5</v>
      </c>
      <c r="L88" s="23">
        <f t="shared" si="3"/>
        <v>141.75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174</v>
      </c>
      <c r="C89" s="60">
        <v>2</v>
      </c>
      <c r="D89" s="60">
        <f>28+28</f>
        <v>56</v>
      </c>
      <c r="E89" s="51"/>
      <c r="F89" s="51">
        <v>0.25</v>
      </c>
      <c r="G89" s="51">
        <v>0.25</v>
      </c>
      <c r="H89" s="87">
        <v>0.5</v>
      </c>
      <c r="I89" s="53">
        <f t="shared" ref="I89:I107" si="4">IF(A89&lt;&gt;0,(B89-(B88-D88))/(A89-A88),"")</f>
        <v>12.2</v>
      </c>
      <c r="J89" s="23">
        <v>275</v>
      </c>
      <c r="K89" s="23">
        <f t="shared" si="3"/>
        <v>247.5</v>
      </c>
      <c r="L89" s="23">
        <f t="shared" si="3"/>
        <v>222.75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v>220</v>
      </c>
      <c r="C90" s="60">
        <v>3</v>
      </c>
      <c r="D90" s="60">
        <f>28+28</f>
        <v>56</v>
      </c>
      <c r="E90" s="87"/>
      <c r="F90" s="87"/>
      <c r="G90" s="87"/>
      <c r="H90" s="87"/>
      <c r="I90" s="53">
        <f t="shared" si="4"/>
        <v>10.199999999999999</v>
      </c>
      <c r="J90" s="23">
        <v>325</v>
      </c>
      <c r="K90" s="23">
        <f t="shared" si="3"/>
        <v>292.5</v>
      </c>
      <c r="L90" s="23">
        <f t="shared" si="3"/>
        <v>263.25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241</v>
      </c>
      <c r="C91" s="60">
        <v>4</v>
      </c>
      <c r="D91" s="60">
        <f>22+17</f>
        <v>39</v>
      </c>
      <c r="E91" s="87"/>
      <c r="F91" s="87"/>
      <c r="G91" s="87"/>
      <c r="H91" s="87"/>
      <c r="I91" s="53">
        <f t="shared" si="4"/>
        <v>7.7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258</v>
      </c>
      <c r="C92" s="60">
        <v>5</v>
      </c>
      <c r="D92" s="60">
        <f>13+12</f>
        <v>25</v>
      </c>
      <c r="E92" s="87"/>
      <c r="F92" s="87"/>
      <c r="G92" s="87"/>
      <c r="H92" s="87"/>
      <c r="I92" s="53">
        <f t="shared" si="4"/>
        <v>5.6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v>274</v>
      </c>
      <c r="C93" s="60">
        <v>6</v>
      </c>
      <c r="D93" s="60">
        <f>11+10</f>
        <v>21</v>
      </c>
      <c r="E93" s="87"/>
      <c r="F93" s="87"/>
      <c r="G93" s="87"/>
      <c r="H93" s="87"/>
      <c r="I93" s="53">
        <f t="shared" si="4"/>
        <v>4.0999999999999996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f>267+9+8</f>
        <v>284</v>
      </c>
      <c r="C94" s="60">
        <v>7</v>
      </c>
      <c r="D94" s="60">
        <f>B94</f>
        <v>284</v>
      </c>
      <c r="E94" s="87"/>
      <c r="F94" s="87"/>
      <c r="G94" s="87"/>
      <c r="H94" s="87"/>
      <c r="I94" s="53">
        <f t="shared" si="4"/>
        <v>3.1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4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vert</v>
      </c>
      <c r="C110" s="23" t="s">
        <v>326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C111" s="23" t="s">
        <v>328</v>
      </c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25</v>
      </c>
      <c r="B114" s="60">
        <v>30</v>
      </c>
      <c r="C114" s="50">
        <v>0</v>
      </c>
      <c r="D114" s="60">
        <v>0</v>
      </c>
      <c r="E114" s="51"/>
      <c r="F114" s="51"/>
      <c r="G114" s="51">
        <v>0.25</v>
      </c>
      <c r="H114" s="51">
        <v>0.5</v>
      </c>
      <c r="I114" s="53">
        <f>IFERROR(B114/A114,"")</f>
        <v>1.2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54</v>
      </c>
      <c r="C115" s="50">
        <v>0</v>
      </c>
      <c r="D115" s="60">
        <v>0</v>
      </c>
      <c r="E115" s="51"/>
      <c r="F115" s="51"/>
      <c r="G115" s="51">
        <v>0.25</v>
      </c>
      <c r="H115" s="51">
        <v>0.5</v>
      </c>
      <c r="I115" s="53">
        <f t="shared" ref="I115:I133" si="5">IF(A115&lt;&gt;0,(B115-(B114-D114))/(A115-A114),"")</f>
        <v>4.8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f>79+13+14</f>
        <v>106</v>
      </c>
      <c r="C116" s="50">
        <v>1</v>
      </c>
      <c r="D116" s="60">
        <f>13+14</f>
        <v>27</v>
      </c>
      <c r="E116" s="51"/>
      <c r="F116" s="51"/>
      <c r="G116" s="51"/>
      <c r="H116" s="51"/>
      <c r="I116" s="53">
        <f t="shared" si="5"/>
        <v>5.2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50</v>
      </c>
      <c r="B117" s="60">
        <f>107+14+14</f>
        <v>135</v>
      </c>
      <c r="C117" s="50">
        <v>2</v>
      </c>
      <c r="D117" s="60">
        <f>14+14</f>
        <v>28</v>
      </c>
      <c r="E117" s="51"/>
      <c r="F117" s="51"/>
      <c r="G117" s="51"/>
      <c r="H117" s="51"/>
      <c r="I117" s="53">
        <f t="shared" si="5"/>
        <v>5.6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60</v>
      </c>
      <c r="B118" s="60">
        <f>134+14+14</f>
        <v>162</v>
      </c>
      <c r="C118" s="50">
        <v>3</v>
      </c>
      <c r="D118" s="60">
        <f t="shared" ref="D118:D122" si="6">14+14</f>
        <v>28</v>
      </c>
      <c r="E118" s="51"/>
      <c r="F118" s="51"/>
      <c r="G118" s="51"/>
      <c r="H118" s="51"/>
      <c r="I118" s="53">
        <f t="shared" si="5"/>
        <v>5.5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70</v>
      </c>
      <c r="B119" s="60">
        <f>158+14+14</f>
        <v>186</v>
      </c>
      <c r="C119" s="50">
        <v>4</v>
      </c>
      <c r="D119" s="60">
        <f t="shared" si="6"/>
        <v>28</v>
      </c>
      <c r="E119" s="51"/>
      <c r="F119" s="51"/>
      <c r="G119" s="51"/>
      <c r="H119" s="51"/>
      <c r="I119" s="53">
        <f t="shared" si="5"/>
        <v>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80</v>
      </c>
      <c r="B120" s="60">
        <f>178+14+14</f>
        <v>206</v>
      </c>
      <c r="C120" s="60">
        <v>5</v>
      </c>
      <c r="D120" s="60">
        <f t="shared" si="6"/>
        <v>28</v>
      </c>
      <c r="E120" s="87"/>
      <c r="F120" s="87"/>
      <c r="G120" s="87"/>
      <c r="H120" s="87"/>
      <c r="I120" s="53">
        <f t="shared" si="5"/>
        <v>4.8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90</v>
      </c>
      <c r="B121" s="60">
        <f>193+14+14</f>
        <v>221</v>
      </c>
      <c r="C121" s="60">
        <v>6</v>
      </c>
      <c r="D121" s="60">
        <f t="shared" si="6"/>
        <v>28</v>
      </c>
      <c r="E121" s="87"/>
      <c r="F121" s="87"/>
      <c r="G121" s="87"/>
      <c r="H121" s="87"/>
      <c r="I121" s="53">
        <f t="shared" si="5"/>
        <v>4.3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100</v>
      </c>
      <c r="B122" s="60">
        <f>202+14+14</f>
        <v>230</v>
      </c>
      <c r="C122" s="60">
        <v>7</v>
      </c>
      <c r="D122" s="60">
        <f t="shared" si="6"/>
        <v>28</v>
      </c>
      <c r="E122" s="87"/>
      <c r="F122" s="87"/>
      <c r="G122" s="87"/>
      <c r="H122" s="87"/>
      <c r="I122" s="53">
        <f t="shared" si="5"/>
        <v>3.7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110</v>
      </c>
      <c r="B123" s="60">
        <f>206+14+13</f>
        <v>233</v>
      </c>
      <c r="C123" s="60">
        <v>8</v>
      </c>
      <c r="D123" s="60">
        <f>14+13</f>
        <v>27</v>
      </c>
      <c r="E123" s="87"/>
      <c r="F123" s="87"/>
      <c r="G123" s="87"/>
      <c r="H123" s="87"/>
      <c r="I123" s="53">
        <f t="shared" si="5"/>
        <v>3.1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120</v>
      </c>
      <c r="B124" s="60">
        <f>209+13+12</f>
        <v>234</v>
      </c>
      <c r="C124" s="60">
        <v>9</v>
      </c>
      <c r="D124" s="60">
        <f>B124</f>
        <v>234</v>
      </c>
      <c r="E124" s="87"/>
      <c r="F124" s="87"/>
      <c r="G124" s="87"/>
      <c r="H124" s="87"/>
      <c r="I124" s="53">
        <f t="shared" si="5"/>
        <v>2.8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Chêne-liège</v>
      </c>
      <c r="C136" s="23" t="s">
        <v>326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C137" s="23" t="s">
        <v>327</v>
      </c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7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7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7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7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7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7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7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Cormier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8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8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8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8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8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8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2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taeda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Bouleau verruqueux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vert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Chêne-liège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Cormier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212.98969326021802</v>
      </c>
      <c r="T3" s="59">
        <f>IF('Données projet'!E9&gt;30,$R$33-$H$33,LOOKUP('Données projet'!$E$9,$A$3:$A$203,R3:R203)-LOOKUP('Données projet'!$E$9,$A$3:$A$203,$H$3:$H$203))</f>
        <v>422.91218020922895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318.09371753144256</v>
      </c>
      <c r="AO3" s="59">
        <f>IF('Données projet'!E10&gt;30,$AM$33-$H$33,LOOKUP('Données projet'!$E$10,$A$3:$A$203,AM3:AM203)-LOOKUP('Données projet'!$E$10,$A$3:$A$203,$H$3:$H$203))</f>
        <v>298.61479562586919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230.68538392491388</v>
      </c>
      <c r="BJ3" s="59">
        <f>IF('Données projet'!E11&gt;30,$BH$33-$H$33,LOOKUP('Données projet'!$E$11,$A$3:$A$203,BH3:BH203)-LOOKUP('Données projet'!$E$11,$A$3:$A$203,$H$3:$H$203))</f>
        <v>267.97457956620724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242.1473060698724</v>
      </c>
      <c r="CE3" s="59">
        <f>IF('Données projet'!E12&gt;30,$CC$33-$H$33,LOOKUP('Données projet'!$E$12,$A$3:$A$203,CC3:CC203)-LOOKUP('Données projet'!$E$12,$A$3:$A$203,$H$3:$H$203))</f>
        <v>96.127995920458659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0</v>
      </c>
      <c r="CZ3" s="59">
        <f>IF('Données projet'!E13&gt;30,$CX$33-$H$33,LOOKUP('Données projet'!$E$13,$A$3:$A$203,CX3:CX203)-LOOKUP('Données projet'!$E$13,$A$3:$A$203,$H$3:$H$203))</f>
        <v>0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0</v>
      </c>
      <c r="DU3" s="59">
        <f>IF('Données projet'!E14&gt;30,$DS$33-$H$33,LOOKUP('Données projet'!$E$14,$A$3:$A$203,DS3:DS203)-LOOKUP('Données projet'!$E$14,$A$3:$A$203,$H$3:$H$203))</f>
        <v>0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11.5</v>
      </c>
      <c r="N4" s="13">
        <f>IF('Données projet'!$A$36&gt;35,N3+M4-V3,IF(A4&lt;'Données projet'!$A$36,$K$205^A4,IF(A4='Données projet'!$A$36,'Données projet'!$B$36,N3+M4-V3)))</f>
        <v>1.4375746958096607</v>
      </c>
      <c r="O4" s="13">
        <f>N4*VLOOKUP('Données projet'!$B$9,Paramètres!$A$1:$I$89,3,0)*VLOOKUP('Données projet'!$B$9,Paramètres!$A$1:$I$89,5,0)</f>
        <v>0.85966966809417722</v>
      </c>
      <c r="P4" s="13">
        <f>EXP(-1.0587+0.8836*LN(O4)+0.284)</f>
        <v>0.40320644916646331</v>
      </c>
      <c r="Q4" s="20">
        <f t="shared" ref="Q4:Q34" si="2">(O4+P4)*0.475*44/12</f>
        <v>2.1995092375622822</v>
      </c>
      <c r="R4" s="59">
        <f t="shared" si="0"/>
        <v>295.53284257089558</v>
      </c>
      <c r="S4" s="59">
        <f ca="1">AVERAGE(OFFSET($R$3,0,0,'Données projet'!$E$9+1,1))-AVERAGE(OFFSET($H$3,0,0,'Données projet'!$E$9+1,1))</f>
        <v>212.98969326021802</v>
      </c>
      <c r="T4" s="59">
        <f>$T$3</f>
        <v>422.91218020922895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6.45</v>
      </c>
      <c r="AI4" s="13">
        <f>IF('Données projet'!$A$62&gt;35,AI3+AH4-AQ3,IF(A4&lt;'Données projet'!$A$62,$AF$205^A4,IF(A4='Données projet'!$A$62,'Données projet'!$B$62,AI3+AH4-AQ3)))</f>
        <v>1.2750566643089272</v>
      </c>
      <c r="AJ4" s="13">
        <f>AI4*VLOOKUP('Données projet'!$B$10,Paramètres!$A$1:$I$89,3,0)*VLOOKUP('Données projet'!$B$10,Paramètres!$A$1:$I$89,5,0)</f>
        <v>0.76248388525673849</v>
      </c>
      <c r="AK4" s="13">
        <f>EXP(-1.0587+0.8836*LN(AJ4)+0.284)</f>
        <v>0.36265284133020909</v>
      </c>
      <c r="AL4" s="20">
        <f t="shared" ref="AL4:AL67" si="4">(AJ4+AK4)*0.475*44/12</f>
        <v>1.9596131321389336</v>
      </c>
      <c r="AM4" s="59">
        <f t="shared" ref="AM4:AM67" si="5">AL4+(AD4+AE4)*44/12</f>
        <v>295.29294646547226</v>
      </c>
      <c r="AN4" s="59">
        <f ca="1">AVERAGE(OFFSET($AM$3,0,0,'Données projet'!$E$10+1,1))-AVERAGE(OFFSET($H$3,0,0,'Données projet'!$E$10+1,1))</f>
        <v>318.09371753144256</v>
      </c>
      <c r="AO4" s="59">
        <f>$AO$3</f>
        <v>298.61479562586919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4.75</v>
      </c>
      <c r="BD4" s="12">
        <f>IF('Données projet'!$A$88&gt;35,BD3+BC4-BL3,IF(A4&lt;'Données projet'!$A$88,$BA$205^A4,IF(A4='Données projet'!$A$88,'Données projet'!$B$88,BD3+BC4-BL3)))</f>
        <v>1.2557008269631629</v>
      </c>
      <c r="BE4" s="13">
        <f>BD4*VLOOKUP('Données projet'!$B$11,Paramètres!$A$1:$I$89,3,0)*VLOOKUP('Données projet'!$B$11,Paramètres!$A$1:$I$89,5,0)</f>
        <v>1.0186245108325178</v>
      </c>
      <c r="BF4" s="13">
        <f>EXP(-1.0587+0.8836*LN(BE4)+0.284)</f>
        <v>0.4684177496027801</v>
      </c>
      <c r="BG4" s="20">
        <f t="shared" ref="BG4:BG67" si="7">(BE4+BF4)*0.475*44/12</f>
        <v>2.5899319369248102</v>
      </c>
      <c r="BH4" s="59">
        <f t="shared" ref="BH4:BH67" si="8">BG4+(AY4+AZ4)*44/12</f>
        <v>295.92326527025813</v>
      </c>
      <c r="BI4" s="59">
        <f ca="1">AVERAGE(OFFSET($BH$3,0,0,'Données projet'!$E$11+1,1))-AVERAGE(OFFSET($H$3,0,0,'Données projet'!$E$11+1,1))</f>
        <v>230.68538392491388</v>
      </c>
      <c r="BJ4" s="59">
        <f>$BJ$3</f>
        <v>267.97457956620724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1.2</v>
      </c>
      <c r="BY4" s="12">
        <f>IF('Données projet'!$A$114&gt;35,BY3+BX4-CG3,IF(A4&lt;'Données projet'!$A$114,$BV$205^A4,IF(A4='Données projet'!$A$114,'Données projet'!$B$114,BY3+BX4-CG3)))</f>
        <v>1.1457367676485573</v>
      </c>
      <c r="BZ4" s="13">
        <f>BY4*VLOOKUP('Données projet'!$B$12,Paramètres!$A$1:$I$89,3,0)*VLOOKUP('Données projet'!$B$12,Paramètres!$A$1:$I$89,5,0)</f>
        <v>1.3047650309981771</v>
      </c>
      <c r="CA4" s="13">
        <f>EXP(-1.0587+0.8836*LN(BZ4)+0.284)</f>
        <v>0.58295685400878672</v>
      </c>
      <c r="CB4" s="20">
        <f t="shared" ref="CB4:CB67" si="10">(BZ4+CA4)*0.475*44/12</f>
        <v>3.2877822830537951</v>
      </c>
      <c r="CC4" s="59">
        <f t="shared" ref="CC4:CC67" si="11">CB4+(BT4+BU4)*44/12</f>
        <v>296.6211156163871</v>
      </c>
      <c r="CD4" s="59">
        <f ca="1">AVERAGE(OFFSET($CC$3,0,0,'Données projet'!$E$12+1,1))-AVERAGE(OFFSET($H$3,0,0,'Données projet'!$E$12+1,1))</f>
        <v>242.1473060698724</v>
      </c>
      <c r="CE4" s="59">
        <f>$CE$3</f>
        <v>96.127995920458659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>
        <f>CT4*VLOOKUP('Données projet'!$B$13,Paramètres!$A$1:$I$89,3,0)*VLOOKUP('Données projet'!$B$13,Paramètres!$A$1:$I$89,5,0)</f>
        <v>0</v>
      </c>
      <c r="CV4" s="13" t="e">
        <f>EXP(-1.0587+0.8836*LN(CU4)+0.284)</f>
        <v>#NUM!</v>
      </c>
      <c r="CW4" s="20" t="e">
        <f t="shared" ref="CW4:CW67" si="13">(CU4+CV4)*0.475*44/12</f>
        <v>#NUM!</v>
      </c>
      <c r="CX4" s="59" t="e">
        <f t="shared" ref="CX4:CX67" si="14">CW4+(CO4+CP4)*44/12</f>
        <v>#NUM!</v>
      </c>
      <c r="CY4" s="59">
        <f ca="1">AVERAGE(OFFSET($CX$3,0,0,'Données projet'!$E$13+1,1))-AVERAGE(OFFSET($H$3,0,0,'Données projet'!$E$13+1,1))</f>
        <v>0</v>
      </c>
      <c r="CZ4" s="59">
        <f>$CZ$3</f>
        <v>0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>
        <f>DO4*VLOOKUP('Données projet'!$B$14,Paramètres!$A$1:$I$89,3,0)*VLOOKUP('Données projet'!$B$14,Paramètres!$A$1:$I$89,5,0)</f>
        <v>0</v>
      </c>
      <c r="DQ4" s="13" t="e">
        <f>EXP(-1.0587+0.8836*LN(DP4)+0.284)</f>
        <v>#NUM!</v>
      </c>
      <c r="DR4" s="20" t="e">
        <f t="shared" ref="DR4:DR67" si="16">(DP4+DQ4)*0.475*44/12</f>
        <v>#NUM!</v>
      </c>
      <c r="DS4" s="59" t="e">
        <f t="shared" ref="DS4:DS67" si="17">DR4+(DJ4+DK4)*44/12</f>
        <v>#NUM!</v>
      </c>
      <c r="DT4" s="59">
        <f ca="1">AVERAGE(OFFSET($DS$3,0,0,'Données projet'!$E$14+1,1))-AVERAGE(OFFSET($H$3,0,0,'Données projet'!$E$14+1,1))</f>
        <v>0</v>
      </c>
      <c r="DU4" s="59">
        <f>$DU$3</f>
        <v>0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11.5</v>
      </c>
      <c r="N5" s="13">
        <f>IF('Données projet'!$A$36&gt;35,N4+M5-V4,IF(A5&lt;'Données projet'!$A$36,$K$205^A5,IF(A5='Données projet'!$A$36,'Données projet'!$B$36,N4+M5-V4)))</f>
        <v>2.0666210060322383</v>
      </c>
      <c r="O5" s="13">
        <f>N5*VLOOKUP('Données projet'!$B$9,Paramètres!$A$1:$I$89,3,0)*VLOOKUP('Données projet'!$B$9,Paramètres!$A$1:$I$89,5,0)</f>
        <v>1.2358393616072785</v>
      </c>
      <c r="P5" s="13">
        <f t="shared" ref="P5:P68" si="33">EXP(-1.0587+0.8836*LN(O5)+0.284)</f>
        <v>0.5556607346368837</v>
      </c>
      <c r="Q5" s="20">
        <f t="shared" si="2"/>
        <v>3.1201960009585821</v>
      </c>
      <c r="R5" s="59">
        <f t="shared" si="0"/>
        <v>296.45352933429189</v>
      </c>
      <c r="S5" s="59">
        <f ca="1">AVERAGE(OFFSET($R$3,0,0,'Données projet'!$E$9+1,1))-AVERAGE(OFFSET($H$3,0,0,'Données projet'!$E$9+1,1))</f>
        <v>212.98969326021802</v>
      </c>
      <c r="T5" s="59">
        <f t="shared" ref="T5:T68" si="34">$T$3</f>
        <v>422.91218020922895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6.45</v>
      </c>
      <c r="AI5" s="13">
        <f>IF('Données projet'!$A$62&gt;35,AI4+AH5-AQ4,IF(A5&lt;'Données projet'!$A$62,$AF$205^A5,IF(A5='Données projet'!$A$62,'Données projet'!$B$62,AI4+AH5-AQ4)))</f>
        <v>1.6257694971986081</v>
      </c>
      <c r="AJ5" s="13">
        <f>AI5*VLOOKUP('Données projet'!$B$10,Paramètres!$A$1:$I$89,3,0)*VLOOKUP('Données projet'!$B$10,Paramètres!$A$1:$I$89,5,0)</f>
        <v>0.97221015932476773</v>
      </c>
      <c r="AK5" s="13">
        <f t="shared" ref="AK5:AK68" si="35">EXP(-1.0587+0.8836*LN(AJ5)+0.284)</f>
        <v>0.44950749538600049</v>
      </c>
      <c r="AL5" s="20">
        <f t="shared" si="4"/>
        <v>2.4761582486212546</v>
      </c>
      <c r="AM5" s="59">
        <f t="shared" si="5"/>
        <v>295.80949158195455</v>
      </c>
      <c r="AN5" s="59">
        <f ca="1">AVERAGE(OFFSET($AM$3,0,0,'Données projet'!$E$10+1,1))-AVERAGE(OFFSET($H$3,0,0,'Données projet'!$E$10+1,1))</f>
        <v>318.09371753144256</v>
      </c>
      <c r="AO5" s="59">
        <f t="shared" ref="AO5:AO68" si="36">$AO$3</f>
        <v>298.61479562586919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4.75</v>
      </c>
      <c r="BD5" s="12">
        <f>IF('Données projet'!$A$88&gt;35,BD4+BC5-BL4,IF(A5&lt;'Données projet'!$A$88,$BA$205^A5,IF(A5='Données projet'!$A$88,'Données projet'!$B$88,BD4+BC5-BL4)))</f>
        <v>1.576784566835971</v>
      </c>
      <c r="BE5" s="13">
        <f>BD5*VLOOKUP('Données projet'!$B$11,Paramètres!$A$1:$I$89,3,0)*VLOOKUP('Données projet'!$B$11,Paramètres!$A$1:$I$89,5,0)</f>
        <v>1.2790876406173397</v>
      </c>
      <c r="BF5" s="13">
        <f t="shared" ref="BF5:BF68" si="37">EXP(-1.0587+0.8836*LN(BE5)+0.284)</f>
        <v>0.57280812840105289</v>
      </c>
      <c r="BG5" s="20">
        <f t="shared" si="7"/>
        <v>3.2253851310403672</v>
      </c>
      <c r="BH5" s="59">
        <f t="shared" si="8"/>
        <v>296.55871846437367</v>
      </c>
      <c r="BI5" s="59">
        <f ca="1">AVERAGE(OFFSET($BH$3,0,0,'Données projet'!$E$11+1,1))-AVERAGE(OFFSET($H$3,0,0,'Données projet'!$E$11+1,1))</f>
        <v>230.68538392491388</v>
      </c>
      <c r="BJ5" s="59">
        <f t="shared" ref="BJ5:BJ68" si="38">$BJ$3</f>
        <v>267.97457956620724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1.2</v>
      </c>
      <c r="BY5" s="12">
        <f>IF('Données projet'!$A$114&gt;35,BY4+BX5-CG4,IF(A5&lt;'Données projet'!$A$114,$BV$205^A5,IF(A5='Données projet'!$A$114,'Données projet'!$B$114,BY4+BX5-CG4)))</f>
        <v>1.312712740741764</v>
      </c>
      <c r="BZ5" s="13">
        <f>BY5*VLOOKUP('Données projet'!$B$12,Paramètres!$A$1:$I$89,3,0)*VLOOKUP('Données projet'!$B$12,Paramètres!$A$1:$I$89,5,0)</f>
        <v>1.494917269156721</v>
      </c>
      <c r="CA5" s="13">
        <f t="shared" ref="CA5:CA68" si="39">EXP(-1.0587+0.8836*LN(BZ5)+0.284)</f>
        <v>0.65742132363627681</v>
      </c>
      <c r="CB5" s="20">
        <f t="shared" si="10"/>
        <v>3.7486563824478041</v>
      </c>
      <c r="CC5" s="59">
        <f t="shared" si="11"/>
        <v>297.08198971578111</v>
      </c>
      <c r="CD5" s="59">
        <f ca="1">AVERAGE(OFFSET($CC$3,0,0,'Données projet'!$E$12+1,1))-AVERAGE(OFFSET($H$3,0,0,'Données projet'!$E$12+1,1))</f>
        <v>242.1473060698724</v>
      </c>
      <c r="CE5" s="59">
        <f t="shared" ref="CE5:CE68" si="40">$CE$3</f>
        <v>96.127995920458659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>
        <f>CT5*VLOOKUP('Données projet'!$B$13,Paramètres!$A$1:$I$89,3,0)*VLOOKUP('Données projet'!$B$13,Paramètres!$A$1:$I$89,5,0)</f>
        <v>0</v>
      </c>
      <c r="CV5" s="13" t="e">
        <f t="shared" ref="CV5:CV68" si="41">EXP(-1.0587+0.8836*LN(CU5)+0.284)</f>
        <v>#NUM!</v>
      </c>
      <c r="CW5" s="20" t="e">
        <f t="shared" si="13"/>
        <v>#NUM!</v>
      </c>
      <c r="CX5" s="59" t="e">
        <f t="shared" si="14"/>
        <v>#NUM!</v>
      </c>
      <c r="CY5" s="59">
        <f ca="1">AVERAGE(OFFSET($CX$3,0,0,'Données projet'!$E$13+1,1))-AVERAGE(OFFSET($H$3,0,0,'Données projet'!$E$13+1,1))</f>
        <v>0</v>
      </c>
      <c r="CZ5" s="59">
        <f t="shared" ref="CZ5:CZ68" si="42">$CZ$3</f>
        <v>0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>
        <f>DO5*VLOOKUP('Données projet'!$B$14,Paramètres!$A$1:$I$89,3,0)*VLOOKUP('Données projet'!$B$14,Paramètres!$A$1:$I$89,5,0)</f>
        <v>0</v>
      </c>
      <c r="DQ5" s="13" t="e">
        <f t="shared" ref="DQ5:DQ68" si="43">EXP(-1.0587+0.8836*LN(DP5)+0.284)</f>
        <v>#NUM!</v>
      </c>
      <c r="DR5" s="20" t="e">
        <f t="shared" si="16"/>
        <v>#NUM!</v>
      </c>
      <c r="DS5" s="59" t="e">
        <f t="shared" si="17"/>
        <v>#NUM!</v>
      </c>
      <c r="DT5" s="59">
        <f ca="1">AVERAGE(OFFSET($DS$3,0,0,'Données projet'!$E$14+1,1))-AVERAGE(OFFSET($H$3,0,0,'Données projet'!$E$14+1,1))</f>
        <v>0</v>
      </c>
      <c r="DU5" s="59">
        <f t="shared" ref="DU5:DU68" si="44">$DU$3</f>
        <v>0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11.5</v>
      </c>
      <c r="N6" s="13">
        <f>IF('Données projet'!$A$36&gt;35,N5+M6-V5,IF(A6&lt;'Données projet'!$A$36,$K$205^A6,IF(A6='Données projet'!$A$36,'Données projet'!$B$36,N5+M6-V5)))</f>
        <v>2.97092206410065</v>
      </c>
      <c r="O6" s="13">
        <f>N6*VLOOKUP('Données projet'!$B$9,Paramètres!$A$1:$I$89,3,0)*VLOOKUP('Données projet'!$B$9,Paramètres!$A$1:$I$89,5,0)</f>
        <v>1.7766113943321886</v>
      </c>
      <c r="P6" s="13">
        <f t="shared" si="33"/>
        <v>0.76575871406692364</v>
      </c>
      <c r="Q6" s="20">
        <f t="shared" si="2"/>
        <v>4.4279612721284538</v>
      </c>
      <c r="R6" s="59">
        <f t="shared" si="0"/>
        <v>297.76129460546179</v>
      </c>
      <c r="S6" s="59">
        <f ca="1">AVERAGE(OFFSET($R$3,0,0,'Données projet'!$E$9+1,1))-AVERAGE(OFFSET($H$3,0,0,'Données projet'!$E$9+1,1))</f>
        <v>212.98969326021802</v>
      </c>
      <c r="T6" s="59">
        <f t="shared" si="34"/>
        <v>422.91218020922895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6.45</v>
      </c>
      <c r="AI6" s="13">
        <f>IF('Données projet'!$A$62&gt;35,AI5+AH6-AQ5,IF(A6&lt;'Données projet'!$A$62,$AF$205^A6,IF(A6='Données projet'!$A$62,'Données projet'!$B$62,AI5+AH6-AQ5)))</f>
        <v>2.0729482320332591</v>
      </c>
      <c r="AJ6" s="13">
        <f>AI6*VLOOKUP('Données projet'!$B$10,Paramètres!$A$1:$I$89,3,0)*VLOOKUP('Données projet'!$B$10,Paramètres!$A$1:$I$89,5,0)</f>
        <v>1.239623042755889</v>
      </c>
      <c r="AK6" s="13">
        <f t="shared" si="35"/>
        <v>0.55716367109396148</v>
      </c>
      <c r="AL6" s="20">
        <f t="shared" si="4"/>
        <v>3.1294035266218221</v>
      </c>
      <c r="AM6" s="59">
        <f t="shared" si="5"/>
        <v>296.46273685995516</v>
      </c>
      <c r="AN6" s="59">
        <f ca="1">AVERAGE(OFFSET($AM$3,0,0,'Données projet'!$E$10+1,1))-AVERAGE(OFFSET($H$3,0,0,'Données projet'!$E$10+1,1))</f>
        <v>318.09371753144256</v>
      </c>
      <c r="AO6" s="59">
        <f t="shared" si="36"/>
        <v>298.61479562586919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4.75</v>
      </c>
      <c r="BD6" s="12">
        <f>IF('Données projet'!$A$88&gt;35,BD5+BC6-BL5,IF(A6&lt;'Données projet'!$A$88,$BA$205^A6,IF(A6='Données projet'!$A$88,'Données projet'!$B$88,BD5+BC6-BL5)))</f>
        <v>1.9799696845186814</v>
      </c>
      <c r="BE6" s="13">
        <f>BD6*VLOOKUP('Données projet'!$B$11,Paramètres!$A$1:$I$89,3,0)*VLOOKUP('Données projet'!$B$11,Paramètres!$A$1:$I$89,5,0)</f>
        <v>1.6061514080815542</v>
      </c>
      <c r="BF6" s="13">
        <f t="shared" si="37"/>
        <v>0.70046267939367102</v>
      </c>
      <c r="BG6" s="20">
        <f t="shared" si="7"/>
        <v>4.0173528690193505</v>
      </c>
      <c r="BH6" s="59">
        <f t="shared" si="8"/>
        <v>297.35068620235268</v>
      </c>
      <c r="BI6" s="59">
        <f ca="1">AVERAGE(OFFSET($BH$3,0,0,'Données projet'!$E$11+1,1))-AVERAGE(OFFSET($H$3,0,0,'Données projet'!$E$11+1,1))</f>
        <v>230.68538392491388</v>
      </c>
      <c r="BJ6" s="59">
        <f t="shared" si="38"/>
        <v>267.97457956620724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1.2</v>
      </c>
      <c r="BY6" s="12">
        <f>IF('Données projet'!$A$114&gt;35,BY5+BX6-CG5,IF(A6&lt;'Données projet'!$A$114,$BV$205^A6,IF(A6='Données projet'!$A$114,'Données projet'!$B$114,BY5+BX6-CG5)))</f>
        <v>1.5040232524285473</v>
      </c>
      <c r="BZ6" s="13">
        <f>BY6*VLOOKUP('Données projet'!$B$12,Paramètres!$A$1:$I$89,3,0)*VLOOKUP('Données projet'!$B$12,Paramètres!$A$1:$I$89,5,0)</f>
        <v>1.7127816798656297</v>
      </c>
      <c r="CA6" s="13">
        <f t="shared" si="39"/>
        <v>0.74139757307864129</v>
      </c>
      <c r="CB6" s="20">
        <f t="shared" si="10"/>
        <v>4.2743621988779381</v>
      </c>
      <c r="CC6" s="59">
        <f t="shared" si="11"/>
        <v>297.60769553221127</v>
      </c>
      <c r="CD6" s="59">
        <f ca="1">AVERAGE(OFFSET($CC$3,0,0,'Données projet'!$E$12+1,1))-AVERAGE(OFFSET($H$3,0,0,'Données projet'!$E$12+1,1))</f>
        <v>242.1473060698724</v>
      </c>
      <c r="CE6" s="59">
        <f t="shared" si="40"/>
        <v>96.127995920458659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>
        <f>CT6*VLOOKUP('Données projet'!$B$13,Paramètres!$A$1:$I$89,3,0)*VLOOKUP('Données projet'!$B$13,Paramètres!$A$1:$I$89,5,0)</f>
        <v>0</v>
      </c>
      <c r="CV6" s="13" t="e">
        <f t="shared" si="41"/>
        <v>#NUM!</v>
      </c>
      <c r="CW6" s="20" t="e">
        <f t="shared" si="13"/>
        <v>#NUM!</v>
      </c>
      <c r="CX6" s="59" t="e">
        <f t="shared" si="14"/>
        <v>#NUM!</v>
      </c>
      <c r="CY6" s="59">
        <f ca="1">AVERAGE(OFFSET($CX$3,0,0,'Données projet'!$E$13+1,1))-AVERAGE(OFFSET($H$3,0,0,'Données projet'!$E$13+1,1))</f>
        <v>0</v>
      </c>
      <c r="CZ6" s="59">
        <f t="shared" si="42"/>
        <v>0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>
        <f>DO6*VLOOKUP('Données projet'!$B$14,Paramètres!$A$1:$I$89,3,0)*VLOOKUP('Données projet'!$B$14,Paramètres!$A$1:$I$89,5,0)</f>
        <v>0</v>
      </c>
      <c r="DQ6" s="13" t="e">
        <f t="shared" si="43"/>
        <v>#NUM!</v>
      </c>
      <c r="DR6" s="20" t="e">
        <f t="shared" si="16"/>
        <v>#NUM!</v>
      </c>
      <c r="DS6" s="59" t="e">
        <f t="shared" si="17"/>
        <v>#NUM!</v>
      </c>
      <c r="DT6" s="59">
        <f ca="1">AVERAGE(OFFSET($DS$3,0,0,'Données projet'!$E$14+1,1))-AVERAGE(OFFSET($H$3,0,0,'Données projet'!$E$14+1,1))</f>
        <v>0</v>
      </c>
      <c r="DU6" s="59">
        <f t="shared" si="44"/>
        <v>0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11.5</v>
      </c>
      <c r="N7" s="13">
        <f>IF('Données projet'!$A$36&gt;35,N6+M7-V6,IF(A7&lt;'Données projet'!$A$36,$K$205^A7,IF(A7='Données projet'!$A$36,'Données projet'!$B$36,N6+M7-V6)))</f>
        <v>4.2709223825737004</v>
      </c>
      <c r="O7" s="13">
        <f>N7*VLOOKUP('Données projet'!$B$9,Paramètres!$A$1:$I$89,3,0)*VLOOKUP('Données projet'!$B$9,Paramètres!$A$1:$I$89,5,0)</f>
        <v>2.5540115847790728</v>
      </c>
      <c r="P7" s="13">
        <f t="shared" si="33"/>
        <v>1.0552957436386496</v>
      </c>
      <c r="Q7" s="20">
        <f t="shared" si="2"/>
        <v>6.2862102636608661</v>
      </c>
      <c r="R7" s="59">
        <f t="shared" si="0"/>
        <v>299.61954359699416</v>
      </c>
      <c r="S7" s="59">
        <f ca="1">AVERAGE(OFFSET($R$3,0,0,'Données projet'!$E$9+1,1))-AVERAGE(OFFSET($H$3,0,0,'Données projet'!$E$9+1,1))</f>
        <v>212.98969326021802</v>
      </c>
      <c r="T7" s="59">
        <f t="shared" si="34"/>
        <v>422.91218020922895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6.45</v>
      </c>
      <c r="AI7" s="13">
        <f>IF('Données projet'!$A$62&gt;35,AI6+AH7-AQ6,IF(A7&lt;'Données projet'!$A$62,$AF$205^A7,IF(A7='Données projet'!$A$62,'Données projet'!$B$62,AI6+AH7-AQ6)))</f>
        <v>2.6431264580214151</v>
      </c>
      <c r="AJ7" s="13">
        <f>AI7*VLOOKUP('Données projet'!$B$10,Paramètres!$A$1:$I$89,3,0)*VLOOKUP('Données projet'!$B$10,Paramètres!$A$1:$I$89,5,0)</f>
        <v>1.5805896218968063</v>
      </c>
      <c r="AK7" s="13">
        <f t="shared" si="35"/>
        <v>0.6906032926555028</v>
      </c>
      <c r="AL7" s="20">
        <f t="shared" si="4"/>
        <v>3.9556609928452722</v>
      </c>
      <c r="AM7" s="59">
        <f t="shared" si="5"/>
        <v>297.28899432617857</v>
      </c>
      <c r="AN7" s="59">
        <f ca="1">AVERAGE(OFFSET($AM$3,0,0,'Données projet'!$E$10+1,1))-AVERAGE(OFFSET($H$3,0,0,'Données projet'!$E$10+1,1))</f>
        <v>318.09371753144256</v>
      </c>
      <c r="AO7" s="59">
        <f t="shared" si="36"/>
        <v>298.61479562586919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4.75</v>
      </c>
      <c r="BD7" s="12">
        <f>IF('Données projet'!$A$88&gt;35,BD6+BC7-BL6,IF(A7&lt;'Données projet'!$A$88,$BA$205^A7,IF(A7='Données projet'!$A$88,'Données projet'!$B$88,BD6+BC7-BL6)))</f>
        <v>2.4862495702121006</v>
      </c>
      <c r="BE7" s="13">
        <f>BD7*VLOOKUP('Données projet'!$B$11,Paramètres!$A$1:$I$89,3,0)*VLOOKUP('Données projet'!$B$11,Paramètres!$A$1:$I$89,5,0)</f>
        <v>2.0168456513560562</v>
      </c>
      <c r="BF7" s="13">
        <f t="shared" si="37"/>
        <v>0.8565659963537261</v>
      </c>
      <c r="BG7" s="20">
        <f t="shared" si="7"/>
        <v>5.00452528642787</v>
      </c>
      <c r="BH7" s="59">
        <f t="shared" si="8"/>
        <v>298.33785861976116</v>
      </c>
      <c r="BI7" s="59">
        <f ca="1">AVERAGE(OFFSET($BH$3,0,0,'Données projet'!$E$11+1,1))-AVERAGE(OFFSET($H$3,0,0,'Données projet'!$E$11+1,1))</f>
        <v>230.68538392491388</v>
      </c>
      <c r="BJ7" s="59">
        <f t="shared" si="38"/>
        <v>267.97457956620724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1.2</v>
      </c>
      <c r="BY7" s="12">
        <f>IF('Données projet'!$A$114&gt;35,BY6+BX7-CG6,IF(A7&lt;'Données projet'!$A$114,$BV$205^A7,IF(A7='Données projet'!$A$114,'Données projet'!$B$114,BY6+BX7-CG6)))</f>
        <v>1.7232147397057538</v>
      </c>
      <c r="BZ7" s="13">
        <f>BY7*VLOOKUP('Données projet'!$B$12,Paramètres!$A$1:$I$89,3,0)*VLOOKUP('Données projet'!$B$12,Paramètres!$A$1:$I$89,5,0)</f>
        <v>1.9623969455769126</v>
      </c>
      <c r="CA7" s="13">
        <f t="shared" si="39"/>
        <v>0.83610059729521113</v>
      </c>
      <c r="CB7" s="20">
        <f t="shared" si="10"/>
        <v>4.8740498871689484</v>
      </c>
      <c r="CC7" s="59">
        <f t="shared" si="11"/>
        <v>298.20738322050227</v>
      </c>
      <c r="CD7" s="59">
        <f ca="1">AVERAGE(OFFSET($CC$3,0,0,'Données projet'!$E$12+1,1))-AVERAGE(OFFSET($H$3,0,0,'Données projet'!$E$12+1,1))</f>
        <v>242.1473060698724</v>
      </c>
      <c r="CE7" s="59">
        <f t="shared" si="40"/>
        <v>96.127995920458659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>
        <f>CT7*VLOOKUP('Données projet'!$B$13,Paramètres!$A$1:$I$89,3,0)*VLOOKUP('Données projet'!$B$13,Paramètres!$A$1:$I$89,5,0)</f>
        <v>0</v>
      </c>
      <c r="CV7" s="13" t="e">
        <f t="shared" si="41"/>
        <v>#NUM!</v>
      </c>
      <c r="CW7" s="20" t="e">
        <f t="shared" si="13"/>
        <v>#NUM!</v>
      </c>
      <c r="CX7" s="59" t="e">
        <f t="shared" si="14"/>
        <v>#NUM!</v>
      </c>
      <c r="CY7" s="59">
        <f ca="1">AVERAGE(OFFSET($CX$3,0,0,'Données projet'!$E$13+1,1))-AVERAGE(OFFSET($H$3,0,0,'Données projet'!$E$13+1,1))</f>
        <v>0</v>
      </c>
      <c r="CZ7" s="59">
        <f t="shared" si="42"/>
        <v>0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>
        <f>DO7*VLOOKUP('Données projet'!$B$14,Paramètres!$A$1:$I$89,3,0)*VLOOKUP('Données projet'!$B$14,Paramètres!$A$1:$I$89,5,0)</f>
        <v>0</v>
      </c>
      <c r="DQ7" s="13" t="e">
        <f t="shared" si="43"/>
        <v>#NUM!</v>
      </c>
      <c r="DR7" s="20" t="e">
        <f t="shared" si="16"/>
        <v>#NUM!</v>
      </c>
      <c r="DS7" s="59" t="e">
        <f t="shared" si="17"/>
        <v>#NUM!</v>
      </c>
      <c r="DT7" s="59">
        <f ca="1">AVERAGE(OFFSET($DS$3,0,0,'Données projet'!$E$14+1,1))-AVERAGE(OFFSET($H$3,0,0,'Données projet'!$E$14+1,1))</f>
        <v>0</v>
      </c>
      <c r="DU7" s="59">
        <f t="shared" si="44"/>
        <v>0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11.5</v>
      </c>
      <c r="N8" s="13">
        <f>IF('Données projet'!$A$36&gt;35,N7+M8-V7,IF(A8&lt;'Données projet'!$A$36,$K$205^A8,IF(A8='Données projet'!$A$36,'Données projet'!$B$36,N7+M8-V7)))</f>
        <v>6.1397699449550585</v>
      </c>
      <c r="O8" s="13">
        <f>N8*VLOOKUP('Données projet'!$B$9,Paramètres!$A$1:$I$89,3,0)*VLOOKUP('Données projet'!$B$9,Paramètres!$A$1:$I$89,5,0)</f>
        <v>3.6715824270831252</v>
      </c>
      <c r="P8" s="13">
        <f t="shared" si="33"/>
        <v>1.454308107872897</v>
      </c>
      <c r="Q8" s="20">
        <f t="shared" si="2"/>
        <v>8.9275926817150726</v>
      </c>
      <c r="R8" s="59">
        <f t="shared" si="0"/>
        <v>302.26092601504837</v>
      </c>
      <c r="S8" s="59">
        <f ca="1">AVERAGE(OFFSET($R$3,0,0,'Données projet'!$E$9+1,1))-AVERAGE(OFFSET($H$3,0,0,'Données projet'!$E$9+1,1))</f>
        <v>212.98969326021802</v>
      </c>
      <c r="T8" s="59">
        <f t="shared" si="34"/>
        <v>422.91218020922895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6.45</v>
      </c>
      <c r="AI8" s="13">
        <f>IF('Données projet'!$A$62&gt;35,AI7+AH8-AQ7,IF(A8&lt;'Données projet'!$A$62,$AF$205^A8,IF(A8='Données projet'!$A$62,'Données projet'!$B$62,AI7+AH8-AQ7)))</f>
        <v>3.3701360049114553</v>
      </c>
      <c r="AJ8" s="13">
        <f>AI8*VLOOKUP('Données projet'!$B$10,Paramètres!$A$1:$I$89,3,0)*VLOOKUP('Données projet'!$B$10,Paramètres!$A$1:$I$89,5,0)</f>
        <v>2.0153413309370505</v>
      </c>
      <c r="AK8" s="13">
        <f t="shared" si="35"/>
        <v>0.85600144548223933</v>
      </c>
      <c r="AL8" s="20">
        <f t="shared" si="4"/>
        <v>5.0009220022635965</v>
      </c>
      <c r="AM8" s="59">
        <f t="shared" si="5"/>
        <v>298.33425533559694</v>
      </c>
      <c r="AN8" s="59">
        <f ca="1">AVERAGE(OFFSET($AM$3,0,0,'Données projet'!$E$10+1,1))-AVERAGE(OFFSET($H$3,0,0,'Données projet'!$E$10+1,1))</f>
        <v>318.09371753144256</v>
      </c>
      <c r="AO8" s="59">
        <f t="shared" si="36"/>
        <v>298.61479562586919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4.75</v>
      </c>
      <c r="BD8" s="12">
        <f>IF('Données projet'!$A$88&gt;35,BD7+BC8-BL7,IF(A8&lt;'Données projet'!$A$88,$BA$205^A8,IF(A8='Données projet'!$A$88,'Données projet'!$B$88,BD7+BC8-BL7)))</f>
        <v>3.121985641352143</v>
      </c>
      <c r="BE8" s="13">
        <f>BD8*VLOOKUP('Données projet'!$B$11,Paramètres!$A$1:$I$89,3,0)*VLOOKUP('Données projet'!$B$11,Paramètres!$A$1:$I$89,5,0)</f>
        <v>2.5325547522648586</v>
      </c>
      <c r="BF8" s="13">
        <f t="shared" si="37"/>
        <v>1.0474580983308857</v>
      </c>
      <c r="BG8" s="20">
        <f t="shared" si="7"/>
        <v>6.2351890481209198</v>
      </c>
      <c r="BH8" s="59">
        <f t="shared" si="8"/>
        <v>299.56852238145422</v>
      </c>
      <c r="BI8" s="59">
        <f ca="1">AVERAGE(OFFSET($BH$3,0,0,'Données projet'!$E$11+1,1))-AVERAGE(OFFSET($H$3,0,0,'Données projet'!$E$11+1,1))</f>
        <v>230.68538392491388</v>
      </c>
      <c r="BJ8" s="59">
        <f t="shared" si="38"/>
        <v>267.97457956620724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1.2</v>
      </c>
      <c r="BY8" s="12">
        <f>IF('Données projet'!$A$114&gt;35,BY7+BX8-CG7,IF(A8&lt;'Données projet'!$A$114,$BV$205^A8,IF(A8='Données projet'!$A$114,'Données projet'!$B$114,BY7+BX8-CG7)))</f>
        <v>1.9743504858348202</v>
      </c>
      <c r="BZ8" s="13">
        <f>BY8*VLOOKUP('Données projet'!$B$12,Paramètres!$A$1:$I$89,3,0)*VLOOKUP('Données projet'!$B$12,Paramètres!$A$1:$I$89,5,0)</f>
        <v>2.2483903332686932</v>
      </c>
      <c r="CA8" s="13">
        <f t="shared" si="39"/>
        <v>0.94290058961827439</v>
      </c>
      <c r="CB8" s="20">
        <f t="shared" si="10"/>
        <v>5.5581650240281348</v>
      </c>
      <c r="CC8" s="59">
        <f t="shared" si="11"/>
        <v>298.89149835736146</v>
      </c>
      <c r="CD8" s="59">
        <f ca="1">AVERAGE(OFFSET($CC$3,0,0,'Données projet'!$E$12+1,1))-AVERAGE(OFFSET($H$3,0,0,'Données projet'!$E$12+1,1))</f>
        <v>242.1473060698724</v>
      </c>
      <c r="CE8" s="59">
        <f t="shared" si="40"/>
        <v>96.127995920458659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>
        <f>CT8*VLOOKUP('Données projet'!$B$13,Paramètres!$A$1:$I$89,3,0)*VLOOKUP('Données projet'!$B$13,Paramètres!$A$1:$I$89,5,0)</f>
        <v>0</v>
      </c>
      <c r="CV8" s="13" t="e">
        <f t="shared" si="41"/>
        <v>#NUM!</v>
      </c>
      <c r="CW8" s="20" t="e">
        <f t="shared" si="13"/>
        <v>#NUM!</v>
      </c>
      <c r="CX8" s="59" t="e">
        <f t="shared" si="14"/>
        <v>#NUM!</v>
      </c>
      <c r="CY8" s="59">
        <f ca="1">AVERAGE(OFFSET($CX$3,0,0,'Données projet'!$E$13+1,1))-AVERAGE(OFFSET($H$3,0,0,'Données projet'!$E$13+1,1))</f>
        <v>0</v>
      </c>
      <c r="CZ8" s="59">
        <f t="shared" si="42"/>
        <v>0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>
        <f>DO8*VLOOKUP('Données projet'!$B$14,Paramètres!$A$1:$I$89,3,0)*VLOOKUP('Données projet'!$B$14,Paramètres!$A$1:$I$89,5,0)</f>
        <v>0</v>
      </c>
      <c r="DQ8" s="13" t="e">
        <f t="shared" si="43"/>
        <v>#NUM!</v>
      </c>
      <c r="DR8" s="20" t="e">
        <f t="shared" si="16"/>
        <v>#NUM!</v>
      </c>
      <c r="DS8" s="59" t="e">
        <f t="shared" si="17"/>
        <v>#NUM!</v>
      </c>
      <c r="DT8" s="59">
        <f ca="1">AVERAGE(OFFSET($DS$3,0,0,'Données projet'!$E$14+1,1))-AVERAGE(OFFSET($H$3,0,0,'Données projet'!$E$14+1,1))</f>
        <v>0</v>
      </c>
      <c r="DU8" s="59">
        <f t="shared" si="44"/>
        <v>0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11.5</v>
      </c>
      <c r="N9" s="13">
        <f>IF('Données projet'!$A$36&gt;35,N8+M9-V8,IF(A9&lt;'Données projet'!$A$36,$K$205^A9,IF(A9='Données projet'!$A$36,'Données projet'!$B$36,N8+M9-V8)))</f>
        <v>8.8263779109600655</v>
      </c>
      <c r="O9" s="13">
        <f>N9*VLOOKUP('Données projet'!$B$9,Paramètres!$A$1:$I$89,3,0)*VLOOKUP('Données projet'!$B$9,Paramètres!$A$1:$I$89,5,0)</f>
        <v>5.2781739907541194</v>
      </c>
      <c r="P9" s="13">
        <f t="shared" si="33"/>
        <v>2.0041889540199458</v>
      </c>
      <c r="Q9" s="20">
        <f t="shared" si="2"/>
        <v>12.683448795481496</v>
      </c>
      <c r="R9" s="59">
        <f t="shared" si="0"/>
        <v>306.01678212881484</v>
      </c>
      <c r="S9" s="59">
        <f ca="1">AVERAGE(OFFSET($R$3,0,0,'Données projet'!$E$9+1,1))-AVERAGE(OFFSET($H$3,0,0,'Données projet'!$E$9+1,1))</f>
        <v>212.98969326021802</v>
      </c>
      <c r="T9" s="59">
        <f t="shared" si="34"/>
        <v>422.91218020922895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6.45</v>
      </c>
      <c r="AI9" s="13">
        <f>IF('Données projet'!$A$62&gt;35,AI8+AH9-AQ8,IF(A9&lt;'Données projet'!$A$62,$AF$205^A9,IF(A9='Données projet'!$A$62,'Données projet'!$B$62,AI8+AH9-AQ8)))</f>
        <v>4.2971143726898138</v>
      </c>
      <c r="AJ9" s="13">
        <f>AI9*VLOOKUP('Données projet'!$B$10,Paramètres!$A$1:$I$89,3,0)*VLOOKUP('Données projet'!$B$10,Paramètres!$A$1:$I$89,5,0)</f>
        <v>2.5696743948685086</v>
      </c>
      <c r="AK9" s="13">
        <f t="shared" si="35"/>
        <v>1.0610121359980234</v>
      </c>
      <c r="AL9" s="20">
        <f t="shared" si="4"/>
        <v>6.3234457079258766</v>
      </c>
      <c r="AM9" s="59">
        <f t="shared" si="5"/>
        <v>299.6567790412592</v>
      </c>
      <c r="AN9" s="59">
        <f ca="1">AVERAGE(OFFSET($AM$3,0,0,'Données projet'!$E$10+1,1))-AVERAGE(OFFSET($H$3,0,0,'Données projet'!$E$10+1,1))</f>
        <v>318.09371753144256</v>
      </c>
      <c r="AO9" s="59">
        <f t="shared" si="36"/>
        <v>298.61479562586919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4.75</v>
      </c>
      <c r="BD9" s="12">
        <f>IF('Données projet'!$A$88&gt;35,BD8+BC9-BL8,IF(A9&lt;'Données projet'!$A$88,$BA$205^A9,IF(A9='Données projet'!$A$88,'Données projet'!$B$88,BD8+BC9-BL8)))</f>
        <v>3.920279951613006</v>
      </c>
      <c r="BE9" s="13">
        <f>BD9*VLOOKUP('Données projet'!$B$11,Paramètres!$A$1:$I$89,3,0)*VLOOKUP('Données projet'!$B$11,Paramètres!$A$1:$I$89,5,0)</f>
        <v>3.1801310967484708</v>
      </c>
      <c r="BF9" s="13">
        <f t="shared" si="37"/>
        <v>1.2808919247663788</v>
      </c>
      <c r="BG9" s="20">
        <f t="shared" si="7"/>
        <v>7.7696150958050287</v>
      </c>
      <c r="BH9" s="59">
        <f t="shared" si="8"/>
        <v>301.10294842913834</v>
      </c>
      <c r="BI9" s="59">
        <f ca="1">AVERAGE(OFFSET($BH$3,0,0,'Données projet'!$E$11+1,1))-AVERAGE(OFFSET($H$3,0,0,'Données projet'!$E$11+1,1))</f>
        <v>230.68538392491388</v>
      </c>
      <c r="BJ9" s="59">
        <f t="shared" si="38"/>
        <v>267.97457956620724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1.2</v>
      </c>
      <c r="BY9" s="12">
        <f>IF('Données projet'!$A$114&gt;35,BY8+BX9-CG8,IF(A9&lt;'Données projet'!$A$114,$BV$205^A9,IF(A9='Données projet'!$A$114,'Données projet'!$B$114,BY8+BX9-CG8)))</f>
        <v>2.2620859438457455</v>
      </c>
      <c r="BZ9" s="13">
        <f>BY9*VLOOKUP('Données projet'!$B$12,Paramètres!$A$1:$I$89,3,0)*VLOOKUP('Données projet'!$B$12,Paramètres!$A$1:$I$89,5,0)</f>
        <v>2.5760634728515348</v>
      </c>
      <c r="CA9" s="13">
        <f t="shared" si="39"/>
        <v>1.0633427661439394</v>
      </c>
      <c r="CB9" s="20">
        <f t="shared" si="10"/>
        <v>6.3386325329171171</v>
      </c>
      <c r="CC9" s="59">
        <f t="shared" si="11"/>
        <v>299.67196586625045</v>
      </c>
      <c r="CD9" s="59">
        <f ca="1">AVERAGE(OFFSET($CC$3,0,0,'Données projet'!$E$12+1,1))-AVERAGE(OFFSET($H$3,0,0,'Données projet'!$E$12+1,1))</f>
        <v>242.1473060698724</v>
      </c>
      <c r="CE9" s="59">
        <f t="shared" si="40"/>
        <v>96.127995920458659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>
        <f>CT9*VLOOKUP('Données projet'!$B$13,Paramètres!$A$1:$I$89,3,0)*VLOOKUP('Données projet'!$B$13,Paramètres!$A$1:$I$89,5,0)</f>
        <v>0</v>
      </c>
      <c r="CV9" s="13" t="e">
        <f t="shared" si="41"/>
        <v>#NUM!</v>
      </c>
      <c r="CW9" s="20" t="e">
        <f t="shared" si="13"/>
        <v>#NUM!</v>
      </c>
      <c r="CX9" s="59" t="e">
        <f t="shared" si="14"/>
        <v>#NUM!</v>
      </c>
      <c r="CY9" s="59">
        <f ca="1">AVERAGE(OFFSET($CX$3,0,0,'Données projet'!$E$13+1,1))-AVERAGE(OFFSET($H$3,0,0,'Données projet'!$E$13+1,1))</f>
        <v>0</v>
      </c>
      <c r="CZ9" s="59">
        <f t="shared" si="42"/>
        <v>0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>
        <f>DO9*VLOOKUP('Données projet'!$B$14,Paramètres!$A$1:$I$89,3,0)*VLOOKUP('Données projet'!$B$14,Paramètres!$A$1:$I$89,5,0)</f>
        <v>0</v>
      </c>
      <c r="DQ9" s="13" t="e">
        <f t="shared" si="43"/>
        <v>#NUM!</v>
      </c>
      <c r="DR9" s="20" t="e">
        <f t="shared" si="16"/>
        <v>#NUM!</v>
      </c>
      <c r="DS9" s="59" t="e">
        <f t="shared" si="17"/>
        <v>#NUM!</v>
      </c>
      <c r="DT9" s="59">
        <f ca="1">AVERAGE(OFFSET($DS$3,0,0,'Données projet'!$E$14+1,1))-AVERAGE(OFFSET($H$3,0,0,'Données projet'!$E$14+1,1))</f>
        <v>0</v>
      </c>
      <c r="DU9" s="59">
        <f t="shared" si="44"/>
        <v>0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11.5</v>
      </c>
      <c r="N10" s="13">
        <f>IF('Données projet'!$A$36&gt;35,N9+M10-V9,IF(A10&lt;'Données projet'!$A$36,$K$205^A10,IF(A10='Données projet'!$A$36,'Données projet'!$B$36,N9+M10-V9)))</f>
        <v>12.688577540449524</v>
      </c>
      <c r="O10" s="13">
        <f>N10*VLOOKUP('Données projet'!$B$9,Paramètres!$A$1:$I$89,3,0)*VLOOKUP('Données projet'!$B$9,Paramètres!$A$1:$I$89,5,0)</f>
        <v>7.5877693691888153</v>
      </c>
      <c r="P10" s="13">
        <f t="shared" si="33"/>
        <v>2.7619823761352635</v>
      </c>
      <c r="Q10" s="20">
        <f t="shared" si="2"/>
        <v>18.025817623106104</v>
      </c>
      <c r="R10" s="59">
        <f t="shared" si="0"/>
        <v>311.35915095643941</v>
      </c>
      <c r="S10" s="59">
        <f ca="1">AVERAGE(OFFSET($R$3,0,0,'Données projet'!$E$9+1,1))-AVERAGE(OFFSET($H$3,0,0,'Données projet'!$E$9+1,1))</f>
        <v>212.98969326021802</v>
      </c>
      <c r="T10" s="59">
        <f t="shared" si="34"/>
        <v>422.91218020922895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6.45</v>
      </c>
      <c r="AI10" s="13">
        <f>IF('Données projet'!$A$62&gt;35,AI9+AH10-AQ9,IF(A10&lt;'Données projet'!$A$62,$AF$205^A10,IF(A10='Données projet'!$A$62,'Données projet'!$B$62,AI9+AH10-AQ9)))</f>
        <v>5.4790643181958227</v>
      </c>
      <c r="AJ10" s="13">
        <f>AI10*VLOOKUP('Données projet'!$B$10,Paramètres!$A$1:$I$89,3,0)*VLOOKUP('Données projet'!$B$10,Paramètres!$A$1:$I$89,5,0)</f>
        <v>3.2764804622811021</v>
      </c>
      <c r="AK10" s="13">
        <f t="shared" si="35"/>
        <v>1.3151224903608483</v>
      </c>
      <c r="AL10" s="20">
        <f t="shared" si="4"/>
        <v>7.9970418091847293</v>
      </c>
      <c r="AM10" s="59">
        <f t="shared" si="5"/>
        <v>301.33037514251805</v>
      </c>
      <c r="AN10" s="59">
        <f ca="1">AVERAGE(OFFSET($AM$3,0,0,'Données projet'!$E$10+1,1))-AVERAGE(OFFSET($H$3,0,0,'Données projet'!$E$10+1,1))</f>
        <v>318.09371753144256</v>
      </c>
      <c r="AO10" s="59">
        <f t="shared" si="36"/>
        <v>298.61479562586919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4.75</v>
      </c>
      <c r="BD10" s="12">
        <f>IF('Données projet'!$A$88&gt;35,BD9+BC10-BL9,IF(A10&lt;'Données projet'!$A$88,$BA$205^A10,IF(A10='Données projet'!$A$88,'Données projet'!$B$88,BD9+BC10-BL9)))</f>
        <v>4.9226987771675601</v>
      </c>
      <c r="BE10" s="13">
        <f>BD10*VLOOKUP('Données projet'!$B$11,Paramètres!$A$1:$I$89,3,0)*VLOOKUP('Données projet'!$B$11,Paramètres!$A$1:$I$89,5,0)</f>
        <v>3.993293248038325</v>
      </c>
      <c r="BF10" s="13">
        <f t="shared" si="37"/>
        <v>1.566348215309169</v>
      </c>
      <c r="BG10" s="20">
        <f t="shared" si="7"/>
        <v>9.683042215330218</v>
      </c>
      <c r="BH10" s="59">
        <f t="shared" si="8"/>
        <v>303.01637554866352</v>
      </c>
      <c r="BI10" s="59">
        <f ca="1">AVERAGE(OFFSET($BH$3,0,0,'Données projet'!$E$11+1,1))-AVERAGE(OFFSET($H$3,0,0,'Données projet'!$E$11+1,1))</f>
        <v>230.68538392491388</v>
      </c>
      <c r="BJ10" s="59">
        <f t="shared" si="38"/>
        <v>267.97457956620724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1.2</v>
      </c>
      <c r="BY10" s="12">
        <f>IF('Données projet'!$A$114&gt;35,BY9+BX10-CG9,IF(A10&lt;'Données projet'!$A$114,$BV$205^A10,IF(A10='Données projet'!$A$114,'Données projet'!$B$114,BY9+BX10-CG9)))</f>
        <v>2.5917550374450604</v>
      </c>
      <c r="BZ10" s="13">
        <f>BY10*VLOOKUP('Données projet'!$B$12,Paramètres!$A$1:$I$89,3,0)*VLOOKUP('Données projet'!$B$12,Paramètres!$A$1:$I$89,5,0)</f>
        <v>2.9514906366424349</v>
      </c>
      <c r="CA10" s="13">
        <f t="shared" si="39"/>
        <v>1.1991697224077444</v>
      </c>
      <c r="CB10" s="20">
        <f t="shared" si="10"/>
        <v>7.2290667920123957</v>
      </c>
      <c r="CC10" s="59">
        <f t="shared" si="11"/>
        <v>300.56240012534573</v>
      </c>
      <c r="CD10" s="59">
        <f ca="1">AVERAGE(OFFSET($CC$3,0,0,'Données projet'!$E$12+1,1))-AVERAGE(OFFSET($H$3,0,0,'Données projet'!$E$12+1,1))</f>
        <v>242.1473060698724</v>
      </c>
      <c r="CE10" s="59">
        <f t="shared" si="40"/>
        <v>96.127995920458659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>
        <f>CT10*VLOOKUP('Données projet'!$B$13,Paramètres!$A$1:$I$89,3,0)*VLOOKUP('Données projet'!$B$13,Paramètres!$A$1:$I$89,5,0)</f>
        <v>0</v>
      </c>
      <c r="CV10" s="13" t="e">
        <f t="shared" si="41"/>
        <v>#NUM!</v>
      </c>
      <c r="CW10" s="20" t="e">
        <f t="shared" si="13"/>
        <v>#NUM!</v>
      </c>
      <c r="CX10" s="59" t="e">
        <f t="shared" si="14"/>
        <v>#NUM!</v>
      </c>
      <c r="CY10" s="59">
        <f ca="1">AVERAGE(OFFSET($CX$3,0,0,'Données projet'!$E$13+1,1))-AVERAGE(OFFSET($H$3,0,0,'Données projet'!$E$13+1,1))</f>
        <v>0</v>
      </c>
      <c r="CZ10" s="59">
        <f t="shared" si="42"/>
        <v>0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>
        <f>DO10*VLOOKUP('Données projet'!$B$14,Paramètres!$A$1:$I$89,3,0)*VLOOKUP('Données projet'!$B$14,Paramètres!$A$1:$I$89,5,0)</f>
        <v>0</v>
      </c>
      <c r="DQ10" s="13" t="e">
        <f t="shared" si="43"/>
        <v>#NUM!</v>
      </c>
      <c r="DR10" s="20" t="e">
        <f t="shared" si="16"/>
        <v>#NUM!</v>
      </c>
      <c r="DS10" s="59" t="e">
        <f t="shared" si="17"/>
        <v>#NUM!</v>
      </c>
      <c r="DT10" s="59">
        <f ca="1">AVERAGE(OFFSET($DS$3,0,0,'Données projet'!$E$14+1,1))-AVERAGE(OFFSET($H$3,0,0,'Données projet'!$E$14+1,1))</f>
        <v>0</v>
      </c>
      <c r="DU10" s="59">
        <f t="shared" si="44"/>
        <v>0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11.5</v>
      </c>
      <c r="N11" s="13">
        <f>IF('Données projet'!$A$36&gt;35,N10+M11-V10,IF(A11&lt;'Données projet'!$A$36,$K$205^A11,IF(A11='Données projet'!$A$36,'Données projet'!$B$36,N10+M11-V10)))</f>
        <v>18.240777997969012</v>
      </c>
      <c r="O11" s="13">
        <f>N11*VLOOKUP('Données projet'!$B$9,Paramètres!$A$1:$I$89,3,0)*VLOOKUP('Données projet'!$B$9,Paramètres!$A$1:$I$89,5,0)</f>
        <v>10.90798524278547</v>
      </c>
      <c r="P11" s="13">
        <f t="shared" si="33"/>
        <v>3.8063011128669646</v>
      </c>
      <c r="Q11" s="20">
        <f t="shared" si="2"/>
        <v>25.627382069427991</v>
      </c>
      <c r="R11" s="59">
        <f t="shared" si="0"/>
        <v>318.96071540276131</v>
      </c>
      <c r="S11" s="59">
        <f ca="1">AVERAGE(OFFSET($R$3,0,0,'Données projet'!$E$9+1,1))-AVERAGE(OFFSET($H$3,0,0,'Données projet'!$E$9+1,1))</f>
        <v>212.98969326021802</v>
      </c>
      <c r="T11" s="59">
        <f t="shared" si="34"/>
        <v>422.91218020922895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6.45</v>
      </c>
      <c r="AI11" s="13">
        <f>IF('Données projet'!$A$62&gt;35,AI10+AH11-AQ10,IF(A11&lt;'Données projet'!$A$62,$AF$205^A11,IF(A11='Données projet'!$A$62,'Données projet'!$B$62,AI10+AH11-AQ10)))</f>
        <v>6.9861174730928317</v>
      </c>
      <c r="AJ11" s="13">
        <f>AI11*VLOOKUP('Données projet'!$B$10,Paramètres!$A$1:$I$89,3,0)*VLOOKUP('Données projet'!$B$10,Paramètres!$A$1:$I$89,5,0)</f>
        <v>4.1776982489095138</v>
      </c>
      <c r="AK11" s="13">
        <f t="shared" si="35"/>
        <v>1.6300917830935544</v>
      </c>
      <c r="AL11" s="20">
        <f t="shared" si="4"/>
        <v>10.115234305738676</v>
      </c>
      <c r="AM11" s="59">
        <f t="shared" si="5"/>
        <v>303.448567639072</v>
      </c>
      <c r="AN11" s="59">
        <f ca="1">AVERAGE(OFFSET($AM$3,0,0,'Données projet'!$E$10+1,1))-AVERAGE(OFFSET($H$3,0,0,'Données projet'!$E$10+1,1))</f>
        <v>318.09371753144256</v>
      </c>
      <c r="AO11" s="59">
        <f t="shared" si="36"/>
        <v>298.61479562586919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4.75</v>
      </c>
      <c r="BD11" s="12">
        <f>IF('Données projet'!$A$88&gt;35,BD10+BC11-BL10,IF(A11&lt;'Données projet'!$A$88,$BA$205^A11,IF(A11='Données projet'!$A$88,'Données projet'!$B$88,BD10+BC11-BL10)))</f>
        <v>6.1814369253798551</v>
      </c>
      <c r="BE11" s="13">
        <f>BD11*VLOOKUP('Données projet'!$B$11,Paramètres!$A$1:$I$89,3,0)*VLOOKUP('Données projet'!$B$11,Paramètres!$A$1:$I$89,5,0)</f>
        <v>5.0143816338681386</v>
      </c>
      <c r="BF11" s="13">
        <f t="shared" si="37"/>
        <v>1.9154205629407037</v>
      </c>
      <c r="BG11" s="20">
        <f t="shared" si="7"/>
        <v>12.069405492775401</v>
      </c>
      <c r="BH11" s="59">
        <f t="shared" si="8"/>
        <v>305.4027388261087</v>
      </c>
      <c r="BI11" s="59">
        <f ca="1">AVERAGE(OFFSET($BH$3,0,0,'Données projet'!$E$11+1,1))-AVERAGE(OFFSET($H$3,0,0,'Données projet'!$E$11+1,1))</f>
        <v>230.68538392491388</v>
      </c>
      <c r="BJ11" s="59">
        <f t="shared" si="38"/>
        <v>267.97457956620724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1.2</v>
      </c>
      <c r="BY11" s="12">
        <f>IF('Données projet'!$A$114&gt;35,BY10+BX11-CG10,IF(A11&lt;'Données projet'!$A$114,$BV$205^A11,IF(A11='Données projet'!$A$114,'Données projet'!$B$114,BY10+BX11-CG10)))</f>
        <v>2.9694690391391689</v>
      </c>
      <c r="BZ11" s="13">
        <f>BY11*VLOOKUP('Données projet'!$B$12,Paramètres!$A$1:$I$89,3,0)*VLOOKUP('Données projet'!$B$12,Paramètres!$A$1:$I$89,5,0)</f>
        <v>3.3816313417716857</v>
      </c>
      <c r="CA11" s="13">
        <f t="shared" si="39"/>
        <v>1.3523466458084794</v>
      </c>
      <c r="CB11" s="20">
        <f t="shared" si="10"/>
        <v>8.2450116617021205</v>
      </c>
      <c r="CC11" s="59">
        <f t="shared" si="11"/>
        <v>301.57834499503542</v>
      </c>
      <c r="CD11" s="59">
        <f ca="1">AVERAGE(OFFSET($CC$3,0,0,'Données projet'!$E$12+1,1))-AVERAGE(OFFSET($H$3,0,0,'Données projet'!$E$12+1,1))</f>
        <v>242.1473060698724</v>
      </c>
      <c r="CE11" s="59">
        <f t="shared" si="40"/>
        <v>96.127995920458659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>
        <f>CT11*VLOOKUP('Données projet'!$B$13,Paramètres!$A$1:$I$89,3,0)*VLOOKUP('Données projet'!$B$13,Paramètres!$A$1:$I$89,5,0)</f>
        <v>0</v>
      </c>
      <c r="CV11" s="13" t="e">
        <f t="shared" si="41"/>
        <v>#NUM!</v>
      </c>
      <c r="CW11" s="20" t="e">
        <f t="shared" si="13"/>
        <v>#NUM!</v>
      </c>
      <c r="CX11" s="59" t="e">
        <f t="shared" si="14"/>
        <v>#NUM!</v>
      </c>
      <c r="CY11" s="59">
        <f ca="1">AVERAGE(OFFSET($CX$3,0,0,'Données projet'!$E$13+1,1))-AVERAGE(OFFSET($H$3,0,0,'Données projet'!$E$13+1,1))</f>
        <v>0</v>
      </c>
      <c r="CZ11" s="59">
        <f t="shared" si="42"/>
        <v>0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>
        <f>DO11*VLOOKUP('Données projet'!$B$14,Paramètres!$A$1:$I$89,3,0)*VLOOKUP('Données projet'!$B$14,Paramètres!$A$1:$I$89,5,0)</f>
        <v>0</v>
      </c>
      <c r="DQ11" s="13" t="e">
        <f t="shared" si="43"/>
        <v>#NUM!</v>
      </c>
      <c r="DR11" s="20" t="e">
        <f t="shared" si="16"/>
        <v>#NUM!</v>
      </c>
      <c r="DS11" s="59" t="e">
        <f t="shared" si="17"/>
        <v>#NUM!</v>
      </c>
      <c r="DT11" s="59">
        <f ca="1">AVERAGE(OFFSET($DS$3,0,0,'Données projet'!$E$14+1,1))-AVERAGE(OFFSET($H$3,0,0,'Données projet'!$E$14+1,1))</f>
        <v>0</v>
      </c>
      <c r="DU11" s="59">
        <f t="shared" si="44"/>
        <v>0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11.5</v>
      </c>
      <c r="N12" s="13">
        <f>IF('Données projet'!$A$36&gt;35,N11+M12-V11,IF(A12&lt;'Données projet'!$A$36,$K$205^A12,IF(A12='Données projet'!$A$36,'Données projet'!$B$36,N11+M12-V11)))</f>
        <v>26.222480881761854</v>
      </c>
      <c r="O12" s="13">
        <f>N12*VLOOKUP('Données projet'!$B$9,Paramètres!$A$1:$I$89,3,0)*VLOOKUP('Données projet'!$B$9,Paramètres!$A$1:$I$89,5,0)</f>
        <v>15.681043567293589</v>
      </c>
      <c r="P12" s="13">
        <f t="shared" si="33"/>
        <v>5.2454817550590969</v>
      </c>
      <c r="Q12" s="20">
        <f t="shared" si="2"/>
        <v>36.447031603097592</v>
      </c>
      <c r="R12" s="59">
        <f t="shared" si="0"/>
        <v>329.78036493643089</v>
      </c>
      <c r="S12" s="59">
        <f ca="1">AVERAGE(OFFSET($R$3,0,0,'Données projet'!$E$9+1,1))-AVERAGE(OFFSET($H$3,0,0,'Données projet'!$E$9+1,1))</f>
        <v>212.98969326021802</v>
      </c>
      <c r="T12" s="59">
        <f t="shared" si="34"/>
        <v>422.91218020922895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6.45</v>
      </c>
      <c r="AI12" s="13">
        <f>IF('Données projet'!$A$62&gt;35,AI11+AH12-AQ11,IF(A12&lt;'Données projet'!$A$62,$AF$205^A12,IF(A12='Données projet'!$A$62,'Données projet'!$B$62,AI11+AH12-AQ11)))</f>
        <v>8.9076956417120581</v>
      </c>
      <c r="AJ12" s="13">
        <f>AI12*VLOOKUP('Données projet'!$B$10,Paramètres!$A$1:$I$89,3,0)*VLOOKUP('Données projet'!$B$10,Paramètres!$A$1:$I$89,5,0)</f>
        <v>5.3268019937438114</v>
      </c>
      <c r="AK12" s="13">
        <f t="shared" si="35"/>
        <v>2.0204956122224269</v>
      </c>
      <c r="AL12" s="20">
        <f t="shared" si="4"/>
        <v>12.796543330391197</v>
      </c>
      <c r="AM12" s="59">
        <f t="shared" si="5"/>
        <v>306.12987666372453</v>
      </c>
      <c r="AN12" s="59">
        <f ca="1">AVERAGE(OFFSET($AM$3,0,0,'Données projet'!$E$10+1,1))-AVERAGE(OFFSET($H$3,0,0,'Données projet'!$E$10+1,1))</f>
        <v>318.09371753144256</v>
      </c>
      <c r="AO12" s="59">
        <f t="shared" si="36"/>
        <v>298.61479562586919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4.75</v>
      </c>
      <c r="BD12" s="12">
        <f>IF('Données projet'!$A$88&gt;35,BD11+BC12-BL11,IF(A12&lt;'Données projet'!$A$88,$BA$205^A12,IF(A12='Données projet'!$A$88,'Données projet'!$B$88,BD11+BC12-BL11)))</f>
        <v>7.7620354590201153</v>
      </c>
      <c r="BE12" s="13">
        <f>BD12*VLOOKUP('Données projet'!$B$11,Paramètres!$A$1:$I$89,3,0)*VLOOKUP('Données projet'!$B$11,Paramètres!$A$1:$I$89,5,0)</f>
        <v>6.296563164357118</v>
      </c>
      <c r="BF12" s="13">
        <f t="shared" si="37"/>
        <v>2.3422862790518897</v>
      </c>
      <c r="BG12" s="20">
        <f t="shared" si="7"/>
        <v>15.045996113937354</v>
      </c>
      <c r="BH12" s="59">
        <f t="shared" si="8"/>
        <v>308.37932944727066</v>
      </c>
      <c r="BI12" s="59">
        <f ca="1">AVERAGE(OFFSET($BH$3,0,0,'Données projet'!$E$11+1,1))-AVERAGE(OFFSET($H$3,0,0,'Données projet'!$E$11+1,1))</f>
        <v>230.68538392491388</v>
      </c>
      <c r="BJ12" s="59">
        <f t="shared" si="38"/>
        <v>267.97457956620724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1.2</v>
      </c>
      <c r="BY12" s="12">
        <f>IF('Données projet'!$A$114&gt;35,BY11+BX12-CG11,IF(A12&lt;'Données projet'!$A$114,$BV$205^A12,IF(A12='Données projet'!$A$114,'Données projet'!$B$114,BY11+BX12-CG11)))</f>
        <v>3.4022298585357786</v>
      </c>
      <c r="BZ12" s="13">
        <f>BY12*VLOOKUP('Données projet'!$B$12,Paramètres!$A$1:$I$89,3,0)*VLOOKUP('Données projet'!$B$12,Paramètres!$A$1:$I$89,5,0)</f>
        <v>3.8744593629005446</v>
      </c>
      <c r="CA12" s="13">
        <f t="shared" si="39"/>
        <v>1.5250897485615453</v>
      </c>
      <c r="CB12" s="20">
        <f t="shared" si="10"/>
        <v>9.4042147024631397</v>
      </c>
      <c r="CC12" s="59">
        <f t="shared" si="11"/>
        <v>302.73754803579646</v>
      </c>
      <c r="CD12" s="59">
        <f ca="1">AVERAGE(OFFSET($CC$3,0,0,'Données projet'!$E$12+1,1))-AVERAGE(OFFSET($H$3,0,0,'Données projet'!$E$12+1,1))</f>
        <v>242.1473060698724</v>
      </c>
      <c r="CE12" s="59">
        <f t="shared" si="40"/>
        <v>96.127995920458659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>
        <f>CT12*VLOOKUP('Données projet'!$B$13,Paramètres!$A$1:$I$89,3,0)*VLOOKUP('Données projet'!$B$13,Paramètres!$A$1:$I$89,5,0)</f>
        <v>0</v>
      </c>
      <c r="CV12" s="13" t="e">
        <f t="shared" si="41"/>
        <v>#NUM!</v>
      </c>
      <c r="CW12" s="20" t="e">
        <f t="shared" si="13"/>
        <v>#NUM!</v>
      </c>
      <c r="CX12" s="59" t="e">
        <f t="shared" si="14"/>
        <v>#NUM!</v>
      </c>
      <c r="CY12" s="59">
        <f ca="1">AVERAGE(OFFSET($CX$3,0,0,'Données projet'!$E$13+1,1))-AVERAGE(OFFSET($H$3,0,0,'Données projet'!$E$13+1,1))</f>
        <v>0</v>
      </c>
      <c r="CZ12" s="59">
        <f t="shared" si="42"/>
        <v>0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>
        <f>DO12*VLOOKUP('Données projet'!$B$14,Paramètres!$A$1:$I$89,3,0)*VLOOKUP('Données projet'!$B$14,Paramètres!$A$1:$I$89,5,0)</f>
        <v>0</v>
      </c>
      <c r="DQ12" s="13" t="e">
        <f t="shared" si="43"/>
        <v>#NUM!</v>
      </c>
      <c r="DR12" s="20" t="e">
        <f t="shared" si="16"/>
        <v>#NUM!</v>
      </c>
      <c r="DS12" s="59" t="e">
        <f t="shared" si="17"/>
        <v>#NUM!</v>
      </c>
      <c r="DT12" s="59">
        <f ca="1">AVERAGE(OFFSET($DS$3,0,0,'Données projet'!$E$14+1,1))-AVERAGE(OFFSET($H$3,0,0,'Données projet'!$E$14+1,1))</f>
        <v>0</v>
      </c>
      <c r="DU12" s="59">
        <f t="shared" si="44"/>
        <v>0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11.5</v>
      </c>
      <c r="N13" s="13">
        <f>IF('Données projet'!$A$36&gt;35,N12+M13-V12,IF(A13&lt;'Données projet'!$A$36,$K$205^A13,IF(A13='Données projet'!$A$36,'Données projet'!$B$36,N12+M13-V12)))</f>
        <v>37.696774976973437</v>
      </c>
      <c r="O13" s="13">
        <f>N13*VLOOKUP('Données projet'!$B$9,Paramètres!$A$1:$I$89,3,0)*VLOOKUP('Données projet'!$B$9,Paramètres!$A$1:$I$89,5,0)</f>
        <v>22.542671436230119</v>
      </c>
      <c r="P13" s="13">
        <f t="shared" si="33"/>
        <v>7.2288234763258323</v>
      </c>
      <c r="Q13" s="20">
        <f t="shared" si="2"/>
        <v>51.852020306034944</v>
      </c>
      <c r="R13" s="59">
        <f t="shared" si="0"/>
        <v>345.18535363936826</v>
      </c>
      <c r="S13" s="59">
        <f ca="1">AVERAGE(OFFSET($R$3,0,0,'Données projet'!$E$9+1,1))-AVERAGE(OFFSET($H$3,0,0,'Données projet'!$E$9+1,1))</f>
        <v>212.98969326021802</v>
      </c>
      <c r="T13" s="59">
        <f t="shared" si="34"/>
        <v>422.91218020922895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6.45</v>
      </c>
      <c r="AI13" s="13">
        <f>IF('Données projet'!$A$62&gt;35,AI12+AH13-AQ12,IF(A13&lt;'Données projet'!$A$62,$AF$205^A13,IF(A13='Données projet'!$A$62,'Données projet'!$B$62,AI12+AH13-AQ12)))</f>
        <v>11.357816691600544</v>
      </c>
      <c r="AJ13" s="13">
        <f>AI13*VLOOKUP('Données projet'!$B$10,Paramètres!$A$1:$I$89,3,0)*VLOOKUP('Données projet'!$B$10,Paramètres!$A$1:$I$89,5,0)</f>
        <v>6.7919743815771252</v>
      </c>
      <c r="AK13" s="13">
        <f t="shared" si="35"/>
        <v>2.5044004033089347</v>
      </c>
      <c r="AL13" s="20">
        <f t="shared" si="4"/>
        <v>16.191186083676552</v>
      </c>
      <c r="AM13" s="59">
        <f t="shared" si="5"/>
        <v>309.52451941700986</v>
      </c>
      <c r="AN13" s="59">
        <f ca="1">AVERAGE(OFFSET($AM$3,0,0,'Données projet'!$E$10+1,1))-AVERAGE(OFFSET($H$3,0,0,'Données projet'!$E$10+1,1))</f>
        <v>318.09371753144256</v>
      </c>
      <c r="AO13" s="59">
        <f t="shared" si="36"/>
        <v>298.61479562586919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4.75</v>
      </c>
      <c r="BD13" s="12">
        <f>IF('Données projet'!$A$88&gt;35,BD12+BC13-BL12,IF(A13&lt;'Données projet'!$A$88,$BA$205^A13,IF(A13='Données projet'!$A$88,'Données projet'!$B$88,BD12+BC13-BL12)))</f>
        <v>9.7467943448089507</v>
      </c>
      <c r="BE13" s="13">
        <f>BD13*VLOOKUP('Données projet'!$B$11,Paramètres!$A$1:$I$89,3,0)*VLOOKUP('Données projet'!$B$11,Paramètres!$A$1:$I$89,5,0)</f>
        <v>7.9065995725090206</v>
      </c>
      <c r="BF13" s="13">
        <f t="shared" si="37"/>
        <v>2.8642821943039705</v>
      </c>
      <c r="BG13" s="20">
        <f t="shared" si="7"/>
        <v>18.759285743865959</v>
      </c>
      <c r="BH13" s="59">
        <f t="shared" si="8"/>
        <v>312.09261907719929</v>
      </c>
      <c r="BI13" s="59">
        <f ca="1">AVERAGE(OFFSET($BH$3,0,0,'Données projet'!$E$11+1,1))-AVERAGE(OFFSET($H$3,0,0,'Données projet'!$E$11+1,1))</f>
        <v>230.68538392491388</v>
      </c>
      <c r="BJ13" s="59">
        <f t="shared" si="38"/>
        <v>267.97457956620724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1.2</v>
      </c>
      <c r="BY13" s="12">
        <f>IF('Données projet'!$A$114&gt;35,BY12+BX13-CG12,IF(A13&lt;'Données projet'!$A$114,$BV$205^A13,IF(A13='Données projet'!$A$114,'Données projet'!$B$114,BY12+BX13-CG12)))</f>
        <v>3.8980598409161908</v>
      </c>
      <c r="BZ13" s="13">
        <f>BY13*VLOOKUP('Données projet'!$B$12,Paramètres!$A$1:$I$89,3,0)*VLOOKUP('Données projet'!$B$12,Paramètres!$A$1:$I$89,5,0)</f>
        <v>4.4391105468353587</v>
      </c>
      <c r="CA13" s="13">
        <f t="shared" si="39"/>
        <v>1.7198983325588202</v>
      </c>
      <c r="CB13" s="20">
        <f t="shared" si="10"/>
        <v>10.72694046494486</v>
      </c>
      <c r="CC13" s="59">
        <f t="shared" si="11"/>
        <v>304.06027379827816</v>
      </c>
      <c r="CD13" s="59">
        <f ca="1">AVERAGE(OFFSET($CC$3,0,0,'Données projet'!$E$12+1,1))-AVERAGE(OFFSET($H$3,0,0,'Données projet'!$E$12+1,1))</f>
        <v>242.1473060698724</v>
      </c>
      <c r="CE13" s="59">
        <f t="shared" si="40"/>
        <v>96.127995920458659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>
        <f>CT13*VLOOKUP('Données projet'!$B$13,Paramètres!$A$1:$I$89,3,0)*VLOOKUP('Données projet'!$B$13,Paramètres!$A$1:$I$89,5,0)</f>
        <v>0</v>
      </c>
      <c r="CV13" s="13" t="e">
        <f t="shared" si="41"/>
        <v>#NUM!</v>
      </c>
      <c r="CW13" s="20" t="e">
        <f t="shared" si="13"/>
        <v>#NUM!</v>
      </c>
      <c r="CX13" s="59" t="e">
        <f t="shared" si="14"/>
        <v>#NUM!</v>
      </c>
      <c r="CY13" s="59">
        <f ca="1">AVERAGE(OFFSET($CX$3,0,0,'Données projet'!$E$13+1,1))-AVERAGE(OFFSET($H$3,0,0,'Données projet'!$E$13+1,1))</f>
        <v>0</v>
      </c>
      <c r="CZ13" s="59">
        <f t="shared" si="42"/>
        <v>0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>
        <f>DO13*VLOOKUP('Données projet'!$B$14,Paramètres!$A$1:$I$89,3,0)*VLOOKUP('Données projet'!$B$14,Paramètres!$A$1:$I$89,5,0)</f>
        <v>0</v>
      </c>
      <c r="DQ13" s="13" t="e">
        <f t="shared" si="43"/>
        <v>#NUM!</v>
      </c>
      <c r="DR13" s="20" t="e">
        <f t="shared" si="16"/>
        <v>#NUM!</v>
      </c>
      <c r="DS13" s="59" t="e">
        <f t="shared" si="17"/>
        <v>#NUM!</v>
      </c>
      <c r="DT13" s="59">
        <f ca="1">AVERAGE(OFFSET($DS$3,0,0,'Données projet'!$E$14+1,1))-AVERAGE(OFFSET($H$3,0,0,'Données projet'!$E$14+1,1))</f>
        <v>0</v>
      </c>
      <c r="DU13" s="59">
        <f t="shared" si="44"/>
        <v>0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11.5</v>
      </c>
      <c r="N14" s="13">
        <f>IF('Données projet'!$A$36&gt;35,N13+M14-V13,IF(A14&lt;'Données projet'!$A$36,$K$205^A14,IF(A14='Données projet'!$A$36,'Données projet'!$B$36,N13+M14-V13)))</f>
        <v>54.191929820527818</v>
      </c>
      <c r="O14" s="13">
        <f>N14*VLOOKUP('Données projet'!$B$9,Paramètres!$A$1:$I$89,3,0)*VLOOKUP('Données projet'!$B$9,Paramètres!$A$1:$I$89,5,0)</f>
        <v>32.406774032675635</v>
      </c>
      <c r="P14" s="13">
        <f t="shared" si="33"/>
        <v>9.9620761813689214</v>
      </c>
      <c r="Q14" s="20">
        <f t="shared" si="2"/>
        <v>73.792414122794256</v>
      </c>
      <c r="R14" s="59">
        <f t="shared" si="0"/>
        <v>367.12574745612756</v>
      </c>
      <c r="S14" s="59">
        <f ca="1">AVERAGE(OFFSET($R$3,0,0,'Données projet'!$E$9+1,1))-AVERAGE(OFFSET($H$3,0,0,'Données projet'!$E$9+1,1))</f>
        <v>212.98969326021802</v>
      </c>
      <c r="T14" s="59">
        <f t="shared" si="34"/>
        <v>422.91218020922895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6.45</v>
      </c>
      <c r="AI14" s="13">
        <f>IF('Données projet'!$A$62&gt;35,AI13+AH14-AQ13,IF(A14&lt;'Données projet'!$A$62,$AF$205^A14,IF(A14='Données projet'!$A$62,'Données projet'!$B$62,AI13+AH14-AQ13)))</f>
        <v>14.481859864624445</v>
      </c>
      <c r="AJ14" s="13">
        <f>AI14*VLOOKUP('Données projet'!$B$10,Paramètres!$A$1:$I$89,3,0)*VLOOKUP('Données projet'!$B$10,Paramètres!$A$1:$I$89,5,0)</f>
        <v>8.6601521990454184</v>
      </c>
      <c r="AK14" s="13">
        <f t="shared" si="35"/>
        <v>3.1041994558924566</v>
      </c>
      <c r="AL14" s="20">
        <f t="shared" si="4"/>
        <v>20.489579132350134</v>
      </c>
      <c r="AM14" s="59">
        <f t="shared" si="5"/>
        <v>313.82291246568343</v>
      </c>
      <c r="AN14" s="59">
        <f ca="1">AVERAGE(OFFSET($AM$3,0,0,'Données projet'!$E$10+1,1))-AVERAGE(OFFSET($H$3,0,0,'Données projet'!$E$10+1,1))</f>
        <v>318.09371753144256</v>
      </c>
      <c r="AO14" s="59">
        <f t="shared" si="36"/>
        <v>298.61479562586919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4.75</v>
      </c>
      <c r="BD14" s="12">
        <f>IF('Données projet'!$A$88&gt;35,BD13+BC14-BL13,IF(A14&lt;'Données projet'!$A$88,$BA$205^A14,IF(A14='Données projet'!$A$88,'Données projet'!$B$88,BD13+BC14-BL13)))</f>
        <v>12.239057719016479</v>
      </c>
      <c r="BE14" s="13">
        <f>BD14*VLOOKUP('Données projet'!$B$11,Paramètres!$A$1:$I$89,3,0)*VLOOKUP('Données projet'!$B$11,Paramètres!$A$1:$I$89,5,0)</f>
        <v>9.9283236216661681</v>
      </c>
      <c r="BF14" s="13">
        <f t="shared" si="37"/>
        <v>3.5026087809930875</v>
      </c>
      <c r="BG14" s="20">
        <f t="shared" si="7"/>
        <v>23.392207267964867</v>
      </c>
      <c r="BH14" s="59">
        <f t="shared" si="8"/>
        <v>316.72554060129818</v>
      </c>
      <c r="BI14" s="59">
        <f ca="1">AVERAGE(OFFSET($BH$3,0,0,'Données projet'!$E$11+1,1))-AVERAGE(OFFSET($H$3,0,0,'Données projet'!$E$11+1,1))</f>
        <v>230.68538392491388</v>
      </c>
      <c r="BJ14" s="59">
        <f t="shared" si="38"/>
        <v>267.97457956620724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1.2</v>
      </c>
      <c r="BY14" s="12">
        <f>IF('Données projet'!$A$114&gt;35,BY13+BX14-CG13,IF(A14&lt;'Données projet'!$A$114,$BV$205^A14,IF(A14='Données projet'!$A$114,'Données projet'!$B$114,BY13+BX14-CG13)))</f>
        <v>4.4661504822319662</v>
      </c>
      <c r="BZ14" s="13">
        <f>BY14*VLOOKUP('Données projet'!$B$12,Paramètres!$A$1:$I$89,3,0)*VLOOKUP('Données projet'!$B$12,Paramètres!$A$1:$I$89,5,0)</f>
        <v>5.0860521691657636</v>
      </c>
      <c r="CA14" s="13">
        <f t="shared" si="39"/>
        <v>1.9395909500595778</v>
      </c>
      <c r="CB14" s="20">
        <f t="shared" si="10"/>
        <v>12.236328432650803</v>
      </c>
      <c r="CC14" s="59">
        <f t="shared" si="11"/>
        <v>305.56966176598411</v>
      </c>
      <c r="CD14" s="59">
        <f ca="1">AVERAGE(OFFSET($CC$3,0,0,'Données projet'!$E$12+1,1))-AVERAGE(OFFSET($H$3,0,0,'Données projet'!$E$12+1,1))</f>
        <v>242.1473060698724</v>
      </c>
      <c r="CE14" s="59">
        <f t="shared" si="40"/>
        <v>96.127995920458659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>
        <f>CT14*VLOOKUP('Données projet'!$B$13,Paramètres!$A$1:$I$89,3,0)*VLOOKUP('Données projet'!$B$13,Paramètres!$A$1:$I$89,5,0)</f>
        <v>0</v>
      </c>
      <c r="CV14" s="13" t="e">
        <f t="shared" si="41"/>
        <v>#NUM!</v>
      </c>
      <c r="CW14" s="20" t="e">
        <f t="shared" si="13"/>
        <v>#NUM!</v>
      </c>
      <c r="CX14" s="59" t="e">
        <f t="shared" si="14"/>
        <v>#NUM!</v>
      </c>
      <c r="CY14" s="59">
        <f ca="1">AVERAGE(OFFSET($CX$3,0,0,'Données projet'!$E$13+1,1))-AVERAGE(OFFSET($H$3,0,0,'Données projet'!$E$13+1,1))</f>
        <v>0</v>
      </c>
      <c r="CZ14" s="59">
        <f t="shared" si="42"/>
        <v>0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>
        <f>DO14*VLOOKUP('Données projet'!$B$14,Paramètres!$A$1:$I$89,3,0)*VLOOKUP('Données projet'!$B$14,Paramètres!$A$1:$I$89,5,0)</f>
        <v>0</v>
      </c>
      <c r="DQ14" s="13" t="e">
        <f t="shared" si="43"/>
        <v>#NUM!</v>
      </c>
      <c r="DR14" s="20" t="e">
        <f t="shared" si="16"/>
        <v>#NUM!</v>
      </c>
      <c r="DS14" s="59" t="e">
        <f t="shared" si="17"/>
        <v>#NUM!</v>
      </c>
      <c r="DT14" s="59">
        <f ca="1">AVERAGE(OFFSET($DS$3,0,0,'Données projet'!$E$14+1,1))-AVERAGE(OFFSET($H$3,0,0,'Données projet'!$E$14+1,1))</f>
        <v>0</v>
      </c>
      <c r="DU14" s="59">
        <f t="shared" si="44"/>
        <v>0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11.5</v>
      </c>
      <c r="N15" s="13">
        <f>IF('Données projet'!$A$36&gt;35,N14+M15-V14,IF(A15&lt;'Données projet'!$A$36,$K$205^A15,IF(A15='Données projet'!$A$36,'Données projet'!$B$36,N14+M15-V14)))</f>
        <v>77.90494702708375</v>
      </c>
      <c r="O15" s="13">
        <f>N15*VLOOKUP('Données projet'!$B$9,Paramètres!$A$1:$I$89,3,0)*VLOOKUP('Données projet'!$B$9,Paramètres!$A$1:$I$89,5,0)</f>
        <v>46.587158322196082</v>
      </c>
      <c r="P15" s="13">
        <f t="shared" si="33"/>
        <v>13.728784797196329</v>
      </c>
      <c r="Q15" s="20">
        <f t="shared" si="2"/>
        <v>105.05026759960845</v>
      </c>
      <c r="R15" s="59">
        <f t="shared" si="0"/>
        <v>398.38360093294176</v>
      </c>
      <c r="S15" s="59">
        <f ca="1">AVERAGE(OFFSET($R$3,0,0,'Données projet'!$E$9+1,1))-AVERAGE(OFFSET($H$3,0,0,'Données projet'!$E$9+1,1))</f>
        <v>212.98969326021802</v>
      </c>
      <c r="T15" s="59">
        <f t="shared" si="34"/>
        <v>422.91218020922895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6.45</v>
      </c>
      <c r="AI15" s="13">
        <f>IF('Données projet'!$A$62&gt;35,AI14+AH15-AQ14,IF(A15&lt;'Données projet'!$A$62,$AF$205^A15,IF(A15='Données projet'!$A$62,'Données projet'!$B$62,AI14+AH15-AQ14)))</f>
        <v>18.465191931977376</v>
      </c>
      <c r="AJ15" s="13">
        <f>AI15*VLOOKUP('Données projet'!$B$10,Paramètres!$A$1:$I$89,3,0)*VLOOKUP('Données projet'!$B$10,Paramètres!$A$1:$I$89,5,0)</f>
        <v>11.042184775322472</v>
      </c>
      <c r="AK15" s="13">
        <f t="shared" si="35"/>
        <v>3.8476492214389557</v>
      </c>
      <c r="AL15" s="20">
        <f t="shared" si="4"/>
        <v>25.93312754435949</v>
      </c>
      <c r="AM15" s="59">
        <f t="shared" si="5"/>
        <v>319.26646087769279</v>
      </c>
      <c r="AN15" s="59">
        <f ca="1">AVERAGE(OFFSET($AM$3,0,0,'Données projet'!$E$10+1,1))-AVERAGE(OFFSET($H$3,0,0,'Données projet'!$E$10+1,1))</f>
        <v>318.09371753144256</v>
      </c>
      <c r="AO15" s="59">
        <f t="shared" si="36"/>
        <v>298.61479562586919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4.75</v>
      </c>
      <c r="BD15" s="12">
        <f>IF('Données projet'!$A$88&gt;35,BD14+BC15-BL14,IF(A15&lt;'Données projet'!$A$88,$BA$205^A15,IF(A15='Données projet'!$A$88,'Données projet'!$B$88,BD14+BC15-BL14)))</f>
        <v>15.368594899018873</v>
      </c>
      <c r="BE15" s="13">
        <f>BD15*VLOOKUP('Données projet'!$B$11,Paramètres!$A$1:$I$89,3,0)*VLOOKUP('Données projet'!$B$11,Paramètres!$A$1:$I$89,5,0)</f>
        <v>12.467004182084111</v>
      </c>
      <c r="BF15" s="13">
        <f t="shared" si="37"/>
        <v>4.2831911943198415</v>
      </c>
      <c r="BG15" s="20">
        <f t="shared" si="7"/>
        <v>29.173256947236883</v>
      </c>
      <c r="BH15" s="59">
        <f t="shared" si="8"/>
        <v>322.50659028057021</v>
      </c>
      <c r="BI15" s="59">
        <f ca="1">AVERAGE(OFFSET($BH$3,0,0,'Données projet'!$E$11+1,1))-AVERAGE(OFFSET($H$3,0,0,'Données projet'!$E$11+1,1))</f>
        <v>230.68538392491388</v>
      </c>
      <c r="BJ15" s="59">
        <f t="shared" si="38"/>
        <v>267.97457956620724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1.2</v>
      </c>
      <c r="BY15" s="12">
        <f>IF('Données projet'!$A$114&gt;35,BY14+BX15-CG14,IF(A15&lt;'Données projet'!$A$114,$BV$205^A15,IF(A15='Données projet'!$A$114,'Données projet'!$B$114,BY14+BX15-CG14)))</f>
        <v>5.1170328173444979</v>
      </c>
      <c r="BZ15" s="13">
        <f>BY15*VLOOKUP('Données projet'!$B$12,Paramètres!$A$1:$I$89,3,0)*VLOOKUP('Données projet'!$B$12,Paramètres!$A$1:$I$89,5,0)</f>
        <v>5.827276972391914</v>
      </c>
      <c r="CA15" s="13">
        <f t="shared" si="39"/>
        <v>2.1873461833967758</v>
      </c>
      <c r="CB15" s="20">
        <f t="shared" si="10"/>
        <v>13.958801996331969</v>
      </c>
      <c r="CC15" s="59">
        <f t="shared" si="11"/>
        <v>307.29213532966526</v>
      </c>
      <c r="CD15" s="59">
        <f ca="1">AVERAGE(OFFSET($CC$3,0,0,'Données projet'!$E$12+1,1))-AVERAGE(OFFSET($H$3,0,0,'Données projet'!$E$12+1,1))</f>
        <v>242.1473060698724</v>
      </c>
      <c r="CE15" s="59">
        <f t="shared" si="40"/>
        <v>96.127995920458659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>
        <f>CT15*VLOOKUP('Données projet'!$B$13,Paramètres!$A$1:$I$89,3,0)*VLOOKUP('Données projet'!$B$13,Paramètres!$A$1:$I$89,5,0)</f>
        <v>0</v>
      </c>
      <c r="CV15" s="13" t="e">
        <f t="shared" si="41"/>
        <v>#NUM!</v>
      </c>
      <c r="CW15" s="20" t="e">
        <f t="shared" si="13"/>
        <v>#NUM!</v>
      </c>
      <c r="CX15" s="59" t="e">
        <f t="shared" si="14"/>
        <v>#NUM!</v>
      </c>
      <c r="CY15" s="59">
        <f ca="1">AVERAGE(OFFSET($CX$3,0,0,'Données projet'!$E$13+1,1))-AVERAGE(OFFSET($H$3,0,0,'Données projet'!$E$13+1,1))</f>
        <v>0</v>
      </c>
      <c r="CZ15" s="59">
        <f t="shared" si="42"/>
        <v>0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>
        <f>DO15*VLOOKUP('Données projet'!$B$14,Paramètres!$A$1:$I$89,3,0)*VLOOKUP('Données projet'!$B$14,Paramètres!$A$1:$I$89,5,0)</f>
        <v>0</v>
      </c>
      <c r="DQ15" s="13" t="e">
        <f t="shared" si="43"/>
        <v>#NUM!</v>
      </c>
      <c r="DR15" s="20" t="e">
        <f t="shared" si="16"/>
        <v>#NUM!</v>
      </c>
      <c r="DS15" s="59" t="e">
        <f t="shared" si="17"/>
        <v>#NUM!</v>
      </c>
      <c r="DT15" s="59">
        <f ca="1">AVERAGE(OFFSET($DS$3,0,0,'Données projet'!$E$14+1,1))-AVERAGE(OFFSET($H$3,0,0,'Données projet'!$E$14+1,1))</f>
        <v>0</v>
      </c>
      <c r="DU15" s="59">
        <f t="shared" si="44"/>
        <v>0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11.5</v>
      </c>
      <c r="N16" s="13">
        <f>IF('Données projet'!$A$36&gt;35,N15+M16-V15,IF(A16&lt;'Données projet'!$A$36,$K$205^A16,IF(A16='Données projet'!$A$36,'Données projet'!$B$36,N15+M16-V15)))</f>
        <v>111.99418052452764</v>
      </c>
      <c r="O16" s="13">
        <f>N16*VLOOKUP('Données projet'!$B$9,Paramètres!$A$1:$I$89,3,0)*VLOOKUP('Données projet'!$B$9,Paramètres!$A$1:$I$89,5,0)</f>
        <v>66.972519953667529</v>
      </c>
      <c r="P16" s="13">
        <f t="shared" si="33"/>
        <v>18.919703942861187</v>
      </c>
      <c r="Q16" s="20">
        <f t="shared" si="2"/>
        <v>149.59562328645418</v>
      </c>
      <c r="R16" s="59">
        <f t="shared" si="0"/>
        <v>442.92895661978753</v>
      </c>
      <c r="S16" s="59">
        <f ca="1">AVERAGE(OFFSET($R$3,0,0,'Données projet'!$E$9+1,1))-AVERAGE(OFFSET($H$3,0,0,'Données projet'!$E$9+1,1))</f>
        <v>212.98969326021802</v>
      </c>
      <c r="T16" s="59">
        <f t="shared" si="34"/>
        <v>422.91218020922895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6.45</v>
      </c>
      <c r="AI16" s="13">
        <f>IF('Données projet'!$A$62&gt;35,AI15+AH16-AQ15,IF(A16&lt;'Données projet'!$A$62,$AF$205^A16,IF(A16='Données projet'!$A$62,'Données projet'!$B$62,AI15+AH16-AQ15)))</f>
        <v>23.544166030611187</v>
      </c>
      <c r="AJ16" s="13">
        <f>AI16*VLOOKUP('Données projet'!$B$10,Paramètres!$A$1:$I$89,3,0)*VLOOKUP('Données projet'!$B$10,Paramètres!$A$1:$I$89,5,0)</f>
        <v>14.07941128630549</v>
      </c>
      <c r="AK16" s="13">
        <f t="shared" si="35"/>
        <v>4.7691537678539841</v>
      </c>
      <c r="AL16" s="20">
        <f t="shared" si="4"/>
        <v>32.827917469327751</v>
      </c>
      <c r="AM16" s="59">
        <f t="shared" si="5"/>
        <v>326.16125080266107</v>
      </c>
      <c r="AN16" s="59">
        <f ca="1">AVERAGE(OFFSET($AM$3,0,0,'Données projet'!$E$10+1,1))-AVERAGE(OFFSET($H$3,0,0,'Données projet'!$E$10+1,1))</f>
        <v>318.09371753144256</v>
      </c>
      <c r="AO16" s="59">
        <f t="shared" si="36"/>
        <v>298.61479562586919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4.75</v>
      </c>
      <c r="BD16" s="12">
        <f>IF('Données projet'!$A$88&gt;35,BD15+BC16-BL15,IF(A16&lt;'Données projet'!$A$88,$BA$205^A16,IF(A16='Données projet'!$A$88,'Données projet'!$B$88,BD15+BC16-BL15)))</f>
        <v>19.298357323959845</v>
      </c>
      <c r="BE16" s="13">
        <f>BD16*VLOOKUP('Données projet'!$B$11,Paramètres!$A$1:$I$89,3,0)*VLOOKUP('Données projet'!$B$11,Paramètres!$A$1:$I$89,5,0)</f>
        <v>15.654827461196227</v>
      </c>
      <c r="BF16" s="13">
        <f t="shared" si="37"/>
        <v>5.2377322031087648</v>
      </c>
      <c r="BG16" s="20">
        <f t="shared" si="7"/>
        <v>36.387874748664522</v>
      </c>
      <c r="BH16" s="59">
        <f t="shared" si="8"/>
        <v>329.72120808199782</v>
      </c>
      <c r="BI16" s="59">
        <f ca="1">AVERAGE(OFFSET($BH$3,0,0,'Données projet'!$E$11+1,1))-AVERAGE(OFFSET($H$3,0,0,'Données projet'!$E$11+1,1))</f>
        <v>230.68538392491388</v>
      </c>
      <c r="BJ16" s="59">
        <f t="shared" si="38"/>
        <v>267.97457956620724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1.2</v>
      </c>
      <c r="BY16" s="12">
        <f>IF('Données projet'!$A$114&gt;35,BY15+BX16-CG15,IF(A16&lt;'Données projet'!$A$114,$BV$205^A16,IF(A16='Données projet'!$A$114,'Données projet'!$B$114,BY15+BX16-CG15)))</f>
        <v>5.8627726400958746</v>
      </c>
      <c r="BZ16" s="13">
        <f>BY16*VLOOKUP('Données projet'!$B$12,Paramètres!$A$1:$I$89,3,0)*VLOOKUP('Données projet'!$B$12,Paramètres!$A$1:$I$89,5,0)</f>
        <v>6.6765254825411819</v>
      </c>
      <c r="CA16" s="13">
        <f t="shared" si="39"/>
        <v>2.4667486337124225</v>
      </c>
      <c r="CB16" s="20">
        <f t="shared" si="10"/>
        <v>15.924535752475025</v>
      </c>
      <c r="CC16" s="59">
        <f t="shared" si="11"/>
        <v>309.25786908580835</v>
      </c>
      <c r="CD16" s="59">
        <f ca="1">AVERAGE(OFFSET($CC$3,0,0,'Données projet'!$E$12+1,1))-AVERAGE(OFFSET($H$3,0,0,'Données projet'!$E$12+1,1))</f>
        <v>242.1473060698724</v>
      </c>
      <c r="CE16" s="59">
        <f t="shared" si="40"/>
        <v>96.127995920458659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>
        <f>CT16*VLOOKUP('Données projet'!$B$13,Paramètres!$A$1:$I$89,3,0)*VLOOKUP('Données projet'!$B$13,Paramètres!$A$1:$I$89,5,0)</f>
        <v>0</v>
      </c>
      <c r="CV16" s="13" t="e">
        <f t="shared" si="41"/>
        <v>#NUM!</v>
      </c>
      <c r="CW16" s="20" t="e">
        <f t="shared" si="13"/>
        <v>#NUM!</v>
      </c>
      <c r="CX16" s="59" t="e">
        <f t="shared" si="14"/>
        <v>#NUM!</v>
      </c>
      <c r="CY16" s="59">
        <f ca="1">AVERAGE(OFFSET($CX$3,0,0,'Données projet'!$E$13+1,1))-AVERAGE(OFFSET($H$3,0,0,'Données projet'!$E$13+1,1))</f>
        <v>0</v>
      </c>
      <c r="CZ16" s="59">
        <f t="shared" si="42"/>
        <v>0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>
        <f>DO16*VLOOKUP('Données projet'!$B$14,Paramètres!$A$1:$I$89,3,0)*VLOOKUP('Données projet'!$B$14,Paramètres!$A$1:$I$89,5,0)</f>
        <v>0</v>
      </c>
      <c r="DQ16" s="13" t="e">
        <f t="shared" si="43"/>
        <v>#NUM!</v>
      </c>
      <c r="DR16" s="20" t="e">
        <f t="shared" si="16"/>
        <v>#NUM!</v>
      </c>
      <c r="DS16" s="59" t="e">
        <f t="shared" si="17"/>
        <v>#NUM!</v>
      </c>
      <c r="DT16" s="59">
        <f ca="1">AVERAGE(OFFSET($DS$3,0,0,'Données projet'!$E$14+1,1))-AVERAGE(OFFSET($H$3,0,0,'Données projet'!$E$14+1,1))</f>
        <v>0</v>
      </c>
      <c r="DU16" s="59">
        <f t="shared" si="44"/>
        <v>0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161</v>
      </c>
      <c r="L17" s="12">
        <f>VLOOKUP(A17,'Données projet'!$A$35:$I$55,9,0)</f>
        <v>11.5</v>
      </c>
      <c r="M17" s="12">
        <f t="array" ref="M17">INDEX(L:L,MIN(IF(ISNUMBER(L17:L213),ROW(L17:L213),"")))</f>
        <v>11.5</v>
      </c>
      <c r="N17" s="13">
        <f>IF('Données projet'!$A$36&gt;35,N16+M17-V16,IF(A17&lt;'Données projet'!$A$36,$K$205^A17,IF(A17='Données projet'!$A$36,'Données projet'!$B$36,N16+M17-V16)))</f>
        <v>161</v>
      </c>
      <c r="O17" s="13">
        <f>N17*VLOOKUP('Données projet'!$B$9,Paramètres!$A$1:$I$89,3,0)*VLOOKUP('Données projet'!$B$9,Paramètres!$A$1:$I$89,5,0)</f>
        <v>96.278000000000006</v>
      </c>
      <c r="P17" s="13">
        <f t="shared" si="33"/>
        <v>26.073334426410277</v>
      </c>
      <c r="Q17" s="20">
        <f t="shared" si="2"/>
        <v>213.09524079266461</v>
      </c>
      <c r="R17" s="59">
        <f t="shared" si="0"/>
        <v>506.4285741259979</v>
      </c>
      <c r="S17" s="59">
        <f ca="1">AVERAGE(OFFSET($R$3,0,0,'Données projet'!$E$9+1,1))-AVERAGE(OFFSET($H$3,0,0,'Données projet'!$E$9+1,1))</f>
        <v>212.98969326021802</v>
      </c>
      <c r="T17" s="59">
        <f t="shared" si="34"/>
        <v>422.91218020922895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45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0.22500000000000001</v>
      </c>
      <c r="Y17" s="16">
        <f>IF(ISNA(VLOOKUP(A17,'Données projet'!$A$35:$I$55,7,0)),0%,VLOOKUP(A17,'Données projet'!$A$35:$I$55,7,0))</f>
        <v>0.5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8.0003910286047866</v>
      </c>
      <c r="AB17" s="21">
        <f>EXP(-LN(2)/2)*AB16+(1-EXP(-LN(2)/2))/(LN(2)/2)*V17*Y17*VLOOKUP('Données projet'!$B$9,Paramètres!$A$1:$I$89,3,0)*0.475*44/12</f>
        <v>15.234185563218597</v>
      </c>
      <c r="AC17" s="22">
        <f t="shared" si="3"/>
        <v>23.234576591823384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6.45</v>
      </c>
      <c r="AI17" s="13">
        <f>IF('Données projet'!$A$62&gt;35,AI16+AH17-AQ16,IF(A17&lt;'Données projet'!$A$62,$AF$205^A17,IF(A17='Données projet'!$A$62,'Données projet'!$B$62,AI16+AH17-AQ16)))</f>
        <v>30.020145802926649</v>
      </c>
      <c r="AJ17" s="13">
        <f>AI17*VLOOKUP('Données projet'!$B$10,Paramètres!$A$1:$I$89,3,0)*VLOOKUP('Données projet'!$B$10,Paramètres!$A$1:$I$89,5,0)</f>
        <v>17.952047190150136</v>
      </c>
      <c r="AK17" s="13">
        <f t="shared" si="35"/>
        <v>5.9113568707621607</v>
      </c>
      <c r="AL17" s="20">
        <f t="shared" si="4"/>
        <v>41.562095406088915</v>
      </c>
      <c r="AM17" s="59">
        <f t="shared" si="5"/>
        <v>334.89542873942224</v>
      </c>
      <c r="AN17" s="59">
        <f ca="1">AVERAGE(OFFSET($AM$3,0,0,'Données projet'!$E$10+1,1))-AVERAGE(OFFSET($H$3,0,0,'Données projet'!$E$10+1,1))</f>
        <v>318.09371753144256</v>
      </c>
      <c r="AO17" s="59">
        <f t="shared" si="36"/>
        <v>298.61479562586919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4.75</v>
      </c>
      <c r="BD17" s="12">
        <f>IF('Données projet'!$A$88&gt;35,BD16+BC17-BL16,IF(A17&lt;'Données projet'!$A$88,$BA$205^A17,IF(A17='Données projet'!$A$88,'Données projet'!$B$88,BD16+BC17-BL16)))</f>
        <v>24.232963250726986</v>
      </c>
      <c r="BE17" s="13">
        <f>BD17*VLOOKUP('Données projet'!$B$11,Paramètres!$A$1:$I$89,3,0)*VLOOKUP('Données projet'!$B$11,Paramètres!$A$1:$I$89,5,0)</f>
        <v>19.657779788989732</v>
      </c>
      <c r="BF17" s="13">
        <f t="shared" si="37"/>
        <v>6.4049997739685294</v>
      </c>
      <c r="BG17" s="20">
        <f t="shared" si="7"/>
        <v>45.392674405485643</v>
      </c>
      <c r="BH17" s="59">
        <f t="shared" si="8"/>
        <v>338.72600773881896</v>
      </c>
      <c r="BI17" s="59">
        <f ca="1">AVERAGE(OFFSET($BH$3,0,0,'Données projet'!$E$11+1,1))-AVERAGE(OFFSET($H$3,0,0,'Données projet'!$E$11+1,1))</f>
        <v>230.68538392491388</v>
      </c>
      <c r="BJ17" s="59">
        <f t="shared" si="38"/>
        <v>267.97457956620724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1.2</v>
      </c>
      <c r="BY17" s="12">
        <f>IF('Données projet'!$A$114&gt;35,BY16+BX17-CG16,IF(A17&lt;'Données projet'!$A$114,$BV$205^A17,IF(A17='Données projet'!$A$114,'Données projet'!$B$114,BY16+BX17-CG16)))</f>
        <v>6.7171941741218459</v>
      </c>
      <c r="BZ17" s="13">
        <f>BY17*VLOOKUP('Données projet'!$B$12,Paramètres!$A$1:$I$89,3,0)*VLOOKUP('Données projet'!$B$12,Paramètres!$A$1:$I$89,5,0)</f>
        <v>7.6495407254899579</v>
      </c>
      <c r="CA17" s="13">
        <f t="shared" si="39"/>
        <v>2.7818407841015893</v>
      </c>
      <c r="CB17" s="20">
        <f t="shared" si="10"/>
        <v>18.16798946253861</v>
      </c>
      <c r="CC17" s="59">
        <f t="shared" si="11"/>
        <v>311.50132279587194</v>
      </c>
      <c r="CD17" s="59">
        <f ca="1">AVERAGE(OFFSET($CC$3,0,0,'Données projet'!$E$12+1,1))-AVERAGE(OFFSET($H$3,0,0,'Données projet'!$E$12+1,1))</f>
        <v>242.1473060698724</v>
      </c>
      <c r="CE17" s="59">
        <f t="shared" si="40"/>
        <v>96.127995920458659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>
        <f>CT17*VLOOKUP('Données projet'!$B$13,Paramètres!$A$1:$I$89,3,0)*VLOOKUP('Données projet'!$B$13,Paramètres!$A$1:$I$89,5,0)</f>
        <v>0</v>
      </c>
      <c r="CV17" s="13" t="e">
        <f t="shared" si="41"/>
        <v>#NUM!</v>
      </c>
      <c r="CW17" s="20" t="e">
        <f t="shared" si="13"/>
        <v>#NUM!</v>
      </c>
      <c r="CX17" s="59" t="e">
        <f t="shared" si="14"/>
        <v>#NUM!</v>
      </c>
      <c r="CY17" s="59">
        <f ca="1">AVERAGE(OFFSET($CX$3,0,0,'Données projet'!$E$13+1,1))-AVERAGE(OFFSET($H$3,0,0,'Données projet'!$E$13+1,1))</f>
        <v>0</v>
      </c>
      <c r="CZ17" s="59">
        <f t="shared" si="42"/>
        <v>0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>
        <f>DO17*VLOOKUP('Données projet'!$B$14,Paramètres!$A$1:$I$89,3,0)*VLOOKUP('Données projet'!$B$14,Paramètres!$A$1:$I$89,5,0)</f>
        <v>0</v>
      </c>
      <c r="DQ17" s="13" t="e">
        <f t="shared" si="43"/>
        <v>#NUM!</v>
      </c>
      <c r="DR17" s="20" t="e">
        <f t="shared" si="16"/>
        <v>#NUM!</v>
      </c>
      <c r="DS17" s="59" t="e">
        <f t="shared" si="17"/>
        <v>#NUM!</v>
      </c>
      <c r="DT17" s="59">
        <f ca="1">AVERAGE(OFFSET($DS$3,0,0,'Données projet'!$E$14+1,1))-AVERAGE(OFFSET($H$3,0,0,'Données projet'!$E$14+1,1))</f>
        <v>0</v>
      </c>
      <c r="DU17" s="59">
        <f t="shared" si="44"/>
        <v>0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22.833333333333332</v>
      </c>
      <c r="N18" s="13">
        <f>IF('Données projet'!$A$36&gt;35,N17+M18-V17,IF(A18&lt;'Données projet'!$A$36,$K$205^A18,IF(A18='Données projet'!$A$36,'Données projet'!$B$36,N17+M18-V17)))</f>
        <v>138.83333333333334</v>
      </c>
      <c r="O18" s="13">
        <f>N18*VLOOKUP('Données projet'!$B$9,Paramètres!$A$1:$I$89,3,0)*VLOOKUP('Données projet'!$B$9,Paramètres!$A$1:$I$89,5,0)</f>
        <v>83.02233333333335</v>
      </c>
      <c r="P18" s="13">
        <f t="shared" si="33"/>
        <v>22.874557915829435</v>
      </c>
      <c r="Q18" s="20">
        <f t="shared" si="2"/>
        <v>184.43708559229185</v>
      </c>
      <c r="R18" s="59">
        <f t="shared" si="0"/>
        <v>477.77041892562517</v>
      </c>
      <c r="S18" s="59">
        <f ca="1">AVERAGE(OFFSET($R$3,0,0,'Données projet'!$E$9+1,1))-AVERAGE(OFFSET($H$3,0,0,'Données projet'!$E$9+1,1))</f>
        <v>212.98969326021802</v>
      </c>
      <c r="T18" s="59">
        <f t="shared" si="34"/>
        <v>422.91218020922895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7.7816199152053098</v>
      </c>
      <c r="AB18" s="21">
        <f>EXP(-LN(2)/2)*AB17+(1-EXP(-LN(2)/2))/(LN(2)/2)*V18*Y18*VLOOKUP('Données projet'!$B$9,Paramètres!$A$1:$I$89,3,0)*0.475*44/12</f>
        <v>10.772195917606075</v>
      </c>
      <c r="AC18" s="22">
        <f t="shared" si="3"/>
        <v>18.553815832811384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6.45</v>
      </c>
      <c r="AI18" s="13">
        <f>IF('Données projet'!$A$62&gt;35,AI17+AH18-AQ17,IF(A18&lt;'Données projet'!$A$62,$AF$205^A18,IF(A18='Données projet'!$A$62,'Données projet'!$B$62,AI17+AH18-AQ17)))</f>
        <v>38.277386969547301</v>
      </c>
      <c r="AJ18" s="13">
        <f>AI18*VLOOKUP('Données projet'!$B$10,Paramètres!$A$1:$I$89,3,0)*VLOOKUP('Données projet'!$B$10,Paramètres!$A$1:$I$89,5,0)</f>
        <v>22.889877407789285</v>
      </c>
      <c r="AK18" s="13">
        <f t="shared" si="35"/>
        <v>7.3271154075686509</v>
      </c>
      <c r="AL18" s="20">
        <f t="shared" si="4"/>
        <v>52.627929153415074</v>
      </c>
      <c r="AM18" s="59">
        <f t="shared" si="5"/>
        <v>345.96126248674841</v>
      </c>
      <c r="AN18" s="59">
        <f ca="1">AVERAGE(OFFSET($AM$3,0,0,'Données projet'!$E$10+1,1))-AVERAGE(OFFSET($H$3,0,0,'Données projet'!$E$10+1,1))</f>
        <v>318.09371753144256</v>
      </c>
      <c r="AO18" s="59">
        <f t="shared" si="36"/>
        <v>298.61479562586919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4.75</v>
      </c>
      <c r="BD18" s="12">
        <f>IF('Données projet'!$A$88&gt;35,BD17+BC18-BL17,IF(A18&lt;'Données projet'!$A$88,$BA$205^A18,IF(A18='Données projet'!$A$88,'Données projet'!$B$88,BD17+BC18-BL17)))</f>
        <v>30.429351993705815</v>
      </c>
      <c r="BE18" s="13">
        <f>BD18*VLOOKUP('Données projet'!$B$11,Paramètres!$A$1:$I$89,3,0)*VLOOKUP('Données projet'!$B$11,Paramètres!$A$1:$I$89,5,0)</f>
        <v>24.684290337294158</v>
      </c>
      <c r="BF18" s="13">
        <f t="shared" si="37"/>
        <v>7.8324016031571553</v>
      </c>
      <c r="BG18" s="20">
        <f t="shared" si="7"/>
        <v>56.633238462952697</v>
      </c>
      <c r="BH18" s="59">
        <f t="shared" si="8"/>
        <v>349.96657179628602</v>
      </c>
      <c r="BI18" s="59">
        <f ca="1">AVERAGE(OFFSET($BH$3,0,0,'Données projet'!$E$11+1,1))-AVERAGE(OFFSET($H$3,0,0,'Données projet'!$E$11+1,1))</f>
        <v>230.68538392491388</v>
      </c>
      <c r="BJ18" s="59">
        <f t="shared" si="38"/>
        <v>267.97457956620724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1.2</v>
      </c>
      <c r="BY18" s="12">
        <f>IF('Données projet'!$A$114&gt;35,BY17+BX18-CG17,IF(A18&lt;'Données projet'!$A$114,$BV$205^A18,IF(A18='Données projet'!$A$114,'Données projet'!$B$114,BY17+BX18-CG17)))</f>
        <v>7.6961363407260848</v>
      </c>
      <c r="BZ18" s="13">
        <f>BY18*VLOOKUP('Données projet'!$B$12,Paramètres!$A$1:$I$89,3,0)*VLOOKUP('Données projet'!$B$12,Paramètres!$A$1:$I$89,5,0)</f>
        <v>8.7643600648188649</v>
      </c>
      <c r="CA18" s="13">
        <f t="shared" si="39"/>
        <v>3.1371814875374633</v>
      </c>
      <c r="CB18" s="20">
        <f t="shared" si="10"/>
        <v>20.728518203687273</v>
      </c>
      <c r="CC18" s="59">
        <f t="shared" si="11"/>
        <v>314.06185153702057</v>
      </c>
      <c r="CD18" s="59">
        <f ca="1">AVERAGE(OFFSET($CC$3,0,0,'Données projet'!$E$12+1,1))-AVERAGE(OFFSET($H$3,0,0,'Données projet'!$E$12+1,1))</f>
        <v>242.1473060698724</v>
      </c>
      <c r="CE18" s="59">
        <f t="shared" si="40"/>
        <v>96.127995920458659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>
        <f>CT18*VLOOKUP('Données projet'!$B$13,Paramètres!$A$1:$I$89,3,0)*VLOOKUP('Données projet'!$B$13,Paramètres!$A$1:$I$89,5,0)</f>
        <v>0</v>
      </c>
      <c r="CV18" s="13" t="e">
        <f t="shared" si="41"/>
        <v>#NUM!</v>
      </c>
      <c r="CW18" s="20" t="e">
        <f t="shared" si="13"/>
        <v>#NUM!</v>
      </c>
      <c r="CX18" s="59" t="e">
        <f t="shared" si="14"/>
        <v>#NUM!</v>
      </c>
      <c r="CY18" s="59">
        <f ca="1">AVERAGE(OFFSET($CX$3,0,0,'Données projet'!$E$13+1,1))-AVERAGE(OFFSET($H$3,0,0,'Données projet'!$E$13+1,1))</f>
        <v>0</v>
      </c>
      <c r="CZ18" s="59">
        <f t="shared" si="42"/>
        <v>0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>
        <f>DO18*VLOOKUP('Données projet'!$B$14,Paramètres!$A$1:$I$89,3,0)*VLOOKUP('Données projet'!$B$14,Paramètres!$A$1:$I$89,5,0)</f>
        <v>0</v>
      </c>
      <c r="DQ18" s="13" t="e">
        <f t="shared" si="43"/>
        <v>#NUM!</v>
      </c>
      <c r="DR18" s="20" t="e">
        <f t="shared" si="16"/>
        <v>#NUM!</v>
      </c>
      <c r="DS18" s="59" t="e">
        <f t="shared" si="17"/>
        <v>#NUM!</v>
      </c>
      <c r="DT18" s="59">
        <f ca="1">AVERAGE(OFFSET($DS$3,0,0,'Données projet'!$E$14+1,1))-AVERAGE(OFFSET($H$3,0,0,'Données projet'!$E$14+1,1))</f>
        <v>0</v>
      </c>
      <c r="DU18" s="59">
        <f t="shared" si="44"/>
        <v>0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22.833333333333332</v>
      </c>
      <c r="N19" s="13">
        <f>IF('Données projet'!$A$36&gt;35,N18+M19-V18,IF(A19&lt;'Données projet'!$A$36,$K$205^A19,IF(A19='Données projet'!$A$36,'Données projet'!$B$36,N18+M19-V18)))</f>
        <v>161.66666666666669</v>
      </c>
      <c r="O19" s="13">
        <f>N19*VLOOKUP('Données projet'!$B$9,Paramètres!$A$1:$I$89,3,0)*VLOOKUP('Données projet'!$B$9,Paramètres!$A$1:$I$89,5,0)</f>
        <v>96.676666666666677</v>
      </c>
      <c r="P19" s="13">
        <f t="shared" si="33"/>
        <v>26.168708566058182</v>
      </c>
      <c r="Q19" s="20">
        <f t="shared" si="2"/>
        <v>213.95569519699578</v>
      </c>
      <c r="R19" s="59">
        <f t="shared" si="0"/>
        <v>507.28902853032912</v>
      </c>
      <c r="S19" s="59">
        <f ca="1">AVERAGE(OFFSET($R$3,0,0,'Données projet'!$E$9+1,1))-AVERAGE(OFFSET($H$3,0,0,'Données projet'!$E$9+1,1))</f>
        <v>212.98969326021802</v>
      </c>
      <c r="T19" s="59">
        <f t="shared" si="34"/>
        <v>422.91218020922895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7.568831109406414</v>
      </c>
      <c r="AB19" s="21">
        <f>EXP(-LN(2)/2)*AB18+(1-EXP(-LN(2)/2))/(LN(2)/2)*V19*Y19*VLOOKUP('Données projet'!$B$9,Paramètres!$A$1:$I$89,3,0)*0.475*44/12</f>
        <v>7.6170927816092995</v>
      </c>
      <c r="AC19" s="22">
        <f t="shared" si="3"/>
        <v>15.185923891015713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6.45</v>
      </c>
      <c r="AI19" s="13">
        <f>IF('Données projet'!$A$62&gt;35,AI18+AH19-AQ18,IF(A19&lt;'Données projet'!$A$62,$AF$205^A19,IF(A19='Données projet'!$A$62,'Données projet'!$B$62,AI18+AH19-AQ18)))</f>
        <v>48.805837347852972</v>
      </c>
      <c r="AJ19" s="13">
        <f>AI19*VLOOKUP('Données projet'!$B$10,Paramètres!$A$1:$I$89,3,0)*VLOOKUP('Données projet'!$B$10,Paramètres!$A$1:$I$89,5,0)</f>
        <v>29.18589073401608</v>
      </c>
      <c r="AK19" s="13">
        <f t="shared" si="35"/>
        <v>9.0819453755814319</v>
      </c>
      <c r="AL19" s="20">
        <f t="shared" si="4"/>
        <v>66.649814557548993</v>
      </c>
      <c r="AM19" s="59">
        <f t="shared" si="5"/>
        <v>359.98314789088232</v>
      </c>
      <c r="AN19" s="59">
        <f ca="1">AVERAGE(OFFSET($AM$3,0,0,'Données projet'!$E$10+1,1))-AVERAGE(OFFSET($H$3,0,0,'Données projet'!$E$10+1,1))</f>
        <v>318.09371753144256</v>
      </c>
      <c r="AO19" s="59">
        <f t="shared" si="36"/>
        <v>298.61479562586919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4.75</v>
      </c>
      <c r="BD19" s="12">
        <f>IF('Données projet'!$A$88&gt;35,BD18+BC19-BL18,IF(A19&lt;'Données projet'!$A$88,$BA$205^A19,IF(A19='Données projet'!$A$88,'Données projet'!$B$88,BD18+BC19-BL18)))</f>
        <v>38.21016246244956</v>
      </c>
      <c r="BE19" s="13">
        <f>BD19*VLOOKUP('Données projet'!$B$11,Paramètres!$A$1:$I$89,3,0)*VLOOKUP('Données projet'!$B$11,Paramètres!$A$1:$I$89,5,0)</f>
        <v>30.996083789539089</v>
      </c>
      <c r="BF19" s="13">
        <f t="shared" si="37"/>
        <v>9.5779105445820392</v>
      </c>
      <c r="BG19" s="20">
        <f t="shared" si="7"/>
        <v>70.666373465260961</v>
      </c>
      <c r="BH19" s="59">
        <f t="shared" si="8"/>
        <v>363.99970679859427</v>
      </c>
      <c r="BI19" s="59">
        <f ca="1">AVERAGE(OFFSET($BH$3,0,0,'Données projet'!$E$11+1,1))-AVERAGE(OFFSET($H$3,0,0,'Données projet'!$E$11+1,1))</f>
        <v>230.68538392491388</v>
      </c>
      <c r="BJ19" s="59">
        <f t="shared" si="38"/>
        <v>267.97457956620724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1.2</v>
      </c>
      <c r="BY19" s="12">
        <f>IF('Données projet'!$A$114&gt;35,BY18+BX19-CG18,IF(A19&lt;'Données projet'!$A$114,$BV$205^A19,IF(A19='Données projet'!$A$114,'Données projet'!$B$114,BY18+BX19-CG18)))</f>
        <v>8.8177463744060987</v>
      </c>
      <c r="BZ19" s="13">
        <f>BY19*VLOOKUP('Données projet'!$B$12,Paramètres!$A$1:$I$89,3,0)*VLOOKUP('Données projet'!$B$12,Paramètres!$A$1:$I$89,5,0)</f>
        <v>10.041649571173666</v>
      </c>
      <c r="CA19" s="13">
        <f t="shared" si="39"/>
        <v>3.537911925799258</v>
      </c>
      <c r="CB19" s="20">
        <f t="shared" si="10"/>
        <v>23.651069607227843</v>
      </c>
      <c r="CC19" s="59">
        <f t="shared" si="11"/>
        <v>316.98440294056115</v>
      </c>
      <c r="CD19" s="59">
        <f ca="1">AVERAGE(OFFSET($CC$3,0,0,'Données projet'!$E$12+1,1))-AVERAGE(OFFSET($H$3,0,0,'Données projet'!$E$12+1,1))</f>
        <v>242.1473060698724</v>
      </c>
      <c r="CE19" s="59">
        <f t="shared" si="40"/>
        <v>96.127995920458659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>
        <f>CT19*VLOOKUP('Données projet'!$B$13,Paramètres!$A$1:$I$89,3,0)*VLOOKUP('Données projet'!$B$13,Paramètres!$A$1:$I$89,5,0)</f>
        <v>0</v>
      </c>
      <c r="CV19" s="13" t="e">
        <f t="shared" si="41"/>
        <v>#NUM!</v>
      </c>
      <c r="CW19" s="20" t="e">
        <f t="shared" si="13"/>
        <v>#NUM!</v>
      </c>
      <c r="CX19" s="59" t="e">
        <f t="shared" si="14"/>
        <v>#NUM!</v>
      </c>
      <c r="CY19" s="59">
        <f ca="1">AVERAGE(OFFSET($CX$3,0,0,'Données projet'!$E$13+1,1))-AVERAGE(OFFSET($H$3,0,0,'Données projet'!$E$13+1,1))</f>
        <v>0</v>
      </c>
      <c r="CZ19" s="59">
        <f t="shared" si="42"/>
        <v>0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>
        <f>DO19*VLOOKUP('Données projet'!$B$14,Paramètres!$A$1:$I$89,3,0)*VLOOKUP('Données projet'!$B$14,Paramètres!$A$1:$I$89,5,0)</f>
        <v>0</v>
      </c>
      <c r="DQ19" s="13" t="e">
        <f t="shared" si="43"/>
        <v>#NUM!</v>
      </c>
      <c r="DR19" s="20" t="e">
        <f t="shared" si="16"/>
        <v>#NUM!</v>
      </c>
      <c r="DS19" s="59" t="e">
        <f t="shared" si="17"/>
        <v>#NUM!</v>
      </c>
      <c r="DT19" s="59">
        <f ca="1">AVERAGE(OFFSET($DS$3,0,0,'Données projet'!$E$14+1,1))-AVERAGE(OFFSET($H$3,0,0,'Données projet'!$E$14+1,1))</f>
        <v>0</v>
      </c>
      <c r="DU19" s="59">
        <f t="shared" si="44"/>
        <v>0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22.833333333333332</v>
      </c>
      <c r="N20" s="13">
        <f>IF('Données projet'!$A$36&gt;35,N19+M20-V19,IF(A20&lt;'Données projet'!$A$36,$K$205^A20,IF(A20='Données projet'!$A$36,'Données projet'!$B$36,N19+M20-V19)))</f>
        <v>184.50000000000003</v>
      </c>
      <c r="O20" s="13">
        <f>N20*VLOOKUP('Données projet'!$B$9,Paramètres!$A$1:$I$89,3,0)*VLOOKUP('Données projet'!$B$9,Paramètres!$A$1:$I$89,5,0)</f>
        <v>110.33100000000003</v>
      </c>
      <c r="P20" s="13">
        <f t="shared" si="33"/>
        <v>29.408957111883897</v>
      </c>
      <c r="Q20" s="20">
        <f t="shared" si="2"/>
        <v>243.38042530319785</v>
      </c>
      <c r="R20" s="59">
        <f t="shared" si="0"/>
        <v>536.71375863653111</v>
      </c>
      <c r="S20" s="59">
        <f ca="1">AVERAGE(OFFSET($R$3,0,0,'Données projet'!$E$9+1,1))-AVERAGE(OFFSET($H$3,0,0,'Données projet'!$E$9+1,1))</f>
        <v>212.98969326021802</v>
      </c>
      <c r="T20" s="59">
        <f t="shared" si="34"/>
        <v>422.91218020922895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7.3618610246921667</v>
      </c>
      <c r="AB20" s="21">
        <f>EXP(-LN(2)/2)*AB19+(1-EXP(-LN(2)/2))/(LN(2)/2)*V20*Y20*VLOOKUP('Données projet'!$B$9,Paramètres!$A$1:$I$89,3,0)*0.475*44/12</f>
        <v>5.3860979588030382</v>
      </c>
      <c r="AC20" s="22">
        <f t="shared" si="3"/>
        <v>12.747958983495206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6.45</v>
      </c>
      <c r="AI20" s="13">
        <f>IF('Données projet'!$A$62&gt;35,AI19+AH20-AQ19,IF(A20&lt;'Données projet'!$A$62,$AF$205^A20,IF(A20='Données projet'!$A$62,'Données projet'!$B$62,AI19+AH20-AQ19)))</f>
        <v>62.230208167557464</v>
      </c>
      <c r="AJ20" s="13">
        <f>AI20*VLOOKUP('Données projet'!$B$10,Paramètres!$A$1:$I$89,3,0)*VLOOKUP('Données projet'!$B$10,Paramètres!$A$1:$I$89,5,0)</f>
        <v>37.21366448419937</v>
      </c>
      <c r="AK20" s="13">
        <f t="shared" si="35"/>
        <v>11.25705372674275</v>
      </c>
      <c r="AL20" s="20">
        <f t="shared" si="4"/>
        <v>84.419834217390857</v>
      </c>
      <c r="AM20" s="59">
        <f t="shared" si="5"/>
        <v>377.75316755072419</v>
      </c>
      <c r="AN20" s="59">
        <f ca="1">AVERAGE(OFFSET($AM$3,0,0,'Données projet'!$E$10+1,1))-AVERAGE(OFFSET($H$3,0,0,'Données projet'!$E$10+1,1))</f>
        <v>318.09371753144256</v>
      </c>
      <c r="AO20" s="59">
        <f t="shared" si="36"/>
        <v>298.61479562586919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4.75</v>
      </c>
      <c r="BD20" s="12">
        <f>IF('Données projet'!$A$88&gt;35,BD19+BC20-BL19,IF(A20&lt;'Données projet'!$A$88,$BA$205^A20,IF(A20='Données projet'!$A$88,'Données projet'!$B$88,BD19+BC20-BL19)))</f>
        <v>47.980532602494719</v>
      </c>
      <c r="BE20" s="13">
        <f>BD20*VLOOKUP('Données projet'!$B$11,Paramètres!$A$1:$I$89,3,0)*VLOOKUP('Données projet'!$B$11,Paramètres!$A$1:$I$89,5,0)</f>
        <v>38.92180804714372</v>
      </c>
      <c r="BF20" s="13">
        <f t="shared" si="37"/>
        <v>11.712419133747929</v>
      </c>
      <c r="BG20" s="20">
        <f t="shared" si="7"/>
        <v>88.187945673386295</v>
      </c>
      <c r="BH20" s="59">
        <f t="shared" si="8"/>
        <v>381.52127900671962</v>
      </c>
      <c r="BI20" s="59">
        <f ca="1">AVERAGE(OFFSET($BH$3,0,0,'Données projet'!$E$11+1,1))-AVERAGE(OFFSET($H$3,0,0,'Données projet'!$E$11+1,1))</f>
        <v>230.68538392491388</v>
      </c>
      <c r="BJ20" s="59">
        <f t="shared" si="38"/>
        <v>267.97457956620724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1.2</v>
      </c>
      <c r="BY20" s="12">
        <f>IF('Données projet'!$A$114&gt;35,BY19+BX20-CG19,IF(A20&lt;'Données projet'!$A$114,$BV$205^A20,IF(A20='Données projet'!$A$114,'Données projet'!$B$114,BY19+BX20-CG19)))</f>
        <v>10.102816228956828</v>
      </c>
      <c r="BZ20" s="13">
        <f>BY20*VLOOKUP('Données projet'!$B$12,Paramètres!$A$1:$I$89,3,0)*VLOOKUP('Données projet'!$B$12,Paramètres!$A$1:$I$89,5,0)</f>
        <v>11.505087121536034</v>
      </c>
      <c r="CA20" s="13">
        <f t="shared" si="39"/>
        <v>3.9898299937176129</v>
      </c>
      <c r="CB20" s="20">
        <f t="shared" si="10"/>
        <v>26.986980642400102</v>
      </c>
      <c r="CC20" s="59">
        <f t="shared" si="11"/>
        <v>320.32031397573343</v>
      </c>
      <c r="CD20" s="59">
        <f ca="1">AVERAGE(OFFSET($CC$3,0,0,'Données projet'!$E$12+1,1))-AVERAGE(OFFSET($H$3,0,0,'Données projet'!$E$12+1,1))</f>
        <v>242.1473060698724</v>
      </c>
      <c r="CE20" s="59">
        <f t="shared" si="40"/>
        <v>96.127995920458659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>
        <f>CT20*VLOOKUP('Données projet'!$B$13,Paramètres!$A$1:$I$89,3,0)*VLOOKUP('Données projet'!$B$13,Paramètres!$A$1:$I$89,5,0)</f>
        <v>0</v>
      </c>
      <c r="CV20" s="13" t="e">
        <f t="shared" si="41"/>
        <v>#NUM!</v>
      </c>
      <c r="CW20" s="20" t="e">
        <f t="shared" si="13"/>
        <v>#NUM!</v>
      </c>
      <c r="CX20" s="59" t="e">
        <f t="shared" si="14"/>
        <v>#NUM!</v>
      </c>
      <c r="CY20" s="59">
        <f ca="1">AVERAGE(OFFSET($CX$3,0,0,'Données projet'!$E$13+1,1))-AVERAGE(OFFSET($H$3,0,0,'Données projet'!$E$13+1,1))</f>
        <v>0</v>
      </c>
      <c r="CZ20" s="59">
        <f t="shared" si="42"/>
        <v>0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>
        <f>DO20*VLOOKUP('Données projet'!$B$14,Paramètres!$A$1:$I$89,3,0)*VLOOKUP('Données projet'!$B$14,Paramètres!$A$1:$I$89,5,0)</f>
        <v>0</v>
      </c>
      <c r="DQ20" s="13" t="e">
        <f t="shared" si="43"/>
        <v>#NUM!</v>
      </c>
      <c r="DR20" s="20" t="e">
        <f t="shared" si="16"/>
        <v>#NUM!</v>
      </c>
      <c r="DS20" s="59" t="e">
        <f t="shared" si="17"/>
        <v>#NUM!</v>
      </c>
      <c r="DT20" s="59">
        <f ca="1">AVERAGE(OFFSET($DS$3,0,0,'Données projet'!$E$14+1,1))-AVERAGE(OFFSET($H$3,0,0,'Données projet'!$E$14+1,1))</f>
        <v>0</v>
      </c>
      <c r="DU20" s="59">
        <f t="shared" si="44"/>
        <v>0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22.833333333333332</v>
      </c>
      <c r="N21" s="13">
        <f>IF('Données projet'!$A$36&gt;35,N20+M21-V20,IF(A21&lt;'Données projet'!$A$36,$K$205^A21,IF(A21='Données projet'!$A$36,'Données projet'!$B$36,N20+M21-V20)))</f>
        <v>207.33333333333337</v>
      </c>
      <c r="O21" s="13">
        <f>N21*VLOOKUP('Données projet'!$B$9,Paramètres!$A$1:$I$89,3,0)*VLOOKUP('Données projet'!$B$9,Paramètres!$A$1:$I$89,5,0)</f>
        <v>123.98533333333336</v>
      </c>
      <c r="P21" s="13">
        <f t="shared" si="33"/>
        <v>32.60273802554125</v>
      </c>
      <c r="Q21" s="20">
        <f t="shared" si="2"/>
        <v>272.7242242833733</v>
      </c>
      <c r="R21" s="59">
        <f t="shared" si="0"/>
        <v>566.05755761670662</v>
      </c>
      <c r="S21" s="59">
        <f ca="1">AVERAGE(OFFSET($R$3,0,0,'Données projet'!$E$9+1,1))-AVERAGE(OFFSET($H$3,0,0,'Données projet'!$E$9+1,1))</f>
        <v>212.98969326021802</v>
      </c>
      <c r="T21" s="59">
        <f t="shared" si="34"/>
        <v>422.91218020922895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7.1605505478285139</v>
      </c>
      <c r="AB21" s="21">
        <f>EXP(-LN(2)/2)*AB20+(1-EXP(-LN(2)/2))/(LN(2)/2)*V21*Y21*VLOOKUP('Données projet'!$B$9,Paramètres!$A$1:$I$89,3,0)*0.475*44/12</f>
        <v>3.8085463908046506</v>
      </c>
      <c r="AC21" s="22">
        <f t="shared" si="3"/>
        <v>10.969096938633164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6.45</v>
      </c>
      <c r="AI21" s="13">
        <f>IF('Données projet'!$A$62&gt;35,AI20+AH21-AQ20,IF(A21&lt;'Données projet'!$A$62,$AF$205^A21,IF(A21='Données projet'!$A$62,'Données projet'!$B$62,AI20+AH21-AQ20)))</f>
        <v>79.347041645375967</v>
      </c>
      <c r="AJ21" s="13">
        <f>AI21*VLOOKUP('Données projet'!$B$10,Paramètres!$A$1:$I$89,3,0)*VLOOKUP('Données projet'!$B$10,Paramètres!$A$1:$I$89,5,0)</f>
        <v>47.449530903934829</v>
      </c>
      <c r="AK21" s="13">
        <f t="shared" si="35"/>
        <v>13.953096320914629</v>
      </c>
      <c r="AL21" s="20">
        <f t="shared" si="4"/>
        <v>106.94290908327946</v>
      </c>
      <c r="AM21" s="59">
        <f t="shared" si="5"/>
        <v>400.27624241661277</v>
      </c>
      <c r="AN21" s="59">
        <f ca="1">AVERAGE(OFFSET($AM$3,0,0,'Données projet'!$E$10+1,1))-AVERAGE(OFFSET($H$3,0,0,'Données projet'!$E$10+1,1))</f>
        <v>318.09371753144256</v>
      </c>
      <c r="AO21" s="59">
        <f t="shared" si="36"/>
        <v>298.61479562586919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4.75</v>
      </c>
      <c r="BD21" s="12">
        <f>IF('Données projet'!$A$88&gt;35,BD20+BC21-BL20,IF(A21&lt;'Données projet'!$A$88,$BA$205^A21,IF(A21='Données projet'!$A$88,'Données projet'!$B$88,BD20+BC21-BL20)))</f>
        <v>60.249194467085609</v>
      </c>
      <c r="BE21" s="13">
        <f>BD21*VLOOKUP('Données projet'!$B$11,Paramètres!$A$1:$I$89,3,0)*VLOOKUP('Données projet'!$B$11,Paramètres!$A$1:$I$89,5,0)</f>
        <v>48.874146551699845</v>
      </c>
      <c r="BF21" s="13">
        <f t="shared" si="37"/>
        <v>14.32261883487562</v>
      </c>
      <c r="BG21" s="20">
        <f t="shared" si="7"/>
        <v>110.06769971495227</v>
      </c>
      <c r="BH21" s="59">
        <f t="shared" si="8"/>
        <v>403.40103304828557</v>
      </c>
      <c r="BI21" s="59">
        <f ca="1">AVERAGE(OFFSET($BH$3,0,0,'Données projet'!$E$11+1,1))-AVERAGE(OFFSET($H$3,0,0,'Données projet'!$E$11+1,1))</f>
        <v>230.68538392491388</v>
      </c>
      <c r="BJ21" s="59">
        <f t="shared" si="38"/>
        <v>267.97457956620724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1.2</v>
      </c>
      <c r="BY21" s="12">
        <f>IF('Données projet'!$A$114&gt;35,BY20+BX21-CG20,IF(A21&lt;'Données projet'!$A$114,$BV$205^A21,IF(A21='Données projet'!$A$114,'Données projet'!$B$114,BY20+BX21-CG20)))</f>
        <v>11.575168010312384</v>
      </c>
      <c r="BZ21" s="13">
        <f>BY21*VLOOKUP('Données projet'!$B$12,Paramètres!$A$1:$I$89,3,0)*VLOOKUP('Données projet'!$B$12,Paramètres!$A$1:$I$89,5,0)</f>
        <v>13.181801330143742</v>
      </c>
      <c r="CA21" s="13">
        <f t="shared" si="39"/>
        <v>4.4994741849523159</v>
      </c>
      <c r="CB21" s="20">
        <f t="shared" si="10"/>
        <v>30.794888188792299</v>
      </c>
      <c r="CC21" s="59">
        <f t="shared" si="11"/>
        <v>324.12822152212561</v>
      </c>
      <c r="CD21" s="59">
        <f ca="1">AVERAGE(OFFSET($CC$3,0,0,'Données projet'!$E$12+1,1))-AVERAGE(OFFSET($H$3,0,0,'Données projet'!$E$12+1,1))</f>
        <v>242.1473060698724</v>
      </c>
      <c r="CE21" s="59">
        <f t="shared" si="40"/>
        <v>96.127995920458659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>
        <f>CT21*VLOOKUP('Données projet'!$B$13,Paramètres!$A$1:$I$89,3,0)*VLOOKUP('Données projet'!$B$13,Paramètres!$A$1:$I$89,5,0)</f>
        <v>0</v>
      </c>
      <c r="CV21" s="13" t="e">
        <f t="shared" si="41"/>
        <v>#NUM!</v>
      </c>
      <c r="CW21" s="20" t="e">
        <f t="shared" si="13"/>
        <v>#NUM!</v>
      </c>
      <c r="CX21" s="59" t="e">
        <f t="shared" si="14"/>
        <v>#NUM!</v>
      </c>
      <c r="CY21" s="59">
        <f ca="1">AVERAGE(OFFSET($CX$3,0,0,'Données projet'!$E$13+1,1))-AVERAGE(OFFSET($H$3,0,0,'Données projet'!$E$13+1,1))</f>
        <v>0</v>
      </c>
      <c r="CZ21" s="59">
        <f t="shared" si="42"/>
        <v>0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>
        <f>DO21*VLOOKUP('Données projet'!$B$14,Paramètres!$A$1:$I$89,3,0)*VLOOKUP('Données projet'!$B$14,Paramètres!$A$1:$I$89,5,0)</f>
        <v>0</v>
      </c>
      <c r="DQ21" s="13" t="e">
        <f t="shared" si="43"/>
        <v>#NUM!</v>
      </c>
      <c r="DR21" s="20" t="e">
        <f t="shared" si="16"/>
        <v>#NUM!</v>
      </c>
      <c r="DS21" s="59" t="e">
        <f t="shared" si="17"/>
        <v>#NUM!</v>
      </c>
      <c r="DT21" s="59">
        <f ca="1">AVERAGE(OFFSET($DS$3,0,0,'Données projet'!$E$14+1,1))-AVERAGE(OFFSET($H$3,0,0,'Données projet'!$E$14+1,1))</f>
        <v>0</v>
      </c>
      <c r="DU21" s="59">
        <f t="shared" si="44"/>
        <v>0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22.833333333333332</v>
      </c>
      <c r="N22" s="13">
        <f>IF('Données projet'!$A$36&gt;35,N21+M22-V21,IF(A22&lt;'Données projet'!$A$36,$K$205^A22,IF(A22='Données projet'!$A$36,'Données projet'!$B$36,N21+M22-V21)))</f>
        <v>230.16666666666671</v>
      </c>
      <c r="O22" s="13">
        <f>N22*VLOOKUP('Données projet'!$B$9,Paramètres!$A$1:$I$89,3,0)*VLOOKUP('Données projet'!$B$9,Paramètres!$A$1:$I$89,5,0)</f>
        <v>137.6396666666667</v>
      </c>
      <c r="P22" s="13">
        <f t="shared" si="33"/>
        <v>35.755752347618163</v>
      </c>
      <c r="Q22" s="20">
        <f t="shared" si="2"/>
        <v>301.99702144987947</v>
      </c>
      <c r="R22" s="59">
        <f t="shared" si="0"/>
        <v>595.33035478321278</v>
      </c>
      <c r="S22" s="59">
        <f ca="1">AVERAGE(OFFSET($R$3,0,0,'Données projet'!$E$9+1,1))-AVERAGE(OFFSET($H$3,0,0,'Données projet'!$E$9+1,1))</f>
        <v>212.98969326021802</v>
      </c>
      <c r="T22" s="59">
        <f t="shared" si="34"/>
        <v>422.91218020922895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6.9647449165411555</v>
      </c>
      <c r="AB22" s="21">
        <f>EXP(-LN(2)/2)*AB21+(1-EXP(-LN(2)/2))/(LN(2)/2)*V22*Y22*VLOOKUP('Données projet'!$B$9,Paramètres!$A$1:$I$89,3,0)*0.475*44/12</f>
        <v>2.6930489794015195</v>
      </c>
      <c r="AC22" s="22">
        <f t="shared" si="3"/>
        <v>9.6577938959426746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6.45</v>
      </c>
      <c r="AI22" s="13">
        <f>IF('Données projet'!$A$62&gt;35,AI21+AH22-AQ21,IF(A22&lt;'Données projet'!$A$62,$AF$205^A22,IF(A22='Données projet'!$A$62,'Données projet'!$B$62,AI21+AH22-AQ21)))</f>
        <v>101.17197424313463</v>
      </c>
      <c r="AJ22" s="13">
        <f>AI22*VLOOKUP('Données projet'!$B$10,Paramètres!$A$1:$I$89,3,0)*VLOOKUP('Données projet'!$B$10,Paramètres!$A$1:$I$89,5,0)</f>
        <v>60.500840597394507</v>
      </c>
      <c r="AK22" s="13">
        <f t="shared" si="35"/>
        <v>17.294835901707554</v>
      </c>
      <c r="AL22" s="20">
        <f t="shared" si="4"/>
        <v>135.49413656926941</v>
      </c>
      <c r="AM22" s="59">
        <f t="shared" si="5"/>
        <v>428.82746990260273</v>
      </c>
      <c r="AN22" s="59">
        <f ca="1">AVERAGE(OFFSET($AM$3,0,0,'Données projet'!$E$10+1,1))-AVERAGE(OFFSET($H$3,0,0,'Données projet'!$E$10+1,1))</f>
        <v>318.09371753144256</v>
      </c>
      <c r="AO22" s="59">
        <f t="shared" si="36"/>
        <v>298.61479562586919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4.75</v>
      </c>
      <c r="BD22" s="12">
        <f>IF('Données projet'!$A$88&gt;35,BD21+BC22-BL21,IF(A22&lt;'Données projet'!$A$88,$BA$205^A22,IF(A22='Données projet'!$A$88,'Données projet'!$B$88,BD21+BC22-BL21)))</f>
        <v>75.65496331618381</v>
      </c>
      <c r="BE22" s="13">
        <f>BD22*VLOOKUP('Données projet'!$B$11,Paramètres!$A$1:$I$89,3,0)*VLOOKUP('Données projet'!$B$11,Paramètres!$A$1:$I$89,5,0)</f>
        <v>61.371306242088309</v>
      </c>
      <c r="BF22" s="13">
        <f t="shared" si="37"/>
        <v>17.514520949652077</v>
      </c>
      <c r="BG22" s="20">
        <f t="shared" si="7"/>
        <v>137.39281569228118</v>
      </c>
      <c r="BH22" s="59">
        <f t="shared" si="8"/>
        <v>430.72614902561452</v>
      </c>
      <c r="BI22" s="59">
        <f ca="1">AVERAGE(OFFSET($BH$3,0,0,'Données projet'!$E$11+1,1))-AVERAGE(OFFSET($H$3,0,0,'Données projet'!$E$11+1,1))</f>
        <v>230.68538392491388</v>
      </c>
      <c r="BJ22" s="59">
        <f t="shared" si="38"/>
        <v>267.97457956620724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1.2</v>
      </c>
      <c r="BY22" s="12">
        <f>IF('Données projet'!$A$114&gt;35,BY21+BX22-CG21,IF(A22&lt;'Données projet'!$A$114,$BV$205^A22,IF(A22='Données projet'!$A$114,'Données projet'!$B$114,BY21+BX22-CG21)))</f>
        <v>13.262095581124292</v>
      </c>
      <c r="BZ22" s="13">
        <f>BY22*VLOOKUP('Données projet'!$B$12,Paramètres!$A$1:$I$89,3,0)*VLOOKUP('Données projet'!$B$12,Paramètres!$A$1:$I$89,5,0)</f>
        <v>15.102874447784345</v>
      </c>
      <c r="CA22" s="13">
        <f t="shared" si="39"/>
        <v>5.074218192988301</v>
      </c>
      <c r="CB22" s="20">
        <f t="shared" si="10"/>
        <v>35.141769682679019</v>
      </c>
      <c r="CC22" s="59">
        <f t="shared" si="11"/>
        <v>328.47510301601233</v>
      </c>
      <c r="CD22" s="59">
        <f ca="1">AVERAGE(OFFSET($CC$3,0,0,'Données projet'!$E$12+1,1))-AVERAGE(OFFSET($H$3,0,0,'Données projet'!$E$12+1,1))</f>
        <v>242.1473060698724</v>
      </c>
      <c r="CE22" s="59">
        <f t="shared" si="40"/>
        <v>96.127995920458659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>
        <f>CT22*VLOOKUP('Données projet'!$B$13,Paramètres!$A$1:$I$89,3,0)*VLOOKUP('Données projet'!$B$13,Paramètres!$A$1:$I$89,5,0)</f>
        <v>0</v>
      </c>
      <c r="CV22" s="13" t="e">
        <f t="shared" si="41"/>
        <v>#NUM!</v>
      </c>
      <c r="CW22" s="20" t="e">
        <f t="shared" si="13"/>
        <v>#NUM!</v>
      </c>
      <c r="CX22" s="59" t="e">
        <f t="shared" si="14"/>
        <v>#NUM!</v>
      </c>
      <c r="CY22" s="59">
        <f ca="1">AVERAGE(OFFSET($CX$3,0,0,'Données projet'!$E$13+1,1))-AVERAGE(OFFSET($H$3,0,0,'Données projet'!$E$13+1,1))</f>
        <v>0</v>
      </c>
      <c r="CZ22" s="59">
        <f t="shared" si="42"/>
        <v>0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>
        <f>DO22*VLOOKUP('Données projet'!$B$14,Paramètres!$A$1:$I$89,3,0)*VLOOKUP('Données projet'!$B$14,Paramètres!$A$1:$I$89,5,0)</f>
        <v>0</v>
      </c>
      <c r="DQ22" s="13" t="e">
        <f t="shared" si="43"/>
        <v>#NUM!</v>
      </c>
      <c r="DR22" s="20" t="e">
        <f t="shared" si="16"/>
        <v>#NUM!</v>
      </c>
      <c r="DS22" s="59" t="e">
        <f t="shared" si="17"/>
        <v>#NUM!</v>
      </c>
      <c r="DT22" s="59">
        <f ca="1">AVERAGE(OFFSET($DS$3,0,0,'Données projet'!$E$14+1,1))-AVERAGE(OFFSET($H$3,0,0,'Données projet'!$E$14+1,1))</f>
        <v>0</v>
      </c>
      <c r="DU22" s="59">
        <f t="shared" si="44"/>
        <v>0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253</v>
      </c>
      <c r="L23" s="12">
        <f>VLOOKUP(A23,'Données projet'!$A$35:$I$55,9,0)</f>
        <v>22.833333333333332</v>
      </c>
      <c r="M23" s="12">
        <f t="array" ref="M23">INDEX(L:L,MIN(IF(ISNUMBER(L23:L219),ROW(L23:L219),"")))</f>
        <v>22.833333333333332</v>
      </c>
      <c r="N23" s="13">
        <f>IF('Données projet'!$A$36&gt;35,N22+M23-V22,IF(A23&lt;'Données projet'!$A$36,$K$205^A23,IF(A23='Données projet'!$A$36,'Données projet'!$B$36,N22+M23-V22)))</f>
        <v>253.00000000000006</v>
      </c>
      <c r="O23" s="13">
        <f>N23*VLOOKUP('Données projet'!$B$9,Paramètres!$A$1:$I$89,3,0)*VLOOKUP('Données projet'!$B$9,Paramètres!$A$1:$I$89,5,0)</f>
        <v>151.29400000000007</v>
      </c>
      <c r="P23" s="13">
        <f t="shared" si="33"/>
        <v>38.872504593639988</v>
      </c>
      <c r="Q23" s="20">
        <f t="shared" si="2"/>
        <v>331.20666216725641</v>
      </c>
      <c r="R23" s="59">
        <f t="shared" si="0"/>
        <v>624.53999550058973</v>
      </c>
      <c r="S23" s="59">
        <f ca="1">AVERAGE(OFFSET($R$3,0,0,'Données projet'!$E$9+1,1))-AVERAGE(OFFSET($H$3,0,0,'Données projet'!$E$9+1,1))</f>
        <v>212.98969326021802</v>
      </c>
      <c r="T23" s="59">
        <f t="shared" si="34"/>
        <v>422.91218020922895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72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0.18000000000000002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5.140490327406436</v>
      </c>
      <c r="AA23" s="21">
        <f>EXP(-LN(2)/25)*AA22+(1-EXP(-LN(2)/25))/(LN(2)/25)*Calculateur!V23*Calculateur!X23*VLOOKUP('Données projet'!$B$9,Paramètres!$A$1:$I$89,3,0)*0.475*44/12</f>
        <v>17.014794117152451</v>
      </c>
      <c r="AB23" s="21">
        <f>EXP(-LN(2)/2)*AB22+(1-EXP(-LN(2)/2))/(LN(2)/2)*V23*Y23*VLOOKUP('Données projet'!$B$9,Paramètres!$A$1:$I$89,3,0)*0.475*44/12</f>
        <v>21.404030716322129</v>
      </c>
      <c r="AC23" s="22">
        <f t="shared" si="3"/>
        <v>43.559315160881013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129</v>
      </c>
      <c r="AG23" s="12">
        <f>VLOOKUP(A23,'Données projet'!$A$61:$I$81,9,0)</f>
        <v>6.45</v>
      </c>
      <c r="AH23" s="12">
        <f t="array" ref="AH23">INDEX(AG:AG,MIN(IF(ISNUMBER(AG23:AG219),ROW(AG23:AG219),"")))</f>
        <v>6.45</v>
      </c>
      <c r="AI23" s="13">
        <f>IF('Données projet'!$A$62&gt;35,AI22+AH23-AQ22,IF(A23&lt;'Données projet'!$A$62,$AF$205^A23,IF(A23='Données projet'!$A$62,'Données projet'!$B$62,AI22+AH23-AQ22)))</f>
        <v>129</v>
      </c>
      <c r="AJ23" s="13">
        <f>AI23*VLOOKUP('Données projet'!$B$10,Paramètres!$A$1:$I$89,3,0)*VLOOKUP('Données projet'!$B$10,Paramètres!$A$1:$I$89,5,0)</f>
        <v>77.14200000000001</v>
      </c>
      <c r="AK23" s="13">
        <f t="shared" si="35"/>
        <v>21.436915648510755</v>
      </c>
      <c r="AL23" s="20">
        <f t="shared" si="4"/>
        <v>171.69161142115624</v>
      </c>
      <c r="AM23" s="59">
        <f t="shared" si="5"/>
        <v>465.02494475448952</v>
      </c>
      <c r="AN23" s="59">
        <f ca="1">AVERAGE(OFFSET($AM$3,0,0,'Données projet'!$E$10+1,1))-AVERAGE(OFFSET($H$3,0,0,'Données projet'!$E$10+1,1))</f>
        <v>318.09371753144256</v>
      </c>
      <c r="AO23" s="59">
        <f t="shared" si="36"/>
        <v>298.61479562586919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0.22500000000000001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6.5780992901861595</v>
      </c>
      <c r="AW23" s="21">
        <f>EXP(-LN(2)/2)*AW22+(1-EXP(-LN(2)/2))/(LN(2)/2)*AQ23*AT23*VLOOKUP('Données projet'!$B$10,Paramètres!$A$1:$I$89,3,0)*0.475*44/12</f>
        <v>12.52588590753529</v>
      </c>
      <c r="AX23" s="21">
        <f t="shared" si="6"/>
        <v>19.10398519772145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95</v>
      </c>
      <c r="BB23" s="12">
        <f>VLOOKUP(A23,'Données projet'!$A$87:$I$107,9,0)</f>
        <v>4.75</v>
      </c>
      <c r="BC23" s="12">
        <f t="array" ref="BC23">INDEX(BB:BB,MIN(IF(ISNUMBER(BB23:BB219),ROW(BB23:BB219),"")))</f>
        <v>4.75</v>
      </c>
      <c r="BD23" s="12">
        <f>IF('Données projet'!$A$88&gt;35,BD22+BC23-BL22,IF(A23&lt;'Données projet'!$A$88,$BA$205^A23,IF(A23='Données projet'!$A$88,'Données projet'!$B$88,BD22+BC23-BL22)))</f>
        <v>95</v>
      </c>
      <c r="BE23" s="13">
        <f>BD23*VLOOKUP('Données projet'!$B$11,Paramètres!$A$1:$I$89,3,0)*VLOOKUP('Données projet'!$B$11,Paramètres!$A$1:$I$89,5,0)</f>
        <v>77.064000000000007</v>
      </c>
      <c r="BF23" s="13">
        <f t="shared" si="37"/>
        <v>21.417762186678065</v>
      </c>
      <c r="BG23" s="20">
        <f t="shared" si="7"/>
        <v>171.52240247513097</v>
      </c>
      <c r="BH23" s="59">
        <f t="shared" si="8"/>
        <v>464.85573580846426</v>
      </c>
      <c r="BI23" s="59">
        <f ca="1">AVERAGE(OFFSET($BH$3,0,0,'Données projet'!$E$11+1,1))-AVERAGE(OFFSET($H$3,0,0,'Données projet'!$E$11+1,1))</f>
        <v>230.68538392491388</v>
      </c>
      <c r="BJ23" s="59">
        <f t="shared" si="38"/>
        <v>267.97457956620724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43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0.1075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4.1289404005276058</v>
      </c>
      <c r="BR23" s="21">
        <f>EXP(-LN(2)/2)*BR22+(1-EXP(-LN(2)/2))/(LN(2)/2)*BL23*BO23*VLOOKUP('Données projet'!$B$11,Paramètres!$A$1:$I$89,3,0)*0.475*44/12</f>
        <v>8.2279321061248272</v>
      </c>
      <c r="BS23" s="22">
        <f t="shared" si="9"/>
        <v>12.356872506652433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1.2</v>
      </c>
      <c r="BY23" s="12">
        <f>IF('Données projet'!$A$114&gt;35,BY22+BX23-CG22,IF(A23&lt;'Données projet'!$A$114,$BV$205^A23,IF(A23='Données projet'!$A$114,'Données projet'!$B$114,BY22+BX23-CG22)))</f>
        <v>15.194870523363559</v>
      </c>
      <c r="BZ23" s="13">
        <f>BY23*VLOOKUP('Données projet'!$B$12,Paramètres!$A$1:$I$89,3,0)*VLOOKUP('Données projet'!$B$12,Paramètres!$A$1:$I$89,5,0)</f>
        <v>17.303918552006422</v>
      </c>
      <c r="CA23" s="13">
        <f t="shared" si="39"/>
        <v>5.7223775960671075</v>
      </c>
      <c r="CB23" s="20">
        <f t="shared" si="10"/>
        <v>40.104132457894728</v>
      </c>
      <c r="CC23" s="59">
        <f t="shared" si="11"/>
        <v>333.43746579122802</v>
      </c>
      <c r="CD23" s="59">
        <f ca="1">AVERAGE(OFFSET($CC$3,0,0,'Données projet'!$E$12+1,1))-AVERAGE(OFFSET($H$3,0,0,'Données projet'!$E$12+1,1))</f>
        <v>242.1473060698724</v>
      </c>
      <c r="CE23" s="59">
        <f t="shared" si="40"/>
        <v>96.127995920458659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>
        <f>CT23*VLOOKUP('Données projet'!$B$13,Paramètres!$A$1:$I$89,3,0)*VLOOKUP('Données projet'!$B$13,Paramètres!$A$1:$I$89,5,0)</f>
        <v>0</v>
      </c>
      <c r="CV23" s="13" t="e">
        <f t="shared" si="41"/>
        <v>#NUM!</v>
      </c>
      <c r="CW23" s="20" t="e">
        <f t="shared" si="13"/>
        <v>#NUM!</v>
      </c>
      <c r="CX23" s="59" t="e">
        <f t="shared" si="14"/>
        <v>#NUM!</v>
      </c>
      <c r="CY23" s="59">
        <f ca="1">AVERAGE(OFFSET($CX$3,0,0,'Données projet'!$E$13+1,1))-AVERAGE(OFFSET($H$3,0,0,'Données projet'!$E$13+1,1))</f>
        <v>0</v>
      </c>
      <c r="CZ23" s="59">
        <f t="shared" si="42"/>
        <v>0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>
        <f>DO23*VLOOKUP('Données projet'!$B$14,Paramètres!$A$1:$I$89,3,0)*VLOOKUP('Données projet'!$B$14,Paramètres!$A$1:$I$89,5,0)</f>
        <v>0</v>
      </c>
      <c r="DQ23" s="13" t="e">
        <f t="shared" si="43"/>
        <v>#NUM!</v>
      </c>
      <c r="DR23" s="20" t="e">
        <f t="shared" si="16"/>
        <v>#NUM!</v>
      </c>
      <c r="DS23" s="59" t="e">
        <f t="shared" si="17"/>
        <v>#NUM!</v>
      </c>
      <c r="DT23" s="59">
        <f ca="1">AVERAGE(OFFSET($DS$3,0,0,'Données projet'!$E$14+1,1))-AVERAGE(OFFSET($H$3,0,0,'Données projet'!$E$14+1,1))</f>
        <v>0</v>
      </c>
      <c r="DU23" s="59">
        <f t="shared" si="44"/>
        <v>0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17.666666666666668</v>
      </c>
      <c r="N24" s="13">
        <f>IF('Données projet'!$A$36&gt;35,N23+M24-V23,IF(A24&lt;'Données projet'!$A$36,$K$205^A24,IF(A24='Données projet'!$A$36,'Données projet'!$B$36,N23+M24-V23)))</f>
        <v>198.66666666666674</v>
      </c>
      <c r="O24" s="13">
        <f>N24*VLOOKUP('Données projet'!$B$9,Paramètres!$A$1:$I$89,3,0)*VLOOKUP('Données projet'!$B$9,Paramètres!$A$1:$I$89,5,0)</f>
        <v>118.80266666666671</v>
      </c>
      <c r="P24" s="13">
        <f t="shared" si="33"/>
        <v>31.395578184054433</v>
      </c>
      <c r="Q24" s="20">
        <f t="shared" si="2"/>
        <v>261.59527644833929</v>
      </c>
      <c r="R24" s="59">
        <f t="shared" si="0"/>
        <v>554.92860978167255</v>
      </c>
      <c r="S24" s="59">
        <f ca="1">AVERAGE(OFFSET($R$3,0,0,'Données projet'!$E$9+1,1))-AVERAGE(OFFSET($H$3,0,0,'Données projet'!$E$9+1,1))</f>
        <v>212.98969326021802</v>
      </c>
      <c r="T24" s="59">
        <f t="shared" si="34"/>
        <v>422.91218020922895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5.039688447475501</v>
      </c>
      <c r="AA24" s="21">
        <f>EXP(-LN(2)/25)*AA23+(1-EXP(-LN(2)/25))/(LN(2)/25)*Calculateur!V24*Calculateur!X24*VLOOKUP('Données projet'!$B$9,Paramètres!$A$1:$I$89,3,0)*0.475*44/12</f>
        <v>16.549523677249784</v>
      </c>
      <c r="AB24" s="21">
        <f>EXP(-LN(2)/2)*AB23+(1-EXP(-LN(2)/2))/(LN(2)/2)*V24*Y24*VLOOKUP('Données projet'!$B$9,Paramètres!$A$1:$I$89,3,0)*0.475*44/12</f>
        <v>15.134935264236535</v>
      </c>
      <c r="AC24" s="22">
        <f t="shared" si="3"/>
        <v>36.724147388961825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16.8</v>
      </c>
      <c r="AI24" s="13">
        <f>IF('Données projet'!$A$62&gt;35,AI23+AH24-AQ23,IF(A24&lt;'Données projet'!$A$62,$AF$205^A24,IF(A24='Données projet'!$A$62,'Données projet'!$B$62,AI23+AH24-AQ23)))</f>
        <v>108.80000000000001</v>
      </c>
      <c r="AJ24" s="13">
        <f>AI24*VLOOKUP('Données projet'!$B$10,Paramètres!$A$1:$I$89,3,0)*VLOOKUP('Données projet'!$B$10,Paramètres!$A$1:$I$89,5,0)</f>
        <v>65.062400000000011</v>
      </c>
      <c r="AK24" s="13">
        <f t="shared" si="35"/>
        <v>18.442106385941074</v>
      </c>
      <c r="AL24" s="20">
        <f t="shared" si="4"/>
        <v>145.43701528884739</v>
      </c>
      <c r="AM24" s="59">
        <f t="shared" si="5"/>
        <v>438.77034862218068</v>
      </c>
      <c r="AN24" s="59">
        <f ca="1">AVERAGE(OFFSET($AM$3,0,0,'Données projet'!$E$10+1,1))-AVERAGE(OFFSET($H$3,0,0,'Données projet'!$E$10+1,1))</f>
        <v>318.09371753144256</v>
      </c>
      <c r="AO24" s="59">
        <f t="shared" si="36"/>
        <v>298.61479562586919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6.3982208191688121</v>
      </c>
      <c r="AW24" s="21">
        <f>EXP(-LN(2)/2)*AW23+(1-EXP(-LN(2)/2))/(LN(2)/2)*AQ24*AT24*VLOOKUP('Données projet'!$B$10,Paramètres!$A$1:$I$89,3,0)*0.475*44/12</f>
        <v>8.857138865587217</v>
      </c>
      <c r="AX24" s="21">
        <f t="shared" si="6"/>
        <v>15.25535968475603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12.2</v>
      </c>
      <c r="BD24" s="12">
        <f>IF('Données projet'!$A$88&gt;35,BD23+BC24-BL23,IF(A24&lt;'Données projet'!$A$88,$BA$205^A24,IF(A24='Données projet'!$A$88,'Données projet'!$B$88,BD23+BC24-BL23)))</f>
        <v>64.2</v>
      </c>
      <c r="BE24" s="13">
        <f>BD24*VLOOKUP('Données projet'!$B$11,Paramètres!$A$1:$I$89,3,0)*VLOOKUP('Données projet'!$B$11,Paramètres!$A$1:$I$89,5,0)</f>
        <v>52.079039999999999</v>
      </c>
      <c r="BF24" s="13">
        <f t="shared" si="37"/>
        <v>15.149401133573162</v>
      </c>
      <c r="BG24" s="20">
        <f t="shared" si="7"/>
        <v>117.08953497430657</v>
      </c>
      <c r="BH24" s="59">
        <f t="shared" si="8"/>
        <v>410.42286830763987</v>
      </c>
      <c r="BI24" s="59">
        <f ca="1">AVERAGE(OFFSET($BH$3,0,0,'Données projet'!$E$11+1,1))-AVERAGE(OFFSET($H$3,0,0,'Données projet'!$E$11+1,1))</f>
        <v>230.68538392491388</v>
      </c>
      <c r="BJ24" s="59">
        <f t="shared" si="38"/>
        <v>267.97457956620724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4.0160343081436398</v>
      </c>
      <c r="BR24" s="21">
        <f>EXP(-LN(2)/2)*BR23+(1-EXP(-LN(2)/2))/(LN(2)/2)*BL24*BO24*VLOOKUP('Données projet'!$B$11,Paramètres!$A$1:$I$89,3,0)*0.475*44/12</f>
        <v>5.8180265873833781</v>
      </c>
      <c r="BS24" s="22">
        <f t="shared" si="9"/>
        <v>9.834060895527017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1.2</v>
      </c>
      <c r="BY24" s="12">
        <f>IF('Données projet'!$A$114&gt;35,BY23+BX24-CG23,IF(A24&lt;'Données projet'!$A$114,$BV$205^A24,IF(A24='Données projet'!$A$114,'Données projet'!$B$114,BY23+BX24-CG23)))</f>
        <v>17.409321838276906</v>
      </c>
      <c r="BZ24" s="13">
        <f>BY24*VLOOKUP('Données projet'!$B$12,Paramètres!$A$1:$I$89,3,0)*VLOOKUP('Données projet'!$B$12,Paramètres!$A$1:$I$89,5,0)</f>
        <v>19.82573570942974</v>
      </c>
      <c r="CA24" s="13">
        <f t="shared" si="39"/>
        <v>6.4533301696051613</v>
      </c>
      <c r="CB24" s="20">
        <f t="shared" si="10"/>
        <v>45.769373072652449</v>
      </c>
      <c r="CC24" s="59">
        <f t="shared" si="11"/>
        <v>339.10270640598577</v>
      </c>
      <c r="CD24" s="59">
        <f ca="1">AVERAGE(OFFSET($CC$3,0,0,'Données projet'!$E$12+1,1))-AVERAGE(OFFSET($H$3,0,0,'Données projet'!$E$12+1,1))</f>
        <v>242.1473060698724</v>
      </c>
      <c r="CE24" s="59">
        <f t="shared" si="40"/>
        <v>96.127995920458659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>
        <f>CT24*VLOOKUP('Données projet'!$B$13,Paramètres!$A$1:$I$89,3,0)*VLOOKUP('Données projet'!$B$13,Paramètres!$A$1:$I$89,5,0)</f>
        <v>0</v>
      </c>
      <c r="CV24" s="13" t="e">
        <f t="shared" si="41"/>
        <v>#NUM!</v>
      </c>
      <c r="CW24" s="20" t="e">
        <f t="shared" si="13"/>
        <v>#NUM!</v>
      </c>
      <c r="CX24" s="59" t="e">
        <f t="shared" si="14"/>
        <v>#NUM!</v>
      </c>
      <c r="CY24" s="59">
        <f ca="1">AVERAGE(OFFSET($CX$3,0,0,'Données projet'!$E$13+1,1))-AVERAGE(OFFSET($H$3,0,0,'Données projet'!$E$13+1,1))</f>
        <v>0</v>
      </c>
      <c r="CZ24" s="59">
        <f t="shared" si="42"/>
        <v>0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>
        <f>DO24*VLOOKUP('Données projet'!$B$14,Paramètres!$A$1:$I$89,3,0)*VLOOKUP('Données projet'!$B$14,Paramètres!$A$1:$I$89,5,0)</f>
        <v>0</v>
      </c>
      <c r="DQ24" s="13" t="e">
        <f t="shared" si="43"/>
        <v>#NUM!</v>
      </c>
      <c r="DR24" s="20" t="e">
        <f t="shared" si="16"/>
        <v>#NUM!</v>
      </c>
      <c r="DS24" s="59" t="e">
        <f t="shared" si="17"/>
        <v>#NUM!</v>
      </c>
      <c r="DT24" s="59">
        <f ca="1">AVERAGE(OFFSET($DS$3,0,0,'Données projet'!$E$14+1,1))-AVERAGE(OFFSET($H$3,0,0,'Données projet'!$E$14+1,1))</f>
        <v>0</v>
      </c>
      <c r="DU24" s="59">
        <f t="shared" si="44"/>
        <v>0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17.666666666666668</v>
      </c>
      <c r="N25" s="13">
        <f>IF('Données projet'!$A$36&gt;35,N24+M25-V24,IF(A25&lt;'Données projet'!$A$36,$K$205^A25,IF(A25='Données projet'!$A$36,'Données projet'!$B$36,N24+M25-V24)))</f>
        <v>216.3333333333334</v>
      </c>
      <c r="O25" s="13">
        <f>N25*VLOOKUP('Données projet'!$B$9,Paramètres!$A$1:$I$89,3,0)*VLOOKUP('Données projet'!$B$9,Paramètres!$A$1:$I$89,5,0)</f>
        <v>129.36733333333339</v>
      </c>
      <c r="P25" s="13">
        <f t="shared" si="33"/>
        <v>33.850127158998376</v>
      </c>
      <c r="Q25" s="20">
        <f t="shared" si="2"/>
        <v>284.27041035747783</v>
      </c>
      <c r="R25" s="59">
        <f t="shared" si="0"/>
        <v>577.60374369081114</v>
      </c>
      <c r="S25" s="59">
        <f ca="1">AVERAGE(OFFSET($R$3,0,0,'Données projet'!$E$9+1,1))-AVERAGE(OFFSET($H$3,0,0,'Données projet'!$E$9+1,1))</f>
        <v>212.98969326021802</v>
      </c>
      <c r="T25" s="59">
        <f t="shared" si="34"/>
        <v>422.91218020922895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4.9408632309269365</v>
      </c>
      <c r="AA25" s="21">
        <f>EXP(-LN(2)/25)*AA24+(1-EXP(-LN(2)/25))/(LN(2)/25)*Calculateur!V25*Calculateur!X25*VLOOKUP('Données projet'!$B$9,Paramètres!$A$1:$I$89,3,0)*0.475*44/12</f>
        <v>16.096976081993763</v>
      </c>
      <c r="AB25" s="21">
        <f>EXP(-LN(2)/2)*AB24+(1-EXP(-LN(2)/2))/(LN(2)/2)*V25*Y25*VLOOKUP('Données projet'!$B$9,Paramètres!$A$1:$I$89,3,0)*0.475*44/12</f>
        <v>10.702015358161066</v>
      </c>
      <c r="AC25" s="22">
        <f t="shared" si="3"/>
        <v>31.739854671081766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16.8</v>
      </c>
      <c r="AI25" s="13">
        <f>IF('Données projet'!$A$62&gt;35,AI24+AH25-AQ24,IF(A25&lt;'Données projet'!$A$62,$AF$205^A25,IF(A25='Données projet'!$A$62,'Données projet'!$B$62,AI24+AH25-AQ24)))</f>
        <v>125.60000000000001</v>
      </c>
      <c r="AJ25" s="13">
        <f>AI25*VLOOKUP('Données projet'!$B$10,Paramètres!$A$1:$I$89,3,0)*VLOOKUP('Données projet'!$B$10,Paramètres!$A$1:$I$89,5,0)</f>
        <v>75.108800000000002</v>
      </c>
      <c r="AK25" s="13">
        <f t="shared" si="35"/>
        <v>20.936904708467228</v>
      </c>
      <c r="AL25" s="20">
        <f t="shared" si="4"/>
        <v>167.27960236724707</v>
      </c>
      <c r="AM25" s="59">
        <f t="shared" si="5"/>
        <v>460.61293570058035</v>
      </c>
      <c r="AN25" s="59">
        <f ca="1">AVERAGE(OFFSET($AM$3,0,0,'Données projet'!$E$10+1,1))-AVERAGE(OFFSET($H$3,0,0,'Données projet'!$E$10+1,1))</f>
        <v>318.09371753144256</v>
      </c>
      <c r="AO25" s="59">
        <f t="shared" si="36"/>
        <v>298.61479562586919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6.2232611344008317</v>
      </c>
      <c r="AW25" s="21">
        <f>EXP(-LN(2)/2)*AW24+(1-EXP(-LN(2)/2))/(LN(2)/2)*AQ25*AT25*VLOOKUP('Données projet'!$B$10,Paramètres!$A$1:$I$89,3,0)*0.475*44/12</f>
        <v>6.262942953767646</v>
      </c>
      <c r="AX25" s="21">
        <f t="shared" si="6"/>
        <v>12.486204088168478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12.2</v>
      </c>
      <c r="BD25" s="12">
        <f>IF('Données projet'!$A$88&gt;35,BD24+BC25-BL24,IF(A25&lt;'Données projet'!$A$88,$BA$205^A25,IF(A25='Données projet'!$A$88,'Données projet'!$B$88,BD24+BC25-BL24)))</f>
        <v>76.400000000000006</v>
      </c>
      <c r="BE25" s="13">
        <f>BD25*VLOOKUP('Données projet'!$B$11,Paramètres!$A$1:$I$89,3,0)*VLOOKUP('Données projet'!$B$11,Paramètres!$A$1:$I$89,5,0)</f>
        <v>61.975680000000004</v>
      </c>
      <c r="BF25" s="13">
        <f t="shared" si="37"/>
        <v>17.666837160010601</v>
      </c>
      <c r="BG25" s="20">
        <f t="shared" si="7"/>
        <v>138.71071738701849</v>
      </c>
      <c r="BH25" s="59">
        <f t="shared" si="8"/>
        <v>432.04405072035183</v>
      </c>
      <c r="BI25" s="59">
        <f ca="1">AVERAGE(OFFSET($BH$3,0,0,'Données projet'!$E$11+1,1))-AVERAGE(OFFSET($H$3,0,0,'Données projet'!$E$11+1,1))</f>
        <v>230.68538392491388</v>
      </c>
      <c r="BJ25" s="59">
        <f t="shared" si="38"/>
        <v>267.97457956620724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3.9062156387933866</v>
      </c>
      <c r="BR25" s="21">
        <f>EXP(-LN(2)/2)*BR24+(1-EXP(-LN(2)/2))/(LN(2)/2)*BL25*BO25*VLOOKUP('Données projet'!$B$11,Paramètres!$A$1:$I$89,3,0)*0.475*44/12</f>
        <v>4.1139660530624145</v>
      </c>
      <c r="BS25" s="22">
        <f t="shared" si="9"/>
        <v>8.0201816918558002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1.2</v>
      </c>
      <c r="BY25" s="12">
        <f>IF('Données projet'!$A$114&gt;35,BY24+BX25-CG24,IF(A25&lt;'Données projet'!$A$114,$BV$205^A25,IF(A25='Données projet'!$A$114,'Données projet'!$B$114,BY24+BX25-CG24)))</f>
        <v>19.946500129940819</v>
      </c>
      <c r="BZ25" s="13">
        <f>BY25*VLOOKUP('Données projet'!$B$12,Paramètres!$A$1:$I$89,3,0)*VLOOKUP('Données projet'!$B$12,Paramètres!$A$1:$I$89,5,0)</f>
        <v>22.715074347976607</v>
      </c>
      <c r="CA25" s="13">
        <f t="shared" si="39"/>
        <v>7.2776515668169814</v>
      </c>
      <c r="CB25" s="20">
        <f t="shared" si="10"/>
        <v>52.237330968265496</v>
      </c>
      <c r="CC25" s="59">
        <f t="shared" si="11"/>
        <v>345.57066430159881</v>
      </c>
      <c r="CD25" s="59">
        <f ca="1">AVERAGE(OFFSET($CC$3,0,0,'Données projet'!$E$12+1,1))-AVERAGE(OFFSET($H$3,0,0,'Données projet'!$E$12+1,1))</f>
        <v>242.1473060698724</v>
      </c>
      <c r="CE25" s="59">
        <f t="shared" si="40"/>
        <v>96.127995920458659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>
        <f>CT25*VLOOKUP('Données projet'!$B$13,Paramètres!$A$1:$I$89,3,0)*VLOOKUP('Données projet'!$B$13,Paramètres!$A$1:$I$89,5,0)</f>
        <v>0</v>
      </c>
      <c r="CV25" s="13" t="e">
        <f t="shared" si="41"/>
        <v>#NUM!</v>
      </c>
      <c r="CW25" s="20" t="e">
        <f t="shared" si="13"/>
        <v>#NUM!</v>
      </c>
      <c r="CX25" s="59" t="e">
        <f t="shared" si="14"/>
        <v>#NUM!</v>
      </c>
      <c r="CY25" s="59">
        <f ca="1">AVERAGE(OFFSET($CX$3,0,0,'Données projet'!$E$13+1,1))-AVERAGE(OFFSET($H$3,0,0,'Données projet'!$E$13+1,1))</f>
        <v>0</v>
      </c>
      <c r="CZ25" s="59">
        <f t="shared" si="42"/>
        <v>0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>
        <f>DO25*VLOOKUP('Données projet'!$B$14,Paramètres!$A$1:$I$89,3,0)*VLOOKUP('Données projet'!$B$14,Paramètres!$A$1:$I$89,5,0)</f>
        <v>0</v>
      </c>
      <c r="DQ25" s="13" t="e">
        <f t="shared" si="43"/>
        <v>#NUM!</v>
      </c>
      <c r="DR25" s="20" t="e">
        <f t="shared" si="16"/>
        <v>#NUM!</v>
      </c>
      <c r="DS25" s="59" t="e">
        <f t="shared" si="17"/>
        <v>#NUM!</v>
      </c>
      <c r="DT25" s="59">
        <f ca="1">AVERAGE(OFFSET($DS$3,0,0,'Données projet'!$E$14+1,1))-AVERAGE(OFFSET($H$3,0,0,'Données projet'!$E$14+1,1))</f>
        <v>0</v>
      </c>
      <c r="DU25" s="59">
        <f t="shared" si="44"/>
        <v>0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17.666666666666668</v>
      </c>
      <c r="N26" s="13">
        <f>IF('Données projet'!$A$36&gt;35,N25+M26-V25,IF(A26&lt;'Données projet'!$A$36,$K$205^A26,IF(A26='Données projet'!$A$36,'Données projet'!$B$36,N25+M26-V25)))</f>
        <v>234.00000000000006</v>
      </c>
      <c r="O26" s="13">
        <f>N26*VLOOKUP('Données projet'!$B$9,Paramètres!$A$1:$I$89,3,0)*VLOOKUP('Données projet'!$B$9,Paramètres!$A$1:$I$89,5,0)</f>
        <v>139.93200000000004</v>
      </c>
      <c r="P26" s="13">
        <f t="shared" si="33"/>
        <v>36.281427209452353</v>
      </c>
      <c r="Q26" s="20">
        <f t="shared" si="2"/>
        <v>306.9050523897962</v>
      </c>
      <c r="R26" s="59">
        <f t="shared" si="0"/>
        <v>600.23838572312957</v>
      </c>
      <c r="S26" s="59">
        <f ca="1">AVERAGE(OFFSET($R$3,0,0,'Données projet'!$E$9+1,1))-AVERAGE(OFFSET($H$3,0,0,'Données projet'!$E$9+1,1))</f>
        <v>212.98969326021802</v>
      </c>
      <c r="T26" s="59">
        <f t="shared" si="34"/>
        <v>422.91218020922895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4.8439759165974587</v>
      </c>
      <c r="AA26" s="21">
        <f>EXP(-LN(2)/25)*AA25+(1-EXP(-LN(2)/25))/(LN(2)/25)*Calculateur!V26*Calculateur!X26*VLOOKUP('Données projet'!$B$9,Paramètres!$A$1:$I$89,3,0)*0.475*44/12</f>
        <v>15.65680342452846</v>
      </c>
      <c r="AB26" s="21">
        <f>EXP(-LN(2)/2)*AB25+(1-EXP(-LN(2)/2))/(LN(2)/2)*V26*Y26*VLOOKUP('Données projet'!$B$9,Paramètres!$A$1:$I$89,3,0)*0.475*44/12</f>
        <v>7.5674676321182686</v>
      </c>
      <c r="AC26" s="22">
        <f t="shared" si="3"/>
        <v>28.068246973244189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16.8</v>
      </c>
      <c r="AI26" s="13">
        <f>IF('Données projet'!$A$62&gt;35,AI25+AH26-AQ25,IF(A26&lt;'Données projet'!$A$62,$AF$205^A26,IF(A26='Données projet'!$A$62,'Données projet'!$B$62,AI25+AH26-AQ25)))</f>
        <v>142.4</v>
      </c>
      <c r="AJ26" s="13">
        <f>AI26*VLOOKUP('Données projet'!$B$10,Paramètres!$A$1:$I$89,3,0)*VLOOKUP('Données projet'!$B$10,Paramètres!$A$1:$I$89,5,0)</f>
        <v>85.155200000000008</v>
      </c>
      <c r="AK26" s="13">
        <f t="shared" si="35"/>
        <v>23.393039685495143</v>
      </c>
      <c r="AL26" s="20">
        <f t="shared" si="4"/>
        <v>189.05485078557072</v>
      </c>
      <c r="AM26" s="59">
        <f t="shared" si="5"/>
        <v>482.38818411890406</v>
      </c>
      <c r="AN26" s="59">
        <f ca="1">AVERAGE(OFFSET($AM$3,0,0,'Données projet'!$E$10+1,1))-AVERAGE(OFFSET($H$3,0,0,'Données projet'!$E$10+1,1))</f>
        <v>318.09371753144256</v>
      </c>
      <c r="AO26" s="59">
        <f t="shared" si="36"/>
        <v>298.61479562586919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6.0530857314135611</v>
      </c>
      <c r="AW26" s="21">
        <f>EXP(-LN(2)/2)*AW25+(1-EXP(-LN(2)/2))/(LN(2)/2)*AQ26*AT26*VLOOKUP('Données projet'!$B$10,Paramètres!$A$1:$I$89,3,0)*0.475*44/12</f>
        <v>4.4285694327936085</v>
      </c>
      <c r="AX26" s="21">
        <f t="shared" si="6"/>
        <v>10.481655164207169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12.2</v>
      </c>
      <c r="BD26" s="12">
        <f>IF('Données projet'!$A$88&gt;35,BD25+BC26-BL25,IF(A26&lt;'Données projet'!$A$88,$BA$205^A26,IF(A26='Données projet'!$A$88,'Données projet'!$B$88,BD25+BC26-BL25)))</f>
        <v>88.600000000000009</v>
      </c>
      <c r="BE26" s="13">
        <f>BD26*VLOOKUP('Données projet'!$B$11,Paramètres!$A$1:$I$89,3,0)*VLOOKUP('Données projet'!$B$11,Paramètres!$A$1:$I$89,5,0)</f>
        <v>71.872320000000002</v>
      </c>
      <c r="BF26" s="13">
        <f t="shared" si="37"/>
        <v>20.137703912312322</v>
      </c>
      <c r="BG26" s="20">
        <f t="shared" si="7"/>
        <v>160.25079164727728</v>
      </c>
      <c r="BH26" s="59">
        <f t="shared" si="8"/>
        <v>453.58412498061057</v>
      </c>
      <c r="BI26" s="59">
        <f ca="1">AVERAGE(OFFSET($BH$3,0,0,'Données projet'!$E$11+1,1))-AVERAGE(OFFSET($H$3,0,0,'Données projet'!$E$11+1,1))</f>
        <v>230.68538392491388</v>
      </c>
      <c r="BJ26" s="59">
        <f t="shared" si="38"/>
        <v>267.97457956620724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3.7993999667316287</v>
      </c>
      <c r="BR26" s="21">
        <f>EXP(-LN(2)/2)*BR25+(1-EXP(-LN(2)/2))/(LN(2)/2)*BL26*BO26*VLOOKUP('Données projet'!$B$11,Paramètres!$A$1:$I$89,3,0)*0.475*44/12</f>
        <v>2.9090132936916895</v>
      </c>
      <c r="BS26" s="22">
        <f t="shared" si="9"/>
        <v>6.7084132604233186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1.2</v>
      </c>
      <c r="BY26" s="12">
        <f>IF('Données projet'!$A$114&gt;35,BY25+BX26-CG25,IF(A26&lt;'Données projet'!$A$114,$BV$205^A26,IF(A26='Données projet'!$A$114,'Données projet'!$B$114,BY25+BX26-CG25)))</f>
        <v>22.853438584779923</v>
      </c>
      <c r="BZ26" s="13">
        <f>BY26*VLOOKUP('Données projet'!$B$12,Paramètres!$A$1:$I$89,3,0)*VLOOKUP('Données projet'!$B$12,Paramètres!$A$1:$I$89,5,0)</f>
        <v>26.025495860347377</v>
      </c>
      <c r="CA26" s="13">
        <f t="shared" si="39"/>
        <v>8.2072683306135854</v>
      </c>
      <c r="CB26" s="20">
        <f t="shared" si="10"/>
        <v>59.622064299257012</v>
      </c>
      <c r="CC26" s="59">
        <f t="shared" si="11"/>
        <v>352.95539763259035</v>
      </c>
      <c r="CD26" s="59">
        <f ca="1">AVERAGE(OFFSET($CC$3,0,0,'Données projet'!$E$12+1,1))-AVERAGE(OFFSET($H$3,0,0,'Données projet'!$E$12+1,1))</f>
        <v>242.1473060698724</v>
      </c>
      <c r="CE26" s="59">
        <f t="shared" si="40"/>
        <v>96.127995920458659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>
        <f>CT26*VLOOKUP('Données projet'!$B$13,Paramètres!$A$1:$I$89,3,0)*VLOOKUP('Données projet'!$B$13,Paramètres!$A$1:$I$89,5,0)</f>
        <v>0</v>
      </c>
      <c r="CV26" s="13" t="e">
        <f t="shared" si="41"/>
        <v>#NUM!</v>
      </c>
      <c r="CW26" s="20" t="e">
        <f t="shared" si="13"/>
        <v>#NUM!</v>
      </c>
      <c r="CX26" s="59" t="e">
        <f t="shared" si="14"/>
        <v>#NUM!</v>
      </c>
      <c r="CY26" s="59">
        <f ca="1">AVERAGE(OFFSET($CX$3,0,0,'Données projet'!$E$13+1,1))-AVERAGE(OFFSET($H$3,0,0,'Données projet'!$E$13+1,1))</f>
        <v>0</v>
      </c>
      <c r="CZ26" s="59">
        <f t="shared" si="42"/>
        <v>0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>
        <f>DO26*VLOOKUP('Données projet'!$B$14,Paramètres!$A$1:$I$89,3,0)*VLOOKUP('Données projet'!$B$14,Paramètres!$A$1:$I$89,5,0)</f>
        <v>0</v>
      </c>
      <c r="DQ26" s="13" t="e">
        <f t="shared" si="43"/>
        <v>#NUM!</v>
      </c>
      <c r="DR26" s="20" t="e">
        <f t="shared" si="16"/>
        <v>#NUM!</v>
      </c>
      <c r="DS26" s="59" t="e">
        <f t="shared" si="17"/>
        <v>#NUM!</v>
      </c>
      <c r="DT26" s="59">
        <f ca="1">AVERAGE(OFFSET($DS$3,0,0,'Données projet'!$E$14+1,1))-AVERAGE(OFFSET($H$3,0,0,'Données projet'!$E$14+1,1))</f>
        <v>0</v>
      </c>
      <c r="DU26" s="59">
        <f t="shared" si="44"/>
        <v>0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17.666666666666668</v>
      </c>
      <c r="N27" s="13">
        <f>IF('Données projet'!$A$36&gt;35,N26+M27-V26,IF(A27&lt;'Données projet'!$A$36,$K$205^A27,IF(A27='Données projet'!$A$36,'Données projet'!$B$36,N26+M27-V26)))</f>
        <v>251.66666666666671</v>
      </c>
      <c r="O27" s="13">
        <f>N27*VLOOKUP('Données projet'!$B$9,Paramètres!$A$1:$I$89,3,0)*VLOOKUP('Données projet'!$B$9,Paramètres!$A$1:$I$89,5,0)</f>
        <v>150.4966666666667</v>
      </c>
      <c r="P27" s="13">
        <f t="shared" si="33"/>
        <v>38.691433179165045</v>
      </c>
      <c r="Q27" s="20">
        <f t="shared" si="2"/>
        <v>329.50260723149029</v>
      </c>
      <c r="R27" s="59">
        <f t="shared" si="0"/>
        <v>622.83594056482366</v>
      </c>
      <c r="S27" s="59">
        <f ca="1">AVERAGE(OFFSET($R$3,0,0,'Données projet'!$E$9+1,1))-AVERAGE(OFFSET($H$3,0,0,'Données projet'!$E$9+1,1))</f>
        <v>212.98969326021802</v>
      </c>
      <c r="T27" s="59">
        <f t="shared" si="34"/>
        <v>422.91218020922895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4.7489885034065553</v>
      </c>
      <c r="AA27" s="21">
        <f>EXP(-LN(2)/25)*AA26+(1-EXP(-LN(2)/25))/(LN(2)/25)*Calculateur!V27*Calculateur!X27*VLOOKUP('Données projet'!$B$9,Paramètres!$A$1:$I$89,3,0)*0.475*44/12</f>
        <v>15.228667311529222</v>
      </c>
      <c r="AB27" s="21">
        <f>EXP(-LN(2)/2)*AB26+(1-EXP(-LN(2)/2))/(LN(2)/2)*V27*Y27*VLOOKUP('Données projet'!$B$9,Paramètres!$A$1:$I$89,3,0)*0.475*44/12</f>
        <v>5.3510076790805341</v>
      </c>
      <c r="AC27" s="22">
        <f t="shared" si="3"/>
        <v>25.328663494016311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16.8</v>
      </c>
      <c r="AI27" s="13">
        <f>IF('Données projet'!$A$62&gt;35,AI26+AH27-AQ26,IF(A27&lt;'Données projet'!$A$62,$AF$205^A27,IF(A27='Données projet'!$A$62,'Données projet'!$B$62,AI26+AH27-AQ26)))</f>
        <v>159.20000000000002</v>
      </c>
      <c r="AJ27" s="13">
        <f>AI27*VLOOKUP('Données projet'!$B$10,Paramètres!$A$1:$I$89,3,0)*VLOOKUP('Données projet'!$B$10,Paramètres!$A$1:$I$89,5,0)</f>
        <v>95.201600000000028</v>
      </c>
      <c r="AK27" s="13">
        <f t="shared" si="35"/>
        <v>25.815593972186814</v>
      </c>
      <c r="AL27" s="20">
        <f t="shared" si="4"/>
        <v>210.77161283489207</v>
      </c>
      <c r="AM27" s="59">
        <f t="shared" si="5"/>
        <v>504.10494616822541</v>
      </c>
      <c r="AN27" s="59">
        <f ca="1">AVERAGE(OFFSET($AM$3,0,0,'Données projet'!$E$10+1,1))-AVERAGE(OFFSET($H$3,0,0,'Données projet'!$E$10+1,1))</f>
        <v>318.09371753144256</v>
      </c>
      <c r="AO27" s="59">
        <f t="shared" si="36"/>
        <v>298.61479562586919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5.8875637837701129</v>
      </c>
      <c r="AW27" s="21">
        <f>EXP(-LN(2)/2)*AW26+(1-EXP(-LN(2)/2))/(LN(2)/2)*AQ27*AT27*VLOOKUP('Données projet'!$B$10,Paramètres!$A$1:$I$89,3,0)*0.475*44/12</f>
        <v>3.131471476883823</v>
      </c>
      <c r="AX27" s="21">
        <f t="shared" si="6"/>
        <v>9.0190352606539363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12.2</v>
      </c>
      <c r="BD27" s="12">
        <f>IF('Données projet'!$A$88&gt;35,BD26+BC27-BL26,IF(A27&lt;'Données projet'!$A$88,$BA$205^A27,IF(A27='Données projet'!$A$88,'Données projet'!$B$88,BD26+BC27-BL26)))</f>
        <v>100.80000000000001</v>
      </c>
      <c r="BE27" s="13">
        <f>BD27*VLOOKUP('Données projet'!$B$11,Paramètres!$A$1:$I$89,3,0)*VLOOKUP('Données projet'!$B$11,Paramètres!$A$1:$I$89,5,0)</f>
        <v>81.768960000000021</v>
      </c>
      <c r="BF27" s="13">
        <f t="shared" si="37"/>
        <v>22.569151954451023</v>
      </c>
      <c r="BG27" s="20">
        <f t="shared" si="7"/>
        <v>181.72221165400222</v>
      </c>
      <c r="BH27" s="59">
        <f t="shared" si="8"/>
        <v>475.05554498733557</v>
      </c>
      <c r="BI27" s="59">
        <f ca="1">AVERAGE(OFFSET($BH$3,0,0,'Données projet'!$E$11+1,1))-AVERAGE(OFFSET($H$3,0,0,'Données projet'!$E$11+1,1))</f>
        <v>230.68538392491388</v>
      </c>
      <c r="BJ27" s="59">
        <f t="shared" si="38"/>
        <v>267.97457956620724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3.6955051748395915</v>
      </c>
      <c r="BR27" s="21">
        <f>EXP(-LN(2)/2)*BR26+(1-EXP(-LN(2)/2))/(LN(2)/2)*BL27*BO27*VLOOKUP('Données projet'!$B$11,Paramètres!$A$1:$I$89,3,0)*0.475*44/12</f>
        <v>2.0569830265312077</v>
      </c>
      <c r="BS27" s="22">
        <f t="shared" si="9"/>
        <v>5.7524882013707987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1.2</v>
      </c>
      <c r="BY27" s="12">
        <f>IF('Données projet'!$A$114&gt;35,BY26+BX27-CG26,IF(A27&lt;'Données projet'!$A$114,$BV$205^A27,IF(A27='Données projet'!$A$114,'Données projet'!$B$114,BY26+BX27-CG26)))</f>
        <v>26.184024853780567</v>
      </c>
      <c r="BZ27" s="13">
        <f>BY27*VLOOKUP('Données projet'!$B$12,Paramètres!$A$1:$I$89,3,0)*VLOOKUP('Données projet'!$B$12,Paramètres!$A$1:$I$89,5,0)</f>
        <v>29.818367503485312</v>
      </c>
      <c r="CA27" s="13">
        <f t="shared" si="39"/>
        <v>9.255630450600643</v>
      </c>
      <c r="CB27" s="20">
        <f t="shared" si="10"/>
        <v>68.053879770033035</v>
      </c>
      <c r="CC27" s="59">
        <f t="shared" si="11"/>
        <v>361.38721310336632</v>
      </c>
      <c r="CD27" s="59">
        <f ca="1">AVERAGE(OFFSET($CC$3,0,0,'Données projet'!$E$12+1,1))-AVERAGE(OFFSET($H$3,0,0,'Données projet'!$E$12+1,1))</f>
        <v>242.1473060698724</v>
      </c>
      <c r="CE27" s="59">
        <f t="shared" si="40"/>
        <v>96.127995920458659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>
        <f>CT27*VLOOKUP('Données projet'!$B$13,Paramètres!$A$1:$I$89,3,0)*VLOOKUP('Données projet'!$B$13,Paramètres!$A$1:$I$89,5,0)</f>
        <v>0</v>
      </c>
      <c r="CV27" s="13" t="e">
        <f t="shared" si="41"/>
        <v>#NUM!</v>
      </c>
      <c r="CW27" s="20" t="e">
        <f t="shared" si="13"/>
        <v>#NUM!</v>
      </c>
      <c r="CX27" s="59" t="e">
        <f t="shared" si="14"/>
        <v>#NUM!</v>
      </c>
      <c r="CY27" s="59">
        <f ca="1">AVERAGE(OFFSET($CX$3,0,0,'Données projet'!$E$13+1,1))-AVERAGE(OFFSET($H$3,0,0,'Données projet'!$E$13+1,1))</f>
        <v>0</v>
      </c>
      <c r="CZ27" s="59">
        <f t="shared" si="42"/>
        <v>0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>
        <f>DO27*VLOOKUP('Données projet'!$B$14,Paramètres!$A$1:$I$89,3,0)*VLOOKUP('Données projet'!$B$14,Paramètres!$A$1:$I$89,5,0)</f>
        <v>0</v>
      </c>
      <c r="DQ27" s="13" t="e">
        <f t="shared" si="43"/>
        <v>#NUM!</v>
      </c>
      <c r="DR27" s="20" t="e">
        <f t="shared" si="16"/>
        <v>#NUM!</v>
      </c>
      <c r="DS27" s="59" t="e">
        <f t="shared" si="17"/>
        <v>#NUM!</v>
      </c>
      <c r="DT27" s="59">
        <f ca="1">AVERAGE(OFFSET($DS$3,0,0,'Données projet'!$E$14+1,1))-AVERAGE(OFFSET($H$3,0,0,'Données projet'!$E$14+1,1))</f>
        <v>0</v>
      </c>
      <c r="DU27" s="59">
        <f t="shared" si="44"/>
        <v>0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17.666666666666668</v>
      </c>
      <c r="N28" s="13">
        <f>IF('Données projet'!$A$36&gt;35,N27+M28-V27,IF(A28&lt;'Données projet'!$A$36,$K$205^A28,IF(A28='Données projet'!$A$36,'Données projet'!$B$36,N27+M28-V27)))</f>
        <v>269.33333333333337</v>
      </c>
      <c r="O28" s="13">
        <f>N28*VLOOKUP('Données projet'!$B$9,Paramètres!$A$1:$I$89,3,0)*VLOOKUP('Données projet'!$B$9,Paramètres!$A$1:$I$89,5,0)</f>
        <v>161.06133333333338</v>
      </c>
      <c r="P28" s="13">
        <f t="shared" si="33"/>
        <v>41.081809912270735</v>
      </c>
      <c r="Q28" s="20">
        <f t="shared" si="2"/>
        <v>352.06597448609381</v>
      </c>
      <c r="R28" s="59">
        <f t="shared" si="0"/>
        <v>645.39930781942712</v>
      </c>
      <c r="S28" s="59">
        <f ca="1">AVERAGE(OFFSET($R$3,0,0,'Données projet'!$E$9+1,1))-AVERAGE(OFFSET($H$3,0,0,'Données projet'!$E$9+1,1))</f>
        <v>212.98969326021802</v>
      </c>
      <c r="T28" s="59">
        <f t="shared" si="34"/>
        <v>422.91218020922895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4.6558637354517245</v>
      </c>
      <c r="AA28" s="21">
        <f>EXP(-LN(2)/25)*AA27+(1-EXP(-LN(2)/25))/(LN(2)/25)*Calculateur!V28*Calculateur!X28*VLOOKUP('Données projet'!$B$9,Paramètres!$A$1:$I$89,3,0)*0.475*44/12</f>
        <v>14.812238603054647</v>
      </c>
      <c r="AB28" s="21">
        <f>EXP(-LN(2)/2)*AB27+(1-EXP(-LN(2)/2))/(LN(2)/2)*V28*Y28*VLOOKUP('Données projet'!$B$9,Paramètres!$A$1:$I$89,3,0)*0.475*44/12</f>
        <v>3.7837338160591352</v>
      </c>
      <c r="AC28" s="22">
        <f t="shared" si="3"/>
        <v>23.251836154565506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16.8</v>
      </c>
      <c r="AI28" s="13">
        <f>IF('Données projet'!$A$62&gt;35,AI27+AH28-AQ27,IF(A28&lt;'Données projet'!$A$62,$AF$205^A28,IF(A28='Données projet'!$A$62,'Données projet'!$B$62,AI27+AH28-AQ27)))</f>
        <v>176.00000000000003</v>
      </c>
      <c r="AJ28" s="13">
        <f>AI28*VLOOKUP('Données projet'!$B$10,Paramètres!$A$1:$I$89,3,0)*VLOOKUP('Données projet'!$B$10,Paramètres!$A$1:$I$89,5,0)</f>
        <v>105.24800000000003</v>
      </c>
      <c r="AK28" s="13">
        <f t="shared" si="35"/>
        <v>28.208515027560551</v>
      </c>
      <c r="AL28" s="20">
        <f t="shared" si="4"/>
        <v>232.43676367300134</v>
      </c>
      <c r="AM28" s="59">
        <f t="shared" si="5"/>
        <v>525.77009700633471</v>
      </c>
      <c r="AN28" s="59">
        <f ca="1">AVERAGE(OFFSET($AM$3,0,0,'Données projet'!$E$10+1,1))-AVERAGE(OFFSET($H$3,0,0,'Données projet'!$E$10+1,1))</f>
        <v>318.09371753144256</v>
      </c>
      <c r="AO28" s="59">
        <f t="shared" si="36"/>
        <v>298.61479562586919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5.7265680424893963</v>
      </c>
      <c r="AW28" s="21">
        <f>EXP(-LN(2)/2)*AW27+(1-EXP(-LN(2)/2))/(LN(2)/2)*AQ28*AT28*VLOOKUP('Données projet'!$B$10,Paramètres!$A$1:$I$89,3,0)*0.475*44/12</f>
        <v>2.2142847163968042</v>
      </c>
      <c r="AX28" s="21">
        <f t="shared" si="6"/>
        <v>7.9408527588862006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12.2</v>
      </c>
      <c r="BD28" s="12">
        <f>IF('Données projet'!$A$88&gt;35,BD27+BC28-BL27,IF(A28&lt;'Données projet'!$A$88,$BA$205^A28,IF(A28='Données projet'!$A$88,'Données projet'!$B$88,BD27+BC28-BL27)))</f>
        <v>113.00000000000001</v>
      </c>
      <c r="BE28" s="13">
        <f>BD28*VLOOKUP('Données projet'!$B$11,Paramètres!$A$1:$I$89,3,0)*VLOOKUP('Données projet'!$B$11,Paramètres!$A$1:$I$89,5,0)</f>
        <v>91.665600000000026</v>
      </c>
      <c r="BF28" s="13">
        <f t="shared" si="37"/>
        <v>24.966497888207439</v>
      </c>
      <c r="BG28" s="20">
        <f t="shared" si="7"/>
        <v>203.1342371552947</v>
      </c>
      <c r="BH28" s="59">
        <f t="shared" si="8"/>
        <v>496.46757048862798</v>
      </c>
      <c r="BI28" s="59">
        <f ca="1">AVERAGE(OFFSET($BH$3,0,0,'Données projet'!$E$11+1,1))-AVERAGE(OFFSET($H$3,0,0,'Données projet'!$E$11+1,1))</f>
        <v>230.68538392491388</v>
      </c>
      <c r="BJ28" s="59">
        <f t="shared" si="38"/>
        <v>267.97457956620724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3.5944513914954319</v>
      </c>
      <c r="BR28" s="21">
        <f>EXP(-LN(2)/2)*BR27+(1-EXP(-LN(2)/2))/(LN(2)/2)*BL28*BO28*VLOOKUP('Données projet'!$B$11,Paramètres!$A$1:$I$89,3,0)*0.475*44/12</f>
        <v>1.454506646845845</v>
      </c>
      <c r="BS28" s="22">
        <f t="shared" si="9"/>
        <v>5.0489580383412767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30</v>
      </c>
      <c r="BW28" s="12">
        <f>VLOOKUP(A28,'Données projet'!$A$113:$I$133,9,0)</f>
        <v>1.2</v>
      </c>
      <c r="BX28" s="12">
        <f t="array" ref="BX28">INDEX(BW:BW,MIN(IF(ISNUMBER(BW28:BW224),ROW(BW28:BW224),"")))</f>
        <v>1.2</v>
      </c>
      <c r="BY28" s="12">
        <f>IF('Données projet'!$A$114&gt;35,BY27+BX28-CG27,IF(A28&lt;'Données projet'!$A$114,$BV$205^A28,IF(A28='Données projet'!$A$114,'Données projet'!$B$114,BY27+BX28-CG27)))</f>
        <v>30</v>
      </c>
      <c r="BZ28" s="13">
        <f>BY28*VLOOKUP('Données projet'!$B$12,Paramètres!$A$1:$I$89,3,0)*VLOOKUP('Données projet'!$B$12,Paramètres!$A$1:$I$89,5,0)</f>
        <v>34.164000000000001</v>
      </c>
      <c r="CA28" s="13">
        <f t="shared" si="39"/>
        <v>10.43790596178561</v>
      </c>
      <c r="CB28" s="20">
        <f t="shared" si="10"/>
        <v>77.681652883443277</v>
      </c>
      <c r="CC28" s="59">
        <f t="shared" si="11"/>
        <v>371.01498621677661</v>
      </c>
      <c r="CD28" s="59">
        <f ca="1">AVERAGE(OFFSET($CC$3,0,0,'Données projet'!$E$12+1,1))-AVERAGE(OFFSET($H$3,0,0,'Données projet'!$E$12+1,1))</f>
        <v>242.1473060698724</v>
      </c>
      <c r="CE28" s="59">
        <f t="shared" si="40"/>
        <v>96.127995920458659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0.25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>
        <f>CT28*VLOOKUP('Données projet'!$B$13,Paramètres!$A$1:$I$89,3,0)*VLOOKUP('Données projet'!$B$13,Paramètres!$A$1:$I$89,5,0)</f>
        <v>0</v>
      </c>
      <c r="CV28" s="13" t="e">
        <f t="shared" si="41"/>
        <v>#NUM!</v>
      </c>
      <c r="CW28" s="20" t="e">
        <f t="shared" si="13"/>
        <v>#NUM!</v>
      </c>
      <c r="CX28" s="59" t="e">
        <f t="shared" si="14"/>
        <v>#NUM!</v>
      </c>
      <c r="CY28" s="59">
        <f ca="1">AVERAGE(OFFSET($CX$3,0,0,'Données projet'!$E$13+1,1))-AVERAGE(OFFSET($H$3,0,0,'Données projet'!$E$13+1,1))</f>
        <v>0</v>
      </c>
      <c r="CZ28" s="59">
        <f t="shared" si="42"/>
        <v>0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>
        <f>DO28*VLOOKUP('Données projet'!$B$14,Paramètres!$A$1:$I$89,3,0)*VLOOKUP('Données projet'!$B$14,Paramètres!$A$1:$I$89,5,0)</f>
        <v>0</v>
      </c>
      <c r="DQ28" s="13" t="e">
        <f t="shared" si="43"/>
        <v>#NUM!</v>
      </c>
      <c r="DR28" s="20" t="e">
        <f t="shared" si="16"/>
        <v>#NUM!</v>
      </c>
      <c r="DS28" s="59" t="e">
        <f t="shared" si="17"/>
        <v>#NUM!</v>
      </c>
      <c r="DT28" s="59">
        <f ca="1">AVERAGE(OFFSET($DS$3,0,0,'Données projet'!$E$14+1,1))-AVERAGE(OFFSET($H$3,0,0,'Données projet'!$E$14+1,1))</f>
        <v>0</v>
      </c>
      <c r="DU28" s="59">
        <f t="shared" si="44"/>
        <v>0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17.666666666666668</v>
      </c>
      <c r="N29" s="13">
        <f>IF('Données projet'!$A$36&gt;35,N28+M29-V28,IF(A29&lt;'Données projet'!$A$36,$K$205^A29,IF(A29='Données projet'!$A$36,'Données projet'!$B$36,N28+M29-V28)))</f>
        <v>287.00000000000006</v>
      </c>
      <c r="O29" s="13">
        <f>N29*VLOOKUP('Données projet'!$B$9,Paramètres!$A$1:$I$89,3,0)*VLOOKUP('Données projet'!$B$9,Paramètres!$A$1:$I$89,5,0)</f>
        <v>171.62600000000006</v>
      </c>
      <c r="P29" s="13">
        <f t="shared" si="33"/>
        <v>43.453991492329642</v>
      </c>
      <c r="Q29" s="20">
        <f t="shared" si="2"/>
        <v>374.59765184914085</v>
      </c>
      <c r="R29" s="59">
        <f t="shared" si="0"/>
        <v>667.93098518247416</v>
      </c>
      <c r="S29" s="59">
        <f ca="1">AVERAGE(OFFSET($R$3,0,0,'Données projet'!$E$9+1,1))-AVERAGE(OFFSET($H$3,0,0,'Données projet'!$E$9+1,1))</f>
        <v>212.98969326021802</v>
      </c>
      <c r="T29" s="59">
        <f t="shared" si="34"/>
        <v>422.91218020922895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4.5645650873959882</v>
      </c>
      <c r="AA29" s="21">
        <f>EXP(-LN(2)/25)*AA28+(1-EXP(-LN(2)/25))/(LN(2)/25)*Calculateur!V29*Calculateur!X29*VLOOKUP('Données projet'!$B$9,Paramètres!$A$1:$I$89,3,0)*0.475*44/12</f>
        <v>14.407197159512343</v>
      </c>
      <c r="AB29" s="21">
        <f>EXP(-LN(2)/2)*AB28+(1-EXP(-LN(2)/2))/(LN(2)/2)*V29*Y29*VLOOKUP('Données projet'!$B$9,Paramètres!$A$1:$I$89,3,0)*0.475*44/12</f>
        <v>2.6755038395402675</v>
      </c>
      <c r="AC29" s="22">
        <f t="shared" si="3"/>
        <v>21.647266086448596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16.8</v>
      </c>
      <c r="AI29" s="13">
        <f>IF('Données projet'!$A$62&gt;35,AI28+AH29-AQ28,IF(A29&lt;'Données projet'!$A$62,$AF$205^A29,IF(A29='Données projet'!$A$62,'Données projet'!$B$62,AI28+AH29-AQ28)))</f>
        <v>192.80000000000004</v>
      </c>
      <c r="AJ29" s="13">
        <f>AI29*VLOOKUP('Données projet'!$B$10,Paramètres!$A$1:$I$89,3,0)*VLOOKUP('Données projet'!$B$10,Paramètres!$A$1:$I$89,5,0)</f>
        <v>115.29440000000002</v>
      </c>
      <c r="AK29" s="13">
        <f t="shared" si="35"/>
        <v>30.574953299781679</v>
      </c>
      <c r="AL29" s="20">
        <f t="shared" si="4"/>
        <v>254.05579033045311</v>
      </c>
      <c r="AM29" s="59">
        <f t="shared" si="5"/>
        <v>547.38912366378645</v>
      </c>
      <c r="AN29" s="59">
        <f ca="1">AVERAGE(OFFSET($AM$3,0,0,'Données projet'!$E$10+1,1))-AVERAGE(OFFSET($H$3,0,0,'Données projet'!$E$10+1,1))</f>
        <v>318.09371753144256</v>
      </c>
      <c r="AO29" s="59">
        <f t="shared" si="36"/>
        <v>298.61479562586919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5.5699747382203988</v>
      </c>
      <c r="AW29" s="21">
        <f>EXP(-LN(2)/2)*AW28+(1-EXP(-LN(2)/2))/(LN(2)/2)*AQ29*AT29*VLOOKUP('Données projet'!$B$10,Paramètres!$A$1:$I$89,3,0)*0.475*44/12</f>
        <v>1.5657357384419115</v>
      </c>
      <c r="AX29" s="21">
        <f t="shared" si="6"/>
        <v>7.1357104766623101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12.2</v>
      </c>
      <c r="BD29" s="12">
        <f>IF('Données projet'!$A$88&gt;35,BD28+BC29-BL28,IF(A29&lt;'Données projet'!$A$88,$BA$205^A29,IF(A29='Données projet'!$A$88,'Données projet'!$B$88,BD28+BC29-BL28)))</f>
        <v>125.20000000000002</v>
      </c>
      <c r="BE29" s="13">
        <f>BD29*VLOOKUP('Données projet'!$B$11,Paramètres!$A$1:$I$89,3,0)*VLOOKUP('Données projet'!$B$11,Paramètres!$A$1:$I$89,5,0)</f>
        <v>101.56224000000003</v>
      </c>
      <c r="BF29" s="13">
        <f t="shared" si="37"/>
        <v>27.333843239980084</v>
      </c>
      <c r="BG29" s="20">
        <f t="shared" si="7"/>
        <v>224.49401164296532</v>
      </c>
      <c r="BH29" s="59">
        <f t="shared" si="8"/>
        <v>517.8273449762986</v>
      </c>
      <c r="BI29" s="59">
        <f ca="1">AVERAGE(OFFSET($BH$3,0,0,'Données projet'!$E$11+1,1))-AVERAGE(OFFSET($H$3,0,0,'Données projet'!$E$11+1,1))</f>
        <v>230.68538392491388</v>
      </c>
      <c r="BJ29" s="59">
        <f t="shared" si="38"/>
        <v>267.97457956620724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3.4961609291710061</v>
      </c>
      <c r="BR29" s="21">
        <f>EXP(-LN(2)/2)*BR28+(1-EXP(-LN(2)/2))/(LN(2)/2)*BL29*BO29*VLOOKUP('Données projet'!$B$11,Paramètres!$A$1:$I$89,3,0)*0.475*44/12</f>
        <v>1.0284915132656038</v>
      </c>
      <c r="BS29" s="22">
        <f t="shared" si="9"/>
        <v>4.5246524424366097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4.8</v>
      </c>
      <c r="BY29" s="12">
        <f>IF('Données projet'!$A$114&gt;35,BY28+BX29-CG28,IF(A29&lt;'Données projet'!$A$114,$BV$205^A29,IF(A29='Données projet'!$A$114,'Données projet'!$B$114,BY28+BX29-CG28)))</f>
        <v>34.799999999999997</v>
      </c>
      <c r="BZ29" s="13">
        <f>BY29*VLOOKUP('Données projet'!$B$12,Paramètres!$A$1:$I$89,3,0)*VLOOKUP('Données projet'!$B$12,Paramètres!$A$1:$I$89,5,0)</f>
        <v>39.630239999999993</v>
      </c>
      <c r="CA29" s="13">
        <f t="shared" si="39"/>
        <v>11.900589068958134</v>
      </c>
      <c r="CB29" s="20">
        <f t="shared" si="10"/>
        <v>89.749527295102055</v>
      </c>
      <c r="CC29" s="59">
        <f t="shared" si="11"/>
        <v>383.08286062843536</v>
      </c>
      <c r="CD29" s="59">
        <f ca="1">AVERAGE(OFFSET($CC$3,0,0,'Données projet'!$E$12+1,1))-AVERAGE(OFFSET($H$3,0,0,'Données projet'!$E$12+1,1))</f>
        <v>242.1473060698724</v>
      </c>
      <c r="CE29" s="59">
        <f t="shared" si="40"/>
        <v>96.127995920458659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>
        <f>CT29*VLOOKUP('Données projet'!$B$13,Paramètres!$A$1:$I$89,3,0)*VLOOKUP('Données projet'!$B$13,Paramètres!$A$1:$I$89,5,0)</f>
        <v>0</v>
      </c>
      <c r="CV29" s="13" t="e">
        <f t="shared" si="41"/>
        <v>#NUM!</v>
      </c>
      <c r="CW29" s="20" t="e">
        <f t="shared" si="13"/>
        <v>#NUM!</v>
      </c>
      <c r="CX29" s="59" t="e">
        <f t="shared" si="14"/>
        <v>#NUM!</v>
      </c>
      <c r="CY29" s="59">
        <f ca="1">AVERAGE(OFFSET($CX$3,0,0,'Données projet'!$E$13+1,1))-AVERAGE(OFFSET($H$3,0,0,'Données projet'!$E$13+1,1))</f>
        <v>0</v>
      </c>
      <c r="CZ29" s="59">
        <f t="shared" si="42"/>
        <v>0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>
        <f>DO29*VLOOKUP('Données projet'!$B$14,Paramètres!$A$1:$I$89,3,0)*VLOOKUP('Données projet'!$B$14,Paramètres!$A$1:$I$89,5,0)</f>
        <v>0</v>
      </c>
      <c r="DQ29" s="13" t="e">
        <f t="shared" si="43"/>
        <v>#NUM!</v>
      </c>
      <c r="DR29" s="20" t="e">
        <f t="shared" si="16"/>
        <v>#NUM!</v>
      </c>
      <c r="DS29" s="59" t="e">
        <f t="shared" si="17"/>
        <v>#NUM!</v>
      </c>
      <c r="DT29" s="59">
        <f ca="1">AVERAGE(OFFSET($DS$3,0,0,'Données projet'!$E$14+1,1))-AVERAGE(OFFSET($H$3,0,0,'Données projet'!$E$14+1,1))</f>
        <v>0</v>
      </c>
      <c r="DU29" s="59">
        <f t="shared" si="44"/>
        <v>0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17.666666666666668</v>
      </c>
      <c r="N30" s="13">
        <f>IF('Données projet'!$A$36&gt;35,N29+M30-V29,IF(A30&lt;'Données projet'!$A$36,$K$205^A30,IF(A30='Données projet'!$A$36,'Données projet'!$B$36,N29+M30-V29)))</f>
        <v>304.66666666666674</v>
      </c>
      <c r="O30" s="13">
        <f>N30*VLOOKUP('Données projet'!$B$9,Paramètres!$A$1:$I$89,3,0)*VLOOKUP('Données projet'!$B$9,Paramètres!$A$1:$I$89,5,0)</f>
        <v>182.19066666666671</v>
      </c>
      <c r="P30" s="13">
        <f t="shared" si="33"/>
        <v>45.809225471831397</v>
      </c>
      <c r="Q30" s="20">
        <f t="shared" si="2"/>
        <v>397.09981214121757</v>
      </c>
      <c r="R30" s="59">
        <f t="shared" si="0"/>
        <v>690.43314547455088</v>
      </c>
      <c r="S30" s="59">
        <f ca="1">AVERAGE(OFFSET($R$3,0,0,'Données projet'!$E$9+1,1))-AVERAGE(OFFSET($H$3,0,0,'Données projet'!$E$9+1,1))</f>
        <v>212.98969326021802</v>
      </c>
      <c r="T30" s="59">
        <f t="shared" si="34"/>
        <v>422.91218020922895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4.475056750141948</v>
      </c>
      <c r="AA30" s="21">
        <f>EXP(-LN(2)/25)*AA29+(1-EXP(-LN(2)/25))/(LN(2)/25)*Calculateur!V30*Calculateur!X30*VLOOKUP('Données projet'!$B$9,Paramètres!$A$1:$I$89,3,0)*0.475*44/12</f>
        <v>14.013231595543907</v>
      </c>
      <c r="AB30" s="21">
        <f>EXP(-LN(2)/2)*AB29+(1-EXP(-LN(2)/2))/(LN(2)/2)*V30*Y30*VLOOKUP('Données projet'!$B$9,Paramètres!$A$1:$I$89,3,0)*0.475*44/12</f>
        <v>1.8918669080295678</v>
      </c>
      <c r="AC30" s="22">
        <f t="shared" si="3"/>
        <v>20.380155253715422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16.8</v>
      </c>
      <c r="AI30" s="13">
        <f>IF('Données projet'!$A$62&gt;35,AI29+AH30-AQ29,IF(A30&lt;'Données projet'!$A$62,$AF$205^A30,IF(A30='Données projet'!$A$62,'Données projet'!$B$62,AI29+AH30-AQ29)))</f>
        <v>209.60000000000005</v>
      </c>
      <c r="AJ30" s="13">
        <f>AI30*VLOOKUP('Données projet'!$B$10,Paramètres!$A$1:$I$89,3,0)*VLOOKUP('Données projet'!$B$10,Paramètres!$A$1:$I$89,5,0)</f>
        <v>125.34080000000004</v>
      </c>
      <c r="AK30" s="13">
        <f t="shared" si="35"/>
        <v>32.917478801659229</v>
      </c>
      <c r="AL30" s="20">
        <f t="shared" si="4"/>
        <v>275.63316891288991</v>
      </c>
      <c r="AM30" s="59">
        <f t="shared" si="5"/>
        <v>568.96650224622317</v>
      </c>
      <c r="AN30" s="59">
        <f ca="1">AVERAGE(OFFSET($AM$3,0,0,'Données projet'!$E$10+1,1))-AVERAGE(OFFSET($H$3,0,0,'Données projet'!$E$10+1,1))</f>
        <v>318.09371753144256</v>
      </c>
      <c r="AO30" s="59">
        <f t="shared" si="36"/>
        <v>298.61479562586919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5.4176634860915209</v>
      </c>
      <c r="AW30" s="21">
        <f>EXP(-LN(2)/2)*AW29+(1-EXP(-LN(2)/2))/(LN(2)/2)*AQ30*AT30*VLOOKUP('Données projet'!$B$10,Paramètres!$A$1:$I$89,3,0)*0.475*44/12</f>
        <v>1.1071423581984021</v>
      </c>
      <c r="AX30" s="21">
        <f t="shared" si="6"/>
        <v>6.5248058442899231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12.2</v>
      </c>
      <c r="BD30" s="12">
        <f>IF('Données projet'!$A$88&gt;35,BD29+BC30-BL29,IF(A30&lt;'Données projet'!$A$88,$BA$205^A30,IF(A30='Données projet'!$A$88,'Données projet'!$B$88,BD29+BC30-BL29)))</f>
        <v>137.4</v>
      </c>
      <c r="BE30" s="13">
        <f>BD30*VLOOKUP('Données projet'!$B$11,Paramètres!$A$1:$I$89,3,0)*VLOOKUP('Données projet'!$B$11,Paramètres!$A$1:$I$89,5,0)</f>
        <v>111.45888000000002</v>
      </c>
      <c r="BF30" s="13">
        <f t="shared" si="37"/>
        <v>29.674444066375862</v>
      </c>
      <c r="BG30" s="20">
        <f t="shared" si="7"/>
        <v>245.80720608227134</v>
      </c>
      <c r="BH30" s="59">
        <f t="shared" si="8"/>
        <v>539.14053941560462</v>
      </c>
      <c r="BI30" s="59">
        <f ca="1">AVERAGE(OFFSET($BH$3,0,0,'Données projet'!$E$11+1,1))-AVERAGE(OFFSET($H$3,0,0,'Données projet'!$E$11+1,1))</f>
        <v>230.68538392491388</v>
      </c>
      <c r="BJ30" s="59">
        <f t="shared" si="38"/>
        <v>267.97457956620724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3.4005582247077122</v>
      </c>
      <c r="BR30" s="21">
        <f>EXP(-LN(2)/2)*BR29+(1-EXP(-LN(2)/2))/(LN(2)/2)*BL30*BO30*VLOOKUP('Données projet'!$B$11,Paramètres!$A$1:$I$89,3,0)*0.475*44/12</f>
        <v>0.72725332342292248</v>
      </c>
      <c r="BS30" s="22">
        <f t="shared" si="9"/>
        <v>4.1278115481306346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4.8</v>
      </c>
      <c r="BY30" s="12">
        <f>IF('Données projet'!$A$114&gt;35,BY29+BX30-CG29,IF(A30&lt;'Données projet'!$A$114,$BV$205^A30,IF(A30='Données projet'!$A$114,'Données projet'!$B$114,BY29+BX30-CG29)))</f>
        <v>39.599999999999994</v>
      </c>
      <c r="BZ30" s="13">
        <f>BY30*VLOOKUP('Données projet'!$B$12,Paramètres!$A$1:$I$89,3,0)*VLOOKUP('Données projet'!$B$12,Paramètres!$A$1:$I$89,5,0)</f>
        <v>45.096479999999993</v>
      </c>
      <c r="CA30" s="13">
        <f t="shared" si="39"/>
        <v>13.339897895146274</v>
      </c>
      <c r="CB30" s="20">
        <f t="shared" si="10"/>
        <v>101.77669150071307</v>
      </c>
      <c r="CC30" s="59">
        <f t="shared" si="11"/>
        <v>395.11002483404638</v>
      </c>
      <c r="CD30" s="59">
        <f ca="1">AVERAGE(OFFSET($CC$3,0,0,'Données projet'!$E$12+1,1))-AVERAGE(OFFSET($H$3,0,0,'Données projet'!$E$12+1,1))</f>
        <v>242.1473060698724</v>
      </c>
      <c r="CE30" s="59">
        <f t="shared" si="40"/>
        <v>96.127995920458659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>
        <f>CT30*VLOOKUP('Données projet'!$B$13,Paramètres!$A$1:$I$89,3,0)*VLOOKUP('Données projet'!$B$13,Paramètres!$A$1:$I$89,5,0)</f>
        <v>0</v>
      </c>
      <c r="CV30" s="13" t="e">
        <f t="shared" si="41"/>
        <v>#NUM!</v>
      </c>
      <c r="CW30" s="20" t="e">
        <f t="shared" si="13"/>
        <v>#NUM!</v>
      </c>
      <c r="CX30" s="59" t="e">
        <f t="shared" si="14"/>
        <v>#NUM!</v>
      </c>
      <c r="CY30" s="59">
        <f ca="1">AVERAGE(OFFSET($CX$3,0,0,'Données projet'!$E$13+1,1))-AVERAGE(OFFSET($H$3,0,0,'Données projet'!$E$13+1,1))</f>
        <v>0</v>
      </c>
      <c r="CZ30" s="59">
        <f t="shared" si="42"/>
        <v>0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>
        <f>DO30*VLOOKUP('Données projet'!$B$14,Paramètres!$A$1:$I$89,3,0)*VLOOKUP('Données projet'!$B$14,Paramètres!$A$1:$I$89,5,0)</f>
        <v>0</v>
      </c>
      <c r="DQ30" s="13" t="e">
        <f t="shared" si="43"/>
        <v>#NUM!</v>
      </c>
      <c r="DR30" s="20" t="e">
        <f t="shared" si="16"/>
        <v>#NUM!</v>
      </c>
      <c r="DS30" s="59" t="e">
        <f t="shared" si="17"/>
        <v>#NUM!</v>
      </c>
      <c r="DT30" s="59">
        <f ca="1">AVERAGE(OFFSET($DS$3,0,0,'Données projet'!$E$14+1,1))-AVERAGE(OFFSET($H$3,0,0,'Données projet'!$E$14+1,1))</f>
        <v>0</v>
      </c>
      <c r="DU30" s="59">
        <f t="shared" si="44"/>
        <v>0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17.666666666666668</v>
      </c>
      <c r="N31" s="13">
        <f>IF('Données projet'!$A$36&gt;35,N30+M31-V30,IF(A31&lt;'Données projet'!$A$36,$K$205^A31,IF(A31='Données projet'!$A$36,'Données projet'!$B$36,N30+M31-V30)))</f>
        <v>322.33333333333343</v>
      </c>
      <c r="O31" s="13">
        <f>N31*VLOOKUP('Données projet'!$B$9,Paramètres!$A$1:$I$89,3,0)*VLOOKUP('Données projet'!$B$9,Paramètres!$A$1:$I$89,5,0)</f>
        <v>192.75533333333343</v>
      </c>
      <c r="P31" s="13">
        <f t="shared" si="33"/>
        <v>48.148606547290548</v>
      </c>
      <c r="Q31" s="20">
        <f t="shared" si="2"/>
        <v>419.57436195875334</v>
      </c>
      <c r="R31" s="59">
        <f t="shared" si="0"/>
        <v>712.9076952920866</v>
      </c>
      <c r="S31" s="59">
        <f ca="1">AVERAGE(OFFSET($R$3,0,0,'Données projet'!$E$9+1,1))-AVERAGE(OFFSET($H$3,0,0,'Données projet'!$E$9+1,1))</f>
        <v>212.98969326021802</v>
      </c>
      <c r="T31" s="59">
        <f t="shared" si="34"/>
        <v>422.91218020922895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4.3873036167867649</v>
      </c>
      <c r="AA31" s="21">
        <f>EXP(-LN(2)/25)*AA30+(1-EXP(-LN(2)/25))/(LN(2)/25)*Calculateur!V31*Calculateur!X31*VLOOKUP('Données projet'!$B$9,Paramètres!$A$1:$I$89,3,0)*0.475*44/12</f>
        <v>13.630039040639938</v>
      </c>
      <c r="AB31" s="21">
        <f>EXP(-LN(2)/2)*AB30+(1-EXP(-LN(2)/2))/(LN(2)/2)*V31*Y31*VLOOKUP('Données projet'!$B$9,Paramètres!$A$1:$I$89,3,0)*0.475*44/12</f>
        <v>1.337751919770134</v>
      </c>
      <c r="AC31" s="22">
        <f t="shared" si="3"/>
        <v>19.355094577196837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16.8</v>
      </c>
      <c r="AI31" s="13">
        <f>IF('Données projet'!$A$62&gt;35,AI30+AH31-AQ30,IF(A31&lt;'Données projet'!$A$62,$AF$205^A31,IF(A31='Données projet'!$A$62,'Données projet'!$B$62,AI30+AH31-AQ30)))</f>
        <v>226.40000000000006</v>
      </c>
      <c r="AJ31" s="13">
        <f>AI31*VLOOKUP('Données projet'!$B$10,Paramètres!$A$1:$I$89,3,0)*VLOOKUP('Données projet'!$B$10,Paramètres!$A$1:$I$89,5,0)</f>
        <v>135.38720000000004</v>
      </c>
      <c r="AK31" s="13">
        <f t="shared" si="35"/>
        <v>35.238226113459085</v>
      </c>
      <c r="AL31" s="20">
        <f t="shared" si="4"/>
        <v>297.17261714760798</v>
      </c>
      <c r="AM31" s="59">
        <f t="shared" si="5"/>
        <v>590.50595048094124</v>
      </c>
      <c r="AN31" s="59">
        <f ca="1">AVERAGE(OFFSET($AM$3,0,0,'Données projet'!$E$10+1,1))-AVERAGE(OFFSET($H$3,0,0,'Données projet'!$E$10+1,1))</f>
        <v>318.09371753144256</v>
      </c>
      <c r="AO31" s="59">
        <f t="shared" si="36"/>
        <v>298.61479562586919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5.2695171931618079</v>
      </c>
      <c r="AW31" s="21">
        <f>EXP(-LN(2)/2)*AW30+(1-EXP(-LN(2)/2))/(LN(2)/2)*AQ31*AT31*VLOOKUP('Données projet'!$B$10,Paramètres!$A$1:$I$89,3,0)*0.475*44/12</f>
        <v>0.78286786922095575</v>
      </c>
      <c r="AX31" s="21">
        <f t="shared" si="6"/>
        <v>6.052385062382764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12.2</v>
      </c>
      <c r="BD31" s="12">
        <f>IF('Données projet'!$A$88&gt;35,BD30+BC31-BL30,IF(A31&lt;'Données projet'!$A$88,$BA$205^A31,IF(A31='Données projet'!$A$88,'Données projet'!$B$88,BD30+BC31-BL30)))</f>
        <v>149.6</v>
      </c>
      <c r="BE31" s="13">
        <f>BD31*VLOOKUP('Données projet'!$B$11,Paramètres!$A$1:$I$89,3,0)*VLOOKUP('Données projet'!$B$11,Paramètres!$A$1:$I$89,5,0)</f>
        <v>121.35552000000001</v>
      </c>
      <c r="BF31" s="13">
        <f t="shared" si="37"/>
        <v>31.990945095046595</v>
      </c>
      <c r="BG31" s="20">
        <f t="shared" si="7"/>
        <v>267.07842670720612</v>
      </c>
      <c r="BH31" s="59">
        <f t="shared" si="8"/>
        <v>560.41176004053943</v>
      </c>
      <c r="BI31" s="59">
        <f ca="1">AVERAGE(OFFSET($BH$3,0,0,'Données projet'!$E$11+1,1))-AVERAGE(OFFSET($H$3,0,0,'Données projet'!$E$11+1,1))</f>
        <v>230.68538392491388</v>
      </c>
      <c r="BJ31" s="59">
        <f t="shared" si="38"/>
        <v>267.97457956620724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3.3075697812254949</v>
      </c>
      <c r="BR31" s="21">
        <f>EXP(-LN(2)/2)*BR30+(1-EXP(-LN(2)/2))/(LN(2)/2)*BL31*BO31*VLOOKUP('Données projet'!$B$11,Paramètres!$A$1:$I$89,3,0)*0.475*44/12</f>
        <v>0.51424575663280192</v>
      </c>
      <c r="BS31" s="22">
        <f t="shared" si="9"/>
        <v>3.821815537858297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4.8</v>
      </c>
      <c r="BY31" s="12">
        <f>IF('Données projet'!$A$114&gt;35,BY30+BX31-CG30,IF(A31&lt;'Données projet'!$A$114,$BV$205^A31,IF(A31='Données projet'!$A$114,'Données projet'!$B$114,BY30+BX31-CG30)))</f>
        <v>44.399999999999991</v>
      </c>
      <c r="BZ31" s="13">
        <f>BY31*VLOOKUP('Données projet'!$B$12,Paramètres!$A$1:$I$89,3,0)*VLOOKUP('Données projet'!$B$12,Paramètres!$A$1:$I$89,5,0)</f>
        <v>50.562719999999992</v>
      </c>
      <c r="CA31" s="13">
        <f t="shared" si="39"/>
        <v>14.758989764964552</v>
      </c>
      <c r="CB31" s="20">
        <f t="shared" si="10"/>
        <v>113.76864450731324</v>
      </c>
      <c r="CC31" s="59">
        <f t="shared" si="11"/>
        <v>407.10197784064655</v>
      </c>
      <c r="CD31" s="59">
        <f ca="1">AVERAGE(OFFSET($CC$3,0,0,'Données projet'!$E$12+1,1))-AVERAGE(OFFSET($H$3,0,0,'Données projet'!$E$12+1,1))</f>
        <v>242.1473060698724</v>
      </c>
      <c r="CE31" s="59">
        <f t="shared" si="40"/>
        <v>96.127995920458659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>
        <f>CT31*VLOOKUP('Données projet'!$B$13,Paramètres!$A$1:$I$89,3,0)*VLOOKUP('Données projet'!$B$13,Paramètres!$A$1:$I$89,5,0)</f>
        <v>0</v>
      </c>
      <c r="CV31" s="13" t="e">
        <f t="shared" si="41"/>
        <v>#NUM!</v>
      </c>
      <c r="CW31" s="20" t="e">
        <f t="shared" si="13"/>
        <v>#NUM!</v>
      </c>
      <c r="CX31" s="59" t="e">
        <f t="shared" si="14"/>
        <v>#NUM!</v>
      </c>
      <c r="CY31" s="59">
        <f ca="1">AVERAGE(OFFSET($CX$3,0,0,'Données projet'!$E$13+1,1))-AVERAGE(OFFSET($H$3,0,0,'Données projet'!$E$13+1,1))</f>
        <v>0</v>
      </c>
      <c r="CZ31" s="59">
        <f t="shared" si="42"/>
        <v>0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>
        <f>DO31*VLOOKUP('Données projet'!$B$14,Paramètres!$A$1:$I$89,3,0)*VLOOKUP('Données projet'!$B$14,Paramètres!$A$1:$I$89,5,0)</f>
        <v>0</v>
      </c>
      <c r="DQ31" s="13" t="e">
        <f t="shared" si="43"/>
        <v>#NUM!</v>
      </c>
      <c r="DR31" s="20" t="e">
        <f t="shared" si="16"/>
        <v>#NUM!</v>
      </c>
      <c r="DS31" s="59" t="e">
        <f t="shared" si="17"/>
        <v>#NUM!</v>
      </c>
      <c r="DT31" s="59">
        <f ca="1">AVERAGE(OFFSET($DS$3,0,0,'Données projet'!$E$14+1,1))-AVERAGE(OFFSET($H$3,0,0,'Données projet'!$E$14+1,1))</f>
        <v>0</v>
      </c>
      <c r="DU31" s="59">
        <f t="shared" si="44"/>
        <v>0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17.666666666666668</v>
      </c>
      <c r="N32" s="13">
        <f>IF('Données projet'!$A$36&gt;35,N31+M32-V31,IF(A32&lt;'Données projet'!$A$36,$K$205^A32,IF(A32='Données projet'!$A$36,'Données projet'!$B$36,N31+M32-V31)))</f>
        <v>340.00000000000011</v>
      </c>
      <c r="O32" s="13">
        <f>N32*VLOOKUP('Données projet'!$B$9,Paramètres!$A$1:$I$89,3,0)*VLOOKUP('Données projet'!$B$9,Paramètres!$A$1:$I$89,5,0)</f>
        <v>203.32000000000008</v>
      </c>
      <c r="P32" s="13">
        <f t="shared" si="33"/>
        <v>50.473102640215579</v>
      </c>
      <c r="Q32" s="20">
        <f t="shared" si="2"/>
        <v>442.02298709837561</v>
      </c>
      <c r="R32" s="59">
        <f t="shared" si="0"/>
        <v>735.35632043170892</v>
      </c>
      <c r="S32" s="59">
        <f ca="1">AVERAGE(OFFSET($R$3,0,0,'Données projet'!$E$9+1,1))-AVERAGE(OFFSET($H$3,0,0,'Données projet'!$E$9+1,1))</f>
        <v>212.98969326021802</v>
      </c>
      <c r="T32" s="59">
        <f t="shared" si="34"/>
        <v>422.91218020922895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4.3012712688525507</v>
      </c>
      <c r="AA32" s="21">
        <f>EXP(-LN(2)/25)*AA31+(1-EXP(-LN(2)/25))/(LN(2)/25)*Calculateur!V32*Calculateur!X32*VLOOKUP('Données projet'!$B$9,Paramètres!$A$1:$I$89,3,0)*0.475*44/12</f>
        <v>13.257324906301037</v>
      </c>
      <c r="AB32" s="21">
        <f>EXP(-LN(2)/2)*AB31+(1-EXP(-LN(2)/2))/(LN(2)/2)*V32*Y32*VLOOKUP('Données projet'!$B$9,Paramètres!$A$1:$I$89,3,0)*0.475*44/12</f>
        <v>0.94593345401478401</v>
      </c>
      <c r="AC32" s="22">
        <f t="shared" si="3"/>
        <v>18.504529629168374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16.8</v>
      </c>
      <c r="AI32" s="13">
        <f>IF('Données projet'!$A$62&gt;35,AI31+AH32-AQ31,IF(A32&lt;'Données projet'!$A$62,$AF$205^A32,IF(A32='Données projet'!$A$62,'Données projet'!$B$62,AI31+AH32-AQ31)))</f>
        <v>243.20000000000007</v>
      </c>
      <c r="AJ32" s="13">
        <f>AI32*VLOOKUP('Données projet'!$B$10,Paramètres!$A$1:$I$89,3,0)*VLOOKUP('Données projet'!$B$10,Paramètres!$A$1:$I$89,5,0)</f>
        <v>145.43360000000007</v>
      </c>
      <c r="AK32" s="13">
        <f t="shared" si="35"/>
        <v>37.538995050574634</v>
      </c>
      <c r="AL32" s="20">
        <f t="shared" si="4"/>
        <v>318.67726971308429</v>
      </c>
      <c r="AM32" s="59">
        <f t="shared" si="5"/>
        <v>612.0106030464176</v>
      </c>
      <c r="AN32" s="59">
        <f ca="1">AVERAGE(OFFSET($AM$3,0,0,'Données projet'!$E$10+1,1))-AVERAGE(OFFSET($H$3,0,0,'Données projet'!$E$10+1,1))</f>
        <v>318.09371753144256</v>
      </c>
      <c r="AO32" s="59">
        <f t="shared" si="36"/>
        <v>298.61479562586919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5.1254219684029323</v>
      </c>
      <c r="AW32" s="21">
        <f>EXP(-LN(2)/2)*AW31+(1-EXP(-LN(2)/2))/(LN(2)/2)*AQ32*AT32*VLOOKUP('Données projet'!$B$10,Paramètres!$A$1:$I$89,3,0)*0.475*44/12</f>
        <v>0.55357117909920106</v>
      </c>
      <c r="AX32" s="21">
        <f t="shared" si="6"/>
        <v>5.6789931475021334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12.2</v>
      </c>
      <c r="BD32" s="12">
        <f>IF('Données projet'!$A$88&gt;35,BD31+BC32-BL31,IF(A32&lt;'Données projet'!$A$88,$BA$205^A32,IF(A32='Données projet'!$A$88,'Données projet'!$B$88,BD31+BC32-BL31)))</f>
        <v>161.79999999999998</v>
      </c>
      <c r="BE32" s="13">
        <f>BD32*VLOOKUP('Données projet'!$B$11,Paramètres!$A$1:$I$89,3,0)*VLOOKUP('Données projet'!$B$11,Paramètres!$A$1:$I$89,5,0)</f>
        <v>131.25216</v>
      </c>
      <c r="BF32" s="13">
        <f t="shared" si="37"/>
        <v>34.285535125000187</v>
      </c>
      <c r="BG32" s="20">
        <f t="shared" si="7"/>
        <v>288.31148567604197</v>
      </c>
      <c r="BH32" s="59">
        <f t="shared" si="8"/>
        <v>581.64481900937528</v>
      </c>
      <c r="BI32" s="59">
        <f ca="1">AVERAGE(OFFSET($BH$3,0,0,'Données projet'!$E$11+1,1))-AVERAGE(OFFSET($H$3,0,0,'Données projet'!$E$11+1,1))</f>
        <v>230.68538392491388</v>
      </c>
      <c r="BJ32" s="59">
        <f t="shared" si="38"/>
        <v>267.97457956620724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3.2171241116203486</v>
      </c>
      <c r="BR32" s="21">
        <f>EXP(-LN(2)/2)*BR31+(1-EXP(-LN(2)/2))/(LN(2)/2)*BL32*BO32*VLOOKUP('Données projet'!$B$11,Paramètres!$A$1:$I$89,3,0)*0.475*44/12</f>
        <v>0.36362666171146124</v>
      </c>
      <c r="BS32" s="22">
        <f t="shared" si="9"/>
        <v>3.5807507733318098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4.8</v>
      </c>
      <c r="BY32" s="12">
        <f>IF('Données projet'!$A$114&gt;35,BY31+BX32-CG31,IF(A32&lt;'Données projet'!$A$114,$BV$205^A32,IF(A32='Données projet'!$A$114,'Données projet'!$B$114,BY31+BX32-CG31)))</f>
        <v>49.199999999999989</v>
      </c>
      <c r="BZ32" s="13">
        <f>BY32*VLOOKUP('Données projet'!$B$12,Paramètres!$A$1:$I$89,3,0)*VLOOKUP('Données projet'!$B$12,Paramètres!$A$1:$I$89,5,0)</f>
        <v>56.028959999999984</v>
      </c>
      <c r="CA32" s="13">
        <f t="shared" si="39"/>
        <v>16.160299450101345</v>
      </c>
      <c r="CB32" s="20">
        <f t="shared" si="10"/>
        <v>125.72962687559315</v>
      </c>
      <c r="CC32" s="59">
        <f t="shared" si="11"/>
        <v>419.06296020892648</v>
      </c>
      <c r="CD32" s="59">
        <f ca="1">AVERAGE(OFFSET($CC$3,0,0,'Données projet'!$E$12+1,1))-AVERAGE(OFFSET($H$3,0,0,'Données projet'!$E$12+1,1))</f>
        <v>242.1473060698724</v>
      </c>
      <c r="CE32" s="59">
        <f t="shared" si="40"/>
        <v>96.127995920458659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>
        <f>CT32*VLOOKUP('Données projet'!$B$13,Paramètres!$A$1:$I$89,3,0)*VLOOKUP('Données projet'!$B$13,Paramètres!$A$1:$I$89,5,0)</f>
        <v>0</v>
      </c>
      <c r="CV32" s="13" t="e">
        <f t="shared" si="41"/>
        <v>#NUM!</v>
      </c>
      <c r="CW32" s="20" t="e">
        <f t="shared" si="13"/>
        <v>#NUM!</v>
      </c>
      <c r="CX32" s="59" t="e">
        <f t="shared" si="14"/>
        <v>#NUM!</v>
      </c>
      <c r="CY32" s="59">
        <f ca="1">AVERAGE(OFFSET($CX$3,0,0,'Données projet'!$E$13+1,1))-AVERAGE(OFFSET($H$3,0,0,'Données projet'!$E$13+1,1))</f>
        <v>0</v>
      </c>
      <c r="CZ32" s="59">
        <f t="shared" si="42"/>
        <v>0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>
        <f>DO32*VLOOKUP('Données projet'!$B$14,Paramètres!$A$1:$I$89,3,0)*VLOOKUP('Données projet'!$B$14,Paramètres!$A$1:$I$89,5,0)</f>
        <v>0</v>
      </c>
      <c r="DQ32" s="13" t="e">
        <f t="shared" si="43"/>
        <v>#NUM!</v>
      </c>
      <c r="DR32" s="20" t="e">
        <f t="shared" si="16"/>
        <v>#NUM!</v>
      </c>
      <c r="DS32" s="59" t="e">
        <f t="shared" si="17"/>
        <v>#NUM!</v>
      </c>
      <c r="DT32" s="59">
        <f ca="1">AVERAGE(OFFSET($DS$3,0,0,'Données projet'!$E$14+1,1))-AVERAGE(OFFSET($H$3,0,0,'Données projet'!$E$14+1,1))</f>
        <v>0</v>
      </c>
      <c r="DU32" s="59">
        <f t="shared" si="44"/>
        <v>0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17.666666666666668</v>
      </c>
      <c r="N33" s="13">
        <f>IF('Données projet'!$A$36&gt;35,N32+M33-V32,IF(A33&lt;'Données projet'!$A$36,$K$205^A33,IF(A33='Données projet'!$A$36,'Données projet'!$B$36,N32+M33-V32)))</f>
        <v>357.6666666666668</v>
      </c>
      <c r="O33" s="13">
        <f>N33*VLOOKUP('Données projet'!$B$9,Paramètres!$A$1:$I$89,3,0)*VLOOKUP('Données projet'!$B$9,Paramètres!$A$1:$I$89,5,0)</f>
        <v>213.88466666666676</v>
      </c>
      <c r="P33" s="13">
        <f t="shared" si="33"/>
        <v>52.783575402845472</v>
      </c>
      <c r="Q33" s="20">
        <f t="shared" si="2"/>
        <v>464.44718827106709</v>
      </c>
      <c r="R33" s="59">
        <f t="shared" si="0"/>
        <v>757.78052160440041</v>
      </c>
      <c r="S33" s="59">
        <f ca="1">AVERAGE(OFFSET($R$3,0,0,'Données projet'!$E$9+1,1))-AVERAGE(OFFSET($H$3,0,0,'Données projet'!$E$9+1,1))</f>
        <v>212.98969326021802</v>
      </c>
      <c r="T33" s="59">
        <f t="shared" si="34"/>
        <v>422.91218020922895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4.2169259627867755</v>
      </c>
      <c r="AA33" s="21">
        <f>EXP(-LN(2)/25)*AA32+(1-EXP(-LN(2)/25))/(LN(2)/25)*Calculateur!V33*Calculateur!X33*VLOOKUP('Données projet'!$B$9,Paramètres!$A$1:$I$89,3,0)*0.475*44/12</f>
        <v>12.894802659565817</v>
      </c>
      <c r="AB33" s="21">
        <f>EXP(-LN(2)/2)*AB32+(1-EXP(-LN(2)/2))/(LN(2)/2)*V33*Y33*VLOOKUP('Données projet'!$B$9,Paramètres!$A$1:$I$89,3,0)*0.475*44/12</f>
        <v>0.6688759598850671</v>
      </c>
      <c r="AC33" s="22">
        <f t="shared" si="3"/>
        <v>17.780604582237661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260</v>
      </c>
      <c r="AG33" s="12">
        <f>VLOOKUP(A33,'Données projet'!$A$61:$I$81,9,0)</f>
        <v>16.8</v>
      </c>
      <c r="AH33" s="12">
        <f t="array" ref="AH33">INDEX(AG:AG,MIN(IF(ISNUMBER(AG33:AG229),ROW(AG33:AG229),"")))</f>
        <v>16.8</v>
      </c>
      <c r="AI33" s="13">
        <f>IF('Données projet'!$A$62&gt;35,AI32+AH33-AQ32,IF(A33&lt;'Données projet'!$A$62,$AF$205^A33,IF(A33='Données projet'!$A$62,'Données projet'!$B$62,AI32+AH33-AQ32)))</f>
        <v>260.00000000000006</v>
      </c>
      <c r="AJ33" s="13">
        <f>AI33*VLOOKUP('Données projet'!$B$10,Paramètres!$A$1:$I$89,3,0)*VLOOKUP('Données projet'!$B$10,Paramètres!$A$1:$I$89,5,0)</f>
        <v>155.48000000000005</v>
      </c>
      <c r="AK33" s="13">
        <f t="shared" si="35"/>
        <v>39.821322691506545</v>
      </c>
      <c r="AL33" s="20">
        <f t="shared" si="4"/>
        <v>340.14980368770728</v>
      </c>
      <c r="AM33" s="59">
        <f t="shared" si="5"/>
        <v>633.48313702104065</v>
      </c>
      <c r="AN33" s="59">
        <f ca="1">AVERAGE(OFFSET($AM$3,0,0,'Données projet'!$E$10+1,1))-AVERAGE(OFFSET($H$3,0,0,'Données projet'!$E$10+1,1))</f>
        <v>318.09371753144256</v>
      </c>
      <c r="AO33" s="59">
        <f t="shared" si="36"/>
        <v>298.61479562586919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98</v>
      </c>
      <c r="AR33" s="16">
        <f>IF(ISNA(VLOOKUP(A33,'Données projet'!$A$61:$I$81,5,0)),0%,VLOOKUP(A33,'Données projet'!$A$61:$I$81,5,0)*VLOOKUP('Données projet'!$B$10,Paramètres!$A$1:$I$89,7,0))</f>
        <v>4.5000000000000005E-2</v>
      </c>
      <c r="AS33" s="16">
        <f>IF(ISNA(VLOOKUP(A33,'Données projet'!$A$61:$I$81,6,0)),0%,VLOOKUP(A33,'Données projet'!$A$61:$I$81,6,0)*VLOOKUP('Données projet'!$B$10,Paramètres!$A$1:$I$89,7,0))</f>
        <v>0.20250000000000001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3.4983892505960466</v>
      </c>
      <c r="AV33" s="21">
        <f>EXP(-LN(2)/25)*AV32+(1-EXP(-LN(2)/25))/(LN(2)/25)*Calculateur!AQ33*Calculateur!AS33*VLOOKUP('Données projet'!$B$10,Paramètres!$A$1:$I$89,3,0)*0.475*44/12</f>
        <v>20.666033451208115</v>
      </c>
      <c r="AW33" s="21">
        <f>EXP(-LN(2)/2)*AW32+(1-EXP(-LN(2)/2))/(LN(2)/2)*AQ33*AT33*VLOOKUP('Données projet'!$B$10,Paramètres!$A$1:$I$89,3,0)*0.475*44/12</f>
        <v>30.250437638518935</v>
      </c>
      <c r="AX33" s="21">
        <f t="shared" si="6"/>
        <v>54.414860340323102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174</v>
      </c>
      <c r="BB33" s="12">
        <f>VLOOKUP(A33,'Données projet'!$A$87:$I$107,9,0)</f>
        <v>12.2</v>
      </c>
      <c r="BC33" s="12">
        <f t="array" ref="BC33">INDEX(BB:BB,MIN(IF(ISNUMBER(BB33:BB229),ROW(BB33:BB229),"")))</f>
        <v>12.2</v>
      </c>
      <c r="BD33" s="12">
        <f>IF('Données projet'!$A$88&gt;35,BD32+BC33-BL32,IF(A33&lt;'Données projet'!$A$88,$BA$205^A33,IF(A33='Données projet'!$A$88,'Données projet'!$B$88,BD32+BC33-BL32)))</f>
        <v>173.99999999999997</v>
      </c>
      <c r="BE33" s="13">
        <f>BD33*VLOOKUP('Données projet'!$B$11,Paramètres!$A$1:$I$89,3,0)*VLOOKUP('Données projet'!$B$11,Paramètres!$A$1:$I$89,5,0)</f>
        <v>141.14879999999999</v>
      </c>
      <c r="BF33" s="13">
        <f t="shared" si="37"/>
        <v>36.560054140504484</v>
      </c>
      <c r="BG33" s="20">
        <f t="shared" si="7"/>
        <v>309.50958762804532</v>
      </c>
      <c r="BH33" s="59">
        <f t="shared" si="8"/>
        <v>602.8429209613787</v>
      </c>
      <c r="BI33" s="59">
        <f ca="1">AVERAGE(OFFSET($BH$3,0,0,'Données projet'!$E$11+1,1))-AVERAGE(OFFSET($H$3,0,0,'Données projet'!$E$11+1,1))</f>
        <v>230.68538392491388</v>
      </c>
      <c r="BJ33" s="59">
        <f t="shared" si="38"/>
        <v>267.97457956620724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56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0.1075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8.5063763912707451</v>
      </c>
      <c r="BR33" s="21">
        <f>EXP(-LN(2)/2)*BR32+(1-EXP(-LN(2)/2))/(LN(2)/2)*BL33*BO33*VLOOKUP('Données projet'!$B$11,Paramètres!$A$1:$I$89,3,0)*0.475*44/12</f>
        <v>10.972569342106874</v>
      </c>
      <c r="BS33" s="22">
        <f t="shared" si="9"/>
        <v>19.478945733377621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54</v>
      </c>
      <c r="BW33" s="12">
        <f>VLOOKUP(A33,'Données projet'!$A$113:$I$133,9,0)</f>
        <v>4.8</v>
      </c>
      <c r="BX33" s="12">
        <f t="array" ref="BX33">INDEX(BW:BW,MIN(IF(ISNUMBER(BW33:BW229),ROW(BW33:BW229),"")))</f>
        <v>4.8</v>
      </c>
      <c r="BY33" s="12">
        <f>IF('Données projet'!$A$114&gt;35,BY32+BX33-CG32,IF(A33&lt;'Données projet'!$A$114,$BV$205^A33,IF(A33='Données projet'!$A$114,'Données projet'!$B$114,BY32+BX33-CG32)))</f>
        <v>53.999999999999986</v>
      </c>
      <c r="BZ33" s="13">
        <f>BY33*VLOOKUP('Données projet'!$B$12,Paramètres!$A$1:$I$89,3,0)*VLOOKUP('Données projet'!$B$12,Paramètres!$A$1:$I$89,5,0)</f>
        <v>61.495199999999983</v>
      </c>
      <c r="CA33" s="13">
        <f t="shared" si="39"/>
        <v>17.545759224285259</v>
      </c>
      <c r="CB33" s="20">
        <f t="shared" si="10"/>
        <v>137.6630039822968</v>
      </c>
      <c r="CC33" s="59">
        <f t="shared" si="11"/>
        <v>430.99633731563011</v>
      </c>
      <c r="CD33" s="59">
        <f ca="1">AVERAGE(OFFSET($CC$3,0,0,'Données projet'!$E$12+1,1))-AVERAGE(OFFSET($H$3,0,0,'Données projet'!$E$12+1,1))</f>
        <v>242.1473060698724</v>
      </c>
      <c r="CE33" s="59">
        <f t="shared" si="40"/>
        <v>96.127995920458659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>
        <f>CT33*VLOOKUP('Données projet'!$B$13,Paramètres!$A$1:$I$89,3,0)*VLOOKUP('Données projet'!$B$13,Paramètres!$A$1:$I$89,5,0)</f>
        <v>0</v>
      </c>
      <c r="CV33" s="13" t="e">
        <f t="shared" si="41"/>
        <v>#NUM!</v>
      </c>
      <c r="CW33" s="20" t="e">
        <f t="shared" si="13"/>
        <v>#NUM!</v>
      </c>
      <c r="CX33" s="59" t="e">
        <f t="shared" si="14"/>
        <v>#NUM!</v>
      </c>
      <c r="CY33" s="59">
        <f ca="1">AVERAGE(OFFSET($CX$3,0,0,'Données projet'!$E$13+1,1))-AVERAGE(OFFSET($H$3,0,0,'Données projet'!$E$13+1,1))</f>
        <v>0</v>
      </c>
      <c r="CZ33" s="59">
        <f t="shared" si="42"/>
        <v>0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>
        <f>DO33*VLOOKUP('Données projet'!$B$14,Paramètres!$A$1:$I$89,3,0)*VLOOKUP('Données projet'!$B$14,Paramètres!$A$1:$I$89,5,0)</f>
        <v>0</v>
      </c>
      <c r="DQ33" s="13" t="e">
        <f t="shared" si="43"/>
        <v>#NUM!</v>
      </c>
      <c r="DR33" s="20" t="e">
        <f t="shared" si="16"/>
        <v>#NUM!</v>
      </c>
      <c r="DS33" s="59" t="e">
        <f t="shared" si="17"/>
        <v>#NUM!</v>
      </c>
      <c r="DT33" s="59">
        <f ca="1">AVERAGE(OFFSET($DS$3,0,0,'Données projet'!$E$14+1,1))-AVERAGE(OFFSET($H$3,0,0,'Données projet'!$E$14+1,1))</f>
        <v>0</v>
      </c>
      <c r="DU33" s="59">
        <f t="shared" si="44"/>
        <v>0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17.666666666666668</v>
      </c>
      <c r="N34" s="13">
        <f>IF('Données projet'!$A$36&gt;35,N33+M34-V33,IF(A34&lt;'Données projet'!$A$36,$K$205^A34,IF(A34='Données projet'!$A$36,'Données projet'!$B$36,N33+M34-V33)))</f>
        <v>375.33333333333348</v>
      </c>
      <c r="O34" s="13">
        <f>N34*VLOOKUP('Données projet'!$B$9,Paramètres!$A$1:$I$89,3,0)*VLOOKUP('Données projet'!$B$9,Paramètres!$A$1:$I$89,5,0)</f>
        <v>224.44933333333344</v>
      </c>
      <c r="P34" s="13">
        <f t="shared" si="33"/>
        <v>55.0807965573836</v>
      </c>
      <c r="Q34" s="20">
        <f t="shared" si="2"/>
        <v>486.84830955966549</v>
      </c>
      <c r="R34" s="59">
        <f t="shared" si="0"/>
        <v>780.18164289299875</v>
      </c>
      <c r="S34" s="59">
        <f ca="1">AVERAGE(OFFSET($R$3,0,0,'Données projet'!$E$9+1,1))-AVERAGE(OFFSET($H$3,0,0,'Données projet'!$E$9+1,1))</f>
        <v>212.98969326021802</v>
      </c>
      <c r="T34" s="59">
        <f t="shared" si="34"/>
        <v>422.91218020922895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4.1342346167273929</v>
      </c>
      <c r="AA34" s="21">
        <f>EXP(-LN(2)/25)*AA33+(1-EXP(-LN(2)/25))/(LN(2)/25)*Calculateur!V34*Calculateur!X34*VLOOKUP('Données projet'!$B$9,Paramètres!$A$1:$I$89,3,0)*0.475*44/12</f>
        <v>12.542193602731789</v>
      </c>
      <c r="AB34" s="21">
        <f>EXP(-LN(2)/2)*AB33+(1-EXP(-LN(2)/2))/(LN(2)/2)*V34*Y34*VLOOKUP('Données projet'!$B$9,Paramètres!$A$1:$I$89,3,0)*0.475*44/12</f>
        <v>0.47296672700739212</v>
      </c>
      <c r="AC34" s="22">
        <f t="shared" si="3"/>
        <v>17.149394946466575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18.7</v>
      </c>
      <c r="AI34" s="13">
        <f>IF('Données projet'!$A$62&gt;35,AI33+AH34-AQ33,IF(A34&lt;'Données projet'!$A$62,$AF$205^A34,IF(A34='Données projet'!$A$62,'Données projet'!$B$62,AI33+AH34-AQ33)))</f>
        <v>180.70000000000005</v>
      </c>
      <c r="AJ34" s="13">
        <f>AI34*VLOOKUP('Données projet'!$B$10,Paramètres!$A$1:$I$89,3,0)*VLOOKUP('Données projet'!$B$10,Paramètres!$A$1:$I$89,5,0)</f>
        <v>108.05860000000004</v>
      </c>
      <c r="AK34" s="13">
        <f t="shared" si="35"/>
        <v>28.87310263521136</v>
      </c>
      <c r="AL34" s="20">
        <f t="shared" si="4"/>
        <v>238.48938208965981</v>
      </c>
      <c r="AM34" s="59">
        <f t="shared" si="5"/>
        <v>531.82271542299316</v>
      </c>
      <c r="AN34" s="59">
        <f ca="1">AVERAGE(OFFSET($AM$3,0,0,'Données projet'!$E$10+1,1))-AVERAGE(OFFSET($H$3,0,0,'Données projet'!$E$10+1,1))</f>
        <v>318.09371753144256</v>
      </c>
      <c r="AO34" s="59">
        <f t="shared" si="36"/>
        <v>298.61479562586919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3.4297879711986052</v>
      </c>
      <c r="AV34" s="21">
        <f>EXP(-LN(2)/25)*AV33+(1-EXP(-LN(2)/25))/(LN(2)/25)*Calculateur!AQ34*Calculateur!AS34*VLOOKUP('Données projet'!$B$10,Paramètres!$A$1:$I$89,3,0)*0.475*44/12</f>
        <v>20.100919679705363</v>
      </c>
      <c r="AW34" s="21">
        <f>EXP(-LN(2)/2)*AW33+(1-EXP(-LN(2)/2))/(LN(2)/2)*AQ34*AT34*VLOOKUP('Données projet'!$B$10,Paramètres!$A$1:$I$89,3,0)*0.475*44/12</f>
        <v>21.390289588057513</v>
      </c>
      <c r="AX34" s="21">
        <f t="shared" si="6"/>
        <v>44.920997238961483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10.199999999999999</v>
      </c>
      <c r="BD34" s="12">
        <f>IF('Données projet'!$A$88&gt;35,BD33+BC34-BL33,IF(A34&lt;'Données projet'!$A$88,$BA$205^A34,IF(A34='Données projet'!$A$88,'Données projet'!$B$88,BD33+BC34-BL33)))</f>
        <v>128.19999999999996</v>
      </c>
      <c r="BE34" s="13">
        <f>BD34*VLOOKUP('Données projet'!$B$11,Paramètres!$A$1:$I$89,3,0)*VLOOKUP('Données projet'!$B$11,Paramètres!$A$1:$I$89,5,0)</f>
        <v>103.99583999999999</v>
      </c>
      <c r="BF34" s="13">
        <f t="shared" si="37"/>
        <v>27.911769723878031</v>
      </c>
      <c r="BG34" s="20">
        <f t="shared" si="7"/>
        <v>229.73908693575422</v>
      </c>
      <c r="BH34" s="59">
        <f t="shared" si="8"/>
        <v>523.0724202690875</v>
      </c>
      <c r="BI34" s="59">
        <f ca="1">AVERAGE(OFFSET($BH$3,0,0,'Données projet'!$E$11+1,1))-AVERAGE(OFFSET($H$3,0,0,'Données projet'!$E$11+1,1))</f>
        <v>230.68538392491388</v>
      </c>
      <c r="BJ34" s="59">
        <f t="shared" si="38"/>
        <v>267.97457956620724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8.2737690815205536</v>
      </c>
      <c r="BR34" s="21">
        <f>EXP(-LN(2)/2)*BR33+(1-EXP(-LN(2)/2))/(LN(2)/2)*BL34*BO34*VLOOKUP('Données projet'!$B$11,Paramètres!$A$1:$I$89,3,0)*0.475*44/12</f>
        <v>7.7587781888433858</v>
      </c>
      <c r="BS34" s="22">
        <f t="shared" si="9"/>
        <v>16.032547270363938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5.2</v>
      </c>
      <c r="BY34" s="12">
        <f>IF('Données projet'!$A$114&gt;35,BY33+BX34-CG33,IF(A34&lt;'Données projet'!$A$114,$BV$205^A34,IF(A34='Données projet'!$A$114,'Données projet'!$B$114,BY33+BX34-CG33)))</f>
        <v>59.199999999999989</v>
      </c>
      <c r="BZ34" s="13">
        <f>BY34*VLOOKUP('Données projet'!$B$12,Paramètres!$A$1:$I$89,3,0)*VLOOKUP('Données projet'!$B$12,Paramètres!$A$1:$I$89,5,0)</f>
        <v>67.416959999999989</v>
      </c>
      <c r="CA34" s="13">
        <f t="shared" si="39"/>
        <v>19.030600798613836</v>
      </c>
      <c r="CB34" s="20">
        <f t="shared" si="10"/>
        <v>150.56283505758572</v>
      </c>
      <c r="CC34" s="59">
        <f t="shared" si="11"/>
        <v>443.896168390919</v>
      </c>
      <c r="CD34" s="59">
        <f ca="1">AVERAGE(OFFSET($CC$3,0,0,'Données projet'!$E$12+1,1))-AVERAGE(OFFSET($H$3,0,0,'Données projet'!$E$12+1,1))</f>
        <v>242.1473060698724</v>
      </c>
      <c r="CE34" s="59">
        <f t="shared" si="40"/>
        <v>96.127995920458659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>
        <f>CT34*VLOOKUP('Données projet'!$B$13,Paramètres!$A$1:$I$89,3,0)*VLOOKUP('Données projet'!$B$13,Paramètres!$A$1:$I$89,5,0)</f>
        <v>0</v>
      </c>
      <c r="CV34" s="13" t="e">
        <f t="shared" si="41"/>
        <v>#NUM!</v>
      </c>
      <c r="CW34" s="20" t="e">
        <f t="shared" si="13"/>
        <v>#NUM!</v>
      </c>
      <c r="CX34" s="59" t="e">
        <f t="shared" si="14"/>
        <v>#NUM!</v>
      </c>
      <c r="CY34" s="59">
        <f ca="1">AVERAGE(OFFSET($CX$3,0,0,'Données projet'!$E$13+1,1))-AVERAGE(OFFSET($H$3,0,0,'Données projet'!$E$13+1,1))</f>
        <v>0</v>
      </c>
      <c r="CZ34" s="59">
        <f t="shared" si="42"/>
        <v>0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>
        <f>DO34*VLOOKUP('Données projet'!$B$14,Paramètres!$A$1:$I$89,3,0)*VLOOKUP('Données projet'!$B$14,Paramètres!$A$1:$I$89,5,0)</f>
        <v>0</v>
      </c>
      <c r="DQ34" s="13" t="e">
        <f t="shared" si="43"/>
        <v>#NUM!</v>
      </c>
      <c r="DR34" s="20" t="e">
        <f t="shared" si="16"/>
        <v>#NUM!</v>
      </c>
      <c r="DS34" s="59" t="e">
        <f t="shared" si="17"/>
        <v>#NUM!</v>
      </c>
      <c r="DT34" s="59">
        <f ca="1">AVERAGE(OFFSET($DS$3,0,0,'Données projet'!$E$14+1,1))-AVERAGE(OFFSET($H$3,0,0,'Données projet'!$E$14+1,1))</f>
        <v>0</v>
      </c>
      <c r="DU34" s="59">
        <f t="shared" si="44"/>
        <v>0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17.666666666666668</v>
      </c>
      <c r="N35" s="13">
        <f>IF('Données projet'!$A$36&gt;35,N34+M35-V34,IF(A35&lt;'Données projet'!$A$36,$K$205^A35,IF(A35='Données projet'!$A$36,'Données projet'!$B$36,N34+M35-V34)))</f>
        <v>393.00000000000017</v>
      </c>
      <c r="O35" s="13">
        <f>N35*VLOOKUP('Données projet'!$B$9,Paramètres!$A$1:$I$89,3,0)*VLOOKUP('Données projet'!$B$9,Paramètres!$A$1:$I$89,5,0)</f>
        <v>235.01400000000012</v>
      </c>
      <c r="P35" s="13">
        <f t="shared" si="33"/>
        <v>57.365461071820597</v>
      </c>
      <c r="Q35" s="20">
        <f t="shared" ref="Q35:Q66" si="53">(O35+P35)*0.475*44/12</f>
        <v>509.2275613667544</v>
      </c>
      <c r="R35" s="59">
        <f t="shared" si="0"/>
        <v>802.56089470008772</v>
      </c>
      <c r="S35" s="59">
        <f ca="1">AVERAGE(OFFSET($R$3,0,0,'Données projet'!$E$9+1,1))-AVERAGE(OFFSET($H$3,0,0,'Données projet'!$E$9+1,1))</f>
        <v>212.98969326021802</v>
      </c>
      <c r="T35" s="59">
        <f t="shared" si="34"/>
        <v>422.91218020922895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4.0531647975274945</v>
      </c>
      <c r="AA35" s="21">
        <f>EXP(-LN(2)/25)*AA34+(1-EXP(-LN(2)/25))/(LN(2)/25)*Calculateur!V35*Calculateur!X35*VLOOKUP('Données projet'!$B$9,Paramètres!$A$1:$I$89,3,0)*0.475*44/12</f>
        <v>12.199226659099793</v>
      </c>
      <c r="AB35" s="21">
        <f>EXP(-LN(2)/2)*AB34+(1-EXP(-LN(2)/2))/(LN(2)/2)*V35*Y35*VLOOKUP('Données projet'!$B$9,Paramètres!$A$1:$I$89,3,0)*0.475*44/12</f>
        <v>0.3344379799425336</v>
      </c>
      <c r="AC35" s="22">
        <f t="shared" si="3"/>
        <v>16.586829436569818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18.7</v>
      </c>
      <c r="AI35" s="13">
        <f>IF('Données projet'!$A$62&gt;35,AI34+AH35-AQ34,IF(A35&lt;'Données projet'!$A$62,$AF$205^A35,IF(A35='Données projet'!$A$62,'Données projet'!$B$62,AI34+AH35-AQ34)))</f>
        <v>199.40000000000003</v>
      </c>
      <c r="AJ35" s="13">
        <f>AI35*VLOOKUP('Données projet'!$B$10,Paramètres!$A$1:$I$89,3,0)*VLOOKUP('Données projet'!$B$10,Paramètres!$A$1:$I$89,5,0)</f>
        <v>119.24120000000002</v>
      </c>
      <c r="AK35" s="13">
        <f t="shared" si="35"/>
        <v>31.497956370300944</v>
      </c>
      <c r="AL35" s="20">
        <f t="shared" si="4"/>
        <v>262.53736401160751</v>
      </c>
      <c r="AM35" s="59">
        <f t="shared" si="5"/>
        <v>555.87069734494082</v>
      </c>
      <c r="AN35" s="59">
        <f ca="1">AVERAGE(OFFSET($AM$3,0,0,'Données projet'!$E$10+1,1))-AVERAGE(OFFSET($H$3,0,0,'Données projet'!$E$10+1,1))</f>
        <v>318.09371753144256</v>
      </c>
      <c r="AO35" s="59">
        <f t="shared" si="36"/>
        <v>298.61479562586919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3.3625319210474989</v>
      </c>
      <c r="AV35" s="21">
        <f>EXP(-LN(2)/25)*AV34+(1-EXP(-LN(2)/25))/(LN(2)/25)*Calculateur!AQ35*Calculateur!AS35*VLOOKUP('Données projet'!$B$10,Paramètres!$A$1:$I$89,3,0)*0.475*44/12</f>
        <v>19.551258974002394</v>
      </c>
      <c r="AW35" s="21">
        <f>EXP(-LN(2)/2)*AW34+(1-EXP(-LN(2)/2))/(LN(2)/2)*AQ35*AT35*VLOOKUP('Données projet'!$B$10,Paramètres!$A$1:$I$89,3,0)*0.475*44/12</f>
        <v>15.125218819259471</v>
      </c>
      <c r="AX35" s="21">
        <f t="shared" si="6"/>
        <v>38.039009714309366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10.199999999999999</v>
      </c>
      <c r="BD35" s="12">
        <f>IF('Données projet'!$A$88&gt;35,BD34+BC35-BL34,IF(A35&lt;'Données projet'!$A$88,$BA$205^A35,IF(A35='Données projet'!$A$88,'Données projet'!$B$88,BD34+BC35-BL34)))</f>
        <v>138.39999999999995</v>
      </c>
      <c r="BE35" s="13">
        <f>BD35*VLOOKUP('Données projet'!$B$11,Paramètres!$A$1:$I$89,3,0)*VLOOKUP('Données projet'!$B$11,Paramètres!$A$1:$I$89,5,0)</f>
        <v>112.27007999999996</v>
      </c>
      <c r="BF35" s="13">
        <f t="shared" si="37"/>
        <v>29.86519561157689</v>
      </c>
      <c r="BG35" s="20">
        <f t="shared" si="7"/>
        <v>247.552271690163</v>
      </c>
      <c r="BH35" s="59">
        <f t="shared" si="8"/>
        <v>540.88560502349628</v>
      </c>
      <c r="BI35" s="59">
        <f ca="1">AVERAGE(OFFSET($BH$3,0,0,'Données projet'!$E$11+1,1))-AVERAGE(OFFSET($H$3,0,0,'Données projet'!$E$11+1,1))</f>
        <v>230.68538392491388</v>
      </c>
      <c r="BJ35" s="59">
        <f t="shared" si="38"/>
        <v>267.97457956620724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8.0475224308877689</v>
      </c>
      <c r="BR35" s="21">
        <f>EXP(-LN(2)/2)*BR34+(1-EXP(-LN(2)/2))/(LN(2)/2)*BL35*BO35*VLOOKUP('Données projet'!$B$11,Paramètres!$A$1:$I$89,3,0)*0.475*44/12</f>
        <v>5.4862846710534381</v>
      </c>
      <c r="BS35" s="22">
        <f t="shared" si="9"/>
        <v>13.533807101941207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5.2</v>
      </c>
      <c r="BY35" s="12">
        <f>IF('Données projet'!$A$114&gt;35,BY34+BX35-CG34,IF(A35&lt;'Données projet'!$A$114,$BV$205^A35,IF(A35='Données projet'!$A$114,'Données projet'!$B$114,BY34+BX35-CG34)))</f>
        <v>64.399999999999991</v>
      </c>
      <c r="BZ35" s="13">
        <f>BY35*VLOOKUP('Données projet'!$B$12,Paramètres!$A$1:$I$89,3,0)*VLOOKUP('Données projet'!$B$12,Paramètres!$A$1:$I$89,5,0)</f>
        <v>73.338719999999995</v>
      </c>
      <c r="CA35" s="13">
        <f t="shared" si="39"/>
        <v>20.500317703224091</v>
      </c>
      <c r="CB35" s="20">
        <f t="shared" si="10"/>
        <v>163.43632399978193</v>
      </c>
      <c r="CC35" s="59">
        <f t="shared" si="11"/>
        <v>456.76965733311522</v>
      </c>
      <c r="CD35" s="59">
        <f ca="1">AVERAGE(OFFSET($CC$3,0,0,'Données projet'!$E$12+1,1))-AVERAGE(OFFSET($H$3,0,0,'Données projet'!$E$12+1,1))</f>
        <v>242.1473060698724</v>
      </c>
      <c r="CE35" s="59">
        <f t="shared" si="40"/>
        <v>96.127995920458659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>
        <f>CT35*VLOOKUP('Données projet'!$B$13,Paramètres!$A$1:$I$89,3,0)*VLOOKUP('Données projet'!$B$13,Paramètres!$A$1:$I$89,5,0)</f>
        <v>0</v>
      </c>
      <c r="CV35" s="13" t="e">
        <f t="shared" si="41"/>
        <v>#NUM!</v>
      </c>
      <c r="CW35" s="20" t="e">
        <f t="shared" si="13"/>
        <v>#NUM!</v>
      </c>
      <c r="CX35" s="59" t="e">
        <f t="shared" si="14"/>
        <v>#NUM!</v>
      </c>
      <c r="CY35" s="59">
        <f ca="1">AVERAGE(OFFSET($CX$3,0,0,'Données projet'!$E$13+1,1))-AVERAGE(OFFSET($H$3,0,0,'Données projet'!$E$13+1,1))</f>
        <v>0</v>
      </c>
      <c r="CZ35" s="59">
        <f t="shared" si="42"/>
        <v>0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>
        <f>DO35*VLOOKUP('Données projet'!$B$14,Paramètres!$A$1:$I$89,3,0)*VLOOKUP('Données projet'!$B$14,Paramètres!$A$1:$I$89,5,0)</f>
        <v>0</v>
      </c>
      <c r="DQ35" s="13" t="e">
        <f t="shared" si="43"/>
        <v>#NUM!</v>
      </c>
      <c r="DR35" s="20" t="e">
        <f t="shared" si="16"/>
        <v>#NUM!</v>
      </c>
      <c r="DS35" s="59" t="e">
        <f t="shared" si="17"/>
        <v>#NUM!</v>
      </c>
      <c r="DT35" s="59">
        <f ca="1">AVERAGE(OFFSET($DS$3,0,0,'Données projet'!$E$14+1,1))-AVERAGE(OFFSET($H$3,0,0,'Données projet'!$E$14+1,1))</f>
        <v>0</v>
      </c>
      <c r="DU35" s="59">
        <f t="shared" si="44"/>
        <v>0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17.666666666666668</v>
      </c>
      <c r="N36" s="13">
        <f>IF('Données projet'!$A$36&gt;35,N35+M36-V35,IF(A36&lt;'Données projet'!$A$36,$K$205^A36,IF(A36='Données projet'!$A$36,'Données projet'!$B$36,N35+M36-V35)))</f>
        <v>410.66666666666686</v>
      </c>
      <c r="O36" s="13">
        <f>N36*VLOOKUP('Données projet'!$B$9,Paramètres!$A$1:$I$89,3,0)*VLOOKUP('Données projet'!$B$9,Paramètres!$A$1:$I$89,5,0)</f>
        <v>245.57866666666678</v>
      </c>
      <c r="P36" s="13">
        <f t="shared" si="33"/>
        <v>59.638197899628842</v>
      </c>
      <c r="Q36" s="20">
        <f t="shared" si="53"/>
        <v>531.58603911963144</v>
      </c>
      <c r="R36" s="59">
        <f t="shared" si="0"/>
        <v>824.91937245296481</v>
      </c>
      <c r="S36" s="59">
        <f ca="1">AVERAGE(OFFSET($R$3,0,0,'Données projet'!$E$9+1,1))-AVERAGE(OFFSET($H$3,0,0,'Données projet'!$E$9+1,1))</f>
        <v>212.98969326021802</v>
      </c>
      <c r="T36" s="59">
        <f t="shared" si="34"/>
        <v>422.91218020922895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3.9736847080343987</v>
      </c>
      <c r="AA36" s="21">
        <f>EXP(-LN(2)/25)*AA35+(1-EXP(-LN(2)/25))/(LN(2)/25)*Calculateur!V36*Calculateur!X36*VLOOKUP('Données projet'!$B$9,Paramètres!$A$1:$I$89,3,0)*0.475*44/12</f>
        <v>11.865638164577261</v>
      </c>
      <c r="AB36" s="21">
        <f>EXP(-LN(2)/2)*AB35+(1-EXP(-LN(2)/2))/(LN(2)/2)*V36*Y36*VLOOKUP('Données projet'!$B$9,Paramètres!$A$1:$I$89,3,0)*0.475*44/12</f>
        <v>0.23648336350369609</v>
      </c>
      <c r="AC36" s="22">
        <f t="shared" si="3"/>
        <v>16.075806236115355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18.7</v>
      </c>
      <c r="AI36" s="13">
        <f>IF('Données projet'!$A$62&gt;35,AI35+AH36-AQ35,IF(A36&lt;'Données projet'!$A$62,$AF$205^A36,IF(A36='Données projet'!$A$62,'Données projet'!$B$62,AI35+AH36-AQ35)))</f>
        <v>218.10000000000002</v>
      </c>
      <c r="AJ36" s="13">
        <f>AI36*VLOOKUP('Données projet'!$B$10,Paramètres!$A$1:$I$89,3,0)*VLOOKUP('Données projet'!$B$10,Paramètres!$A$1:$I$89,5,0)</f>
        <v>130.42380000000003</v>
      </c>
      <c r="AK36" s="13">
        <f t="shared" si="35"/>
        <v>34.094268511751807</v>
      </c>
      <c r="AL36" s="20">
        <f t="shared" si="4"/>
        <v>286.53563599130109</v>
      </c>
      <c r="AM36" s="59">
        <f t="shared" si="5"/>
        <v>579.86896932463446</v>
      </c>
      <c r="AN36" s="59">
        <f ca="1">AVERAGE(OFFSET($AM$3,0,0,'Données projet'!$E$10+1,1))-AVERAGE(OFFSET($H$3,0,0,'Données projet'!$E$10+1,1))</f>
        <v>318.09371753144256</v>
      </c>
      <c r="AO36" s="59">
        <f t="shared" si="36"/>
        <v>298.61479562586919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3.2965947210177156</v>
      </c>
      <c r="AV36" s="21">
        <f>EXP(-LN(2)/25)*AV35+(1-EXP(-LN(2)/25))/(LN(2)/25)*Calculateur!AQ36*Calculateur!AS36*VLOOKUP('Données projet'!$B$10,Paramètres!$A$1:$I$89,3,0)*0.475*44/12</f>
        <v>19.016628769202274</v>
      </c>
      <c r="AW36" s="21">
        <f>EXP(-LN(2)/2)*AW35+(1-EXP(-LN(2)/2))/(LN(2)/2)*AQ36*AT36*VLOOKUP('Données projet'!$B$10,Paramètres!$A$1:$I$89,3,0)*0.475*44/12</f>
        <v>10.695144794028758</v>
      </c>
      <c r="AX36" s="21">
        <f t="shared" si="6"/>
        <v>33.008368284248746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10.199999999999999</v>
      </c>
      <c r="BD36" s="12">
        <f>IF('Données projet'!$A$88&gt;35,BD35+BC36-BL35,IF(A36&lt;'Données projet'!$A$88,$BA$205^A36,IF(A36='Données projet'!$A$88,'Données projet'!$B$88,BD35+BC36-BL35)))</f>
        <v>148.59999999999994</v>
      </c>
      <c r="BE36" s="13">
        <f>BD36*VLOOKUP('Données projet'!$B$11,Paramètres!$A$1:$I$89,3,0)*VLOOKUP('Données projet'!$B$11,Paramètres!$A$1:$I$89,5,0)</f>
        <v>120.54431999999997</v>
      </c>
      <c r="BF36" s="13">
        <f t="shared" si="37"/>
        <v>31.80191953664422</v>
      </c>
      <c r="BG36" s="20">
        <f t="shared" si="7"/>
        <v>265.33636719298863</v>
      </c>
      <c r="BH36" s="59">
        <f t="shared" si="8"/>
        <v>558.669700526322</v>
      </c>
      <c r="BI36" s="59">
        <f ca="1">AVERAGE(OFFSET($BH$3,0,0,'Données projet'!$E$11+1,1))-AVERAGE(OFFSET($H$3,0,0,'Données projet'!$E$11+1,1))</f>
        <v>230.68538392491388</v>
      </c>
      <c r="BJ36" s="59">
        <f t="shared" si="38"/>
        <v>267.97457956620724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7.8274625068143306</v>
      </c>
      <c r="BR36" s="21">
        <f>EXP(-LN(2)/2)*BR35+(1-EXP(-LN(2)/2))/(LN(2)/2)*BL36*BO36*VLOOKUP('Données projet'!$B$11,Paramètres!$A$1:$I$89,3,0)*0.475*44/12</f>
        <v>3.8793890944216938</v>
      </c>
      <c r="BS36" s="22">
        <f t="shared" si="9"/>
        <v>11.706851601236025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5.2</v>
      </c>
      <c r="BY36" s="12">
        <f>IF('Données projet'!$A$114&gt;35,BY35+BX36-CG35,IF(A36&lt;'Données projet'!$A$114,$BV$205^A36,IF(A36='Données projet'!$A$114,'Données projet'!$B$114,BY35+BX36-CG35)))</f>
        <v>69.599999999999994</v>
      </c>
      <c r="BZ36" s="13">
        <f>BY36*VLOOKUP('Données projet'!$B$12,Paramètres!$A$1:$I$89,3,0)*VLOOKUP('Données projet'!$B$12,Paramètres!$A$1:$I$89,5,0)</f>
        <v>79.260479999999987</v>
      </c>
      <c r="CA36" s="13">
        <f t="shared" si="39"/>
        <v>21.956270028417133</v>
      </c>
      <c r="CB36" s="20">
        <f t="shared" si="10"/>
        <v>176.28583963282645</v>
      </c>
      <c r="CC36" s="59">
        <f t="shared" si="11"/>
        <v>469.61917296615979</v>
      </c>
      <c r="CD36" s="59">
        <f ca="1">AVERAGE(OFFSET($CC$3,0,0,'Données projet'!$E$12+1,1))-AVERAGE(OFFSET($H$3,0,0,'Données projet'!$E$12+1,1))</f>
        <v>242.1473060698724</v>
      </c>
      <c r="CE36" s="59">
        <f t="shared" si="40"/>
        <v>96.127995920458659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>
        <f>CT36*VLOOKUP('Données projet'!$B$13,Paramètres!$A$1:$I$89,3,0)*VLOOKUP('Données projet'!$B$13,Paramètres!$A$1:$I$89,5,0)</f>
        <v>0</v>
      </c>
      <c r="CV36" s="13" t="e">
        <f t="shared" si="41"/>
        <v>#NUM!</v>
      </c>
      <c r="CW36" s="20" t="e">
        <f t="shared" si="13"/>
        <v>#NUM!</v>
      </c>
      <c r="CX36" s="59" t="e">
        <f t="shared" si="14"/>
        <v>#NUM!</v>
      </c>
      <c r="CY36" s="59">
        <f ca="1">AVERAGE(OFFSET($CX$3,0,0,'Données projet'!$E$13+1,1))-AVERAGE(OFFSET($H$3,0,0,'Données projet'!$E$13+1,1))</f>
        <v>0</v>
      </c>
      <c r="CZ36" s="59">
        <f t="shared" si="42"/>
        <v>0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>
        <f>DO36*VLOOKUP('Données projet'!$B$14,Paramètres!$A$1:$I$89,3,0)*VLOOKUP('Données projet'!$B$14,Paramètres!$A$1:$I$89,5,0)</f>
        <v>0</v>
      </c>
      <c r="DQ36" s="13" t="e">
        <f t="shared" si="43"/>
        <v>#NUM!</v>
      </c>
      <c r="DR36" s="20" t="e">
        <f t="shared" si="16"/>
        <v>#NUM!</v>
      </c>
      <c r="DS36" s="59" t="e">
        <f t="shared" si="17"/>
        <v>#NUM!</v>
      </c>
      <c r="DT36" s="59">
        <f ca="1">AVERAGE(OFFSET($DS$3,0,0,'Données projet'!$E$14+1,1))-AVERAGE(OFFSET($H$3,0,0,'Données projet'!$E$14+1,1))</f>
        <v>0</v>
      </c>
      <c r="DU36" s="59">
        <f t="shared" si="44"/>
        <v>0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17.666666666666668</v>
      </c>
      <c r="N37" s="13">
        <f>IF('Données projet'!$A$36&gt;35,N36+M37-V36,IF(A37&lt;'Données projet'!$A$36,$K$205^A37,IF(A37='Données projet'!$A$36,'Données projet'!$B$36,N36+M37-V36)))</f>
        <v>428.33333333333354</v>
      </c>
      <c r="O37" s="13">
        <f>N37*VLOOKUP('Données projet'!$B$9,Paramètres!$A$1:$I$89,3,0)*VLOOKUP('Données projet'!$B$9,Paramètres!$A$1:$I$89,5,0)</f>
        <v>256.14333333333349</v>
      </c>
      <c r="P37" s="13">
        <f t="shared" si="33"/>
        <v>61.899578819265216</v>
      </c>
      <c r="Q37" s="20">
        <f t="shared" si="53"/>
        <v>553.92473866577609</v>
      </c>
      <c r="R37" s="59">
        <f t="shared" si="0"/>
        <v>847.25807199910946</v>
      </c>
      <c r="S37" s="59">
        <f ca="1">AVERAGE(OFFSET($R$3,0,0,'Données projet'!$E$9+1,1))-AVERAGE(OFFSET($H$3,0,0,'Données projet'!$E$9+1,1))</f>
        <v>212.98969326021802</v>
      </c>
      <c r="T37" s="59">
        <f t="shared" si="34"/>
        <v>422.91218020922895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3.8957631746181947</v>
      </c>
      <c r="AA37" s="21">
        <f>EXP(-LN(2)/25)*AA36+(1-EXP(-LN(2)/25))/(LN(2)/25)*Calculateur!V37*Calculateur!X37*VLOOKUP('Données projet'!$B$9,Paramètres!$A$1:$I$89,3,0)*0.475*44/12</f>
        <v>11.541171664980103</v>
      </c>
      <c r="AB37" s="21">
        <f>EXP(-LN(2)/2)*AB36+(1-EXP(-LN(2)/2))/(LN(2)/2)*V37*Y37*VLOOKUP('Données projet'!$B$9,Paramètres!$A$1:$I$89,3,0)*0.475*44/12</f>
        <v>0.16721898997126683</v>
      </c>
      <c r="AC37" s="22">
        <f t="shared" si="3"/>
        <v>15.604153829569565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18.7</v>
      </c>
      <c r="AI37" s="13">
        <f>IF('Données projet'!$A$62&gt;35,AI36+AH37-AQ36,IF(A37&lt;'Données projet'!$A$62,$AF$205^A37,IF(A37='Données projet'!$A$62,'Données projet'!$B$62,AI36+AH37-AQ36)))</f>
        <v>236.8</v>
      </c>
      <c r="AJ37" s="13">
        <f>AI37*VLOOKUP('Données projet'!$B$10,Paramètres!$A$1:$I$89,3,0)*VLOOKUP('Données projet'!$B$10,Paramètres!$A$1:$I$89,5,0)</f>
        <v>141.60640000000001</v>
      </c>
      <c r="AK37" s="13">
        <f t="shared" si="35"/>
        <v>36.664764466112921</v>
      </c>
      <c r="AL37" s="20">
        <f t="shared" si="4"/>
        <v>310.48894477848006</v>
      </c>
      <c r="AM37" s="59">
        <f t="shared" si="5"/>
        <v>603.82227811181338</v>
      </c>
      <c r="AN37" s="59">
        <f ca="1">AVERAGE(OFFSET($AM$3,0,0,'Données projet'!$E$10+1,1))-AVERAGE(OFFSET($H$3,0,0,'Données projet'!$E$10+1,1))</f>
        <v>318.09371753144256</v>
      </c>
      <c r="AO37" s="59">
        <f t="shared" si="36"/>
        <v>298.61479562586919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3.2319505092627954</v>
      </c>
      <c r="AV37" s="21">
        <f>EXP(-LN(2)/25)*AV36+(1-EXP(-LN(2)/25))/(LN(2)/25)*Calculateur!AQ37*Calculateur!AS37*VLOOKUP('Données projet'!$B$10,Paramètres!$A$1:$I$89,3,0)*0.475*44/12</f>
        <v>18.496618055467394</v>
      </c>
      <c r="AW37" s="21">
        <f>EXP(-LN(2)/2)*AW36+(1-EXP(-LN(2)/2))/(LN(2)/2)*AQ37*AT37*VLOOKUP('Données projet'!$B$10,Paramètres!$A$1:$I$89,3,0)*0.475*44/12</f>
        <v>7.5626094096297365</v>
      </c>
      <c r="AX37" s="21">
        <f t="shared" si="6"/>
        <v>29.291177974359925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10.199999999999999</v>
      </c>
      <c r="BD37" s="12">
        <f>IF('Données projet'!$A$88&gt;35,BD36+BC37-BL36,IF(A37&lt;'Données projet'!$A$88,$BA$205^A37,IF(A37='Données projet'!$A$88,'Données projet'!$B$88,BD36+BC37-BL36)))</f>
        <v>158.79999999999993</v>
      </c>
      <c r="BE37" s="13">
        <f>BD37*VLOOKUP('Données projet'!$B$11,Paramètres!$A$1:$I$89,3,0)*VLOOKUP('Données projet'!$B$11,Paramètres!$A$1:$I$89,5,0)</f>
        <v>128.81855999999996</v>
      </c>
      <c r="BF37" s="13">
        <f t="shared" si="37"/>
        <v>33.723218352057046</v>
      </c>
      <c r="BG37" s="20">
        <f t="shared" si="7"/>
        <v>283.09359729649924</v>
      </c>
      <c r="BH37" s="59">
        <f t="shared" si="8"/>
        <v>576.42693062983255</v>
      </c>
      <c r="BI37" s="59">
        <f ca="1">AVERAGE(OFFSET($BH$3,0,0,'Données projet'!$E$11+1,1))-AVERAGE(OFFSET($H$3,0,0,'Données projet'!$E$11+1,1))</f>
        <v>230.68538392491388</v>
      </c>
      <c r="BJ37" s="59">
        <f t="shared" si="38"/>
        <v>267.97457956620724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7.6134201329371294</v>
      </c>
      <c r="BR37" s="21">
        <f>EXP(-LN(2)/2)*BR36+(1-EXP(-LN(2)/2))/(LN(2)/2)*BL37*BO37*VLOOKUP('Données projet'!$B$11,Paramètres!$A$1:$I$89,3,0)*0.475*44/12</f>
        <v>2.7431423355267195</v>
      </c>
      <c r="BS37" s="22">
        <f t="shared" si="9"/>
        <v>10.356562468463849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5.2</v>
      </c>
      <c r="BY37" s="12">
        <f>IF('Données projet'!$A$114&gt;35,BY36+BX37-CG36,IF(A37&lt;'Données projet'!$A$114,$BV$205^A37,IF(A37='Données projet'!$A$114,'Données projet'!$B$114,BY36+BX37-CG36)))</f>
        <v>74.8</v>
      </c>
      <c r="BZ37" s="13">
        <f>BY37*VLOOKUP('Données projet'!$B$12,Paramètres!$A$1:$I$89,3,0)*VLOOKUP('Données projet'!$B$12,Paramètres!$A$1:$I$89,5,0)</f>
        <v>85.182240000000007</v>
      </c>
      <c r="CA37" s="13">
        <f t="shared" si="39"/>
        <v>23.399603100318654</v>
      </c>
      <c r="CB37" s="20">
        <f t="shared" si="10"/>
        <v>189.11337673305502</v>
      </c>
      <c r="CC37" s="59">
        <f t="shared" si="11"/>
        <v>482.44671006638833</v>
      </c>
      <c r="CD37" s="59">
        <f ca="1">AVERAGE(OFFSET($CC$3,0,0,'Données projet'!$E$12+1,1))-AVERAGE(OFFSET($H$3,0,0,'Données projet'!$E$12+1,1))</f>
        <v>242.1473060698724</v>
      </c>
      <c r="CE37" s="59">
        <f t="shared" si="40"/>
        <v>96.127995920458659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>
        <f>CT37*VLOOKUP('Données projet'!$B$13,Paramètres!$A$1:$I$89,3,0)*VLOOKUP('Données projet'!$B$13,Paramètres!$A$1:$I$89,5,0)</f>
        <v>0</v>
      </c>
      <c r="CV37" s="13" t="e">
        <f t="shared" si="41"/>
        <v>#NUM!</v>
      </c>
      <c r="CW37" s="20" t="e">
        <f t="shared" si="13"/>
        <v>#NUM!</v>
      </c>
      <c r="CX37" s="59" t="e">
        <f t="shared" si="14"/>
        <v>#NUM!</v>
      </c>
      <c r="CY37" s="59">
        <f ca="1">AVERAGE(OFFSET($CX$3,0,0,'Données projet'!$E$13+1,1))-AVERAGE(OFFSET($H$3,0,0,'Données projet'!$E$13+1,1))</f>
        <v>0</v>
      </c>
      <c r="CZ37" s="59">
        <f t="shared" si="42"/>
        <v>0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>
        <f>DO37*VLOOKUP('Données projet'!$B$14,Paramètres!$A$1:$I$89,3,0)*VLOOKUP('Données projet'!$B$14,Paramètres!$A$1:$I$89,5,0)</f>
        <v>0</v>
      </c>
      <c r="DQ37" s="13" t="e">
        <f t="shared" si="43"/>
        <v>#NUM!</v>
      </c>
      <c r="DR37" s="20" t="e">
        <f t="shared" si="16"/>
        <v>#NUM!</v>
      </c>
      <c r="DS37" s="59" t="e">
        <f t="shared" si="17"/>
        <v>#NUM!</v>
      </c>
      <c r="DT37" s="59">
        <f ca="1">AVERAGE(OFFSET($DS$3,0,0,'Données projet'!$E$14+1,1))-AVERAGE(OFFSET($H$3,0,0,'Données projet'!$E$14+1,1))</f>
        <v>0</v>
      </c>
      <c r="DU37" s="59">
        <f t="shared" si="44"/>
        <v>0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446</v>
      </c>
      <c r="L38" s="12">
        <f>VLOOKUP(A38,'Données projet'!$A$35:$I$55,9,0)</f>
        <v>17.666666666666668</v>
      </c>
      <c r="M38" s="12">
        <f t="array" ref="M38">INDEX(L:L,MIN(IF(ISNUMBER(L38:L234),ROW(L38:L234),"")))</f>
        <v>17.666666666666668</v>
      </c>
      <c r="N38" s="13">
        <f>IF('Données projet'!$A$36&gt;35,N37+M38-V37,IF(A38&lt;'Données projet'!$A$36,$K$205^A38,IF(A38='Données projet'!$A$36,'Données projet'!$B$36,N37+M38-V37)))</f>
        <v>446.00000000000023</v>
      </c>
      <c r="O38" s="13">
        <f>N38*VLOOKUP('Données projet'!$B$9,Paramètres!$A$1:$I$89,3,0)*VLOOKUP('Données projet'!$B$9,Paramètres!$A$1:$I$89,5,0)</f>
        <v>266.70800000000014</v>
      </c>
      <c r="P38" s="13">
        <f t="shared" si="33"/>
        <v>64.150125774245637</v>
      </c>
      <c r="Q38" s="20">
        <f t="shared" si="53"/>
        <v>576.24456905681143</v>
      </c>
      <c r="R38" s="59">
        <f t="shared" si="0"/>
        <v>869.5779023901448</v>
      </c>
      <c r="S38" s="59">
        <f ca="1">AVERAGE(OFFSET($R$3,0,0,'Données projet'!$E$9+1,1))-AVERAGE(OFFSET($H$3,0,0,'Données projet'!$E$9+1,1))</f>
        <v>212.98969326021802</v>
      </c>
      <c r="T38" s="59">
        <f t="shared" si="34"/>
        <v>422.91218020922895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446</v>
      </c>
      <c r="W38" s="16">
        <f>IF(ISNA(VLOOKUP(A38,'Données projet'!$A$35:$I$55,5,0)),0%,VLOOKUP(A38,'Données projet'!$A$35:$I$55,5,0)*VLOOKUP('Données projet'!$B$9,Paramètres!$A$1:$I$89,7,0))</f>
        <v>0.18000000000000002</v>
      </c>
      <c r="X38" s="16">
        <f>IF(ISNA(VLOOKUP(A38,'Données projet'!$A$35:$I$55,6,0)),0%,VLOOKUP(A38,'Données projet'!$A$35:$I$55,6,0)*VLOOKUP('Données projet'!$B$9,Paramètres!$A$1:$I$89,7,0))</f>
        <v>0.13500000000000001</v>
      </c>
      <c r="Y38" s="16">
        <f>IF(ISNA(VLOOKUP(A38,'Données projet'!$A$35:$I$55,7,0)),0%,VLOOKUP(A38,'Données projet'!$A$35:$I$55,7,0))</f>
        <v>0.3</v>
      </c>
      <c r="Z38" s="21">
        <f>EXP(-LN(2)/35)*Z37+(1-EXP(-LN(2)/35))/(LN(2)/35)*V38*W38*VLOOKUP('Données projet'!$B$9,Paramètres!$A$1:$I$89,3,0)*0.475*44/12</f>
        <v>67.504333135591253</v>
      </c>
      <c r="AA38" s="21">
        <f>EXP(-LN(2)/25)*AA37+(1-EXP(-LN(2)/25))/(LN(2)/25)*Calculateur!V38*Calculateur!X38*VLOOKUP('Données projet'!$B$9,Paramètres!$A$1:$I$89,3,0)*0.475*44/12</f>
        <v>58.801236368980526</v>
      </c>
      <c r="AB38" s="21">
        <f>EXP(-LN(2)/2)*AB37+(1-EXP(-LN(2)/2))/(LN(2)/2)*V38*Y38*VLOOKUP('Données projet'!$B$9,Paramètres!$A$1:$I$89,3,0)*0.475*44/12</f>
        <v>90.710865164358452</v>
      </c>
      <c r="AC38" s="22">
        <f t="shared" si="3"/>
        <v>217.01643466893023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18.7</v>
      </c>
      <c r="AI38" s="13">
        <f>IF('Données projet'!$A$62&gt;35,AI37+AH38-AQ37,IF(A38&lt;'Données projet'!$A$62,$AF$205^A38,IF(A38='Données projet'!$A$62,'Données projet'!$B$62,AI37+AH38-AQ37)))</f>
        <v>255.5</v>
      </c>
      <c r="AJ38" s="13">
        <f>AI38*VLOOKUP('Données projet'!$B$10,Paramètres!$A$1:$I$89,3,0)*VLOOKUP('Données projet'!$B$10,Paramètres!$A$1:$I$89,5,0)</f>
        <v>152.78900000000002</v>
      </c>
      <c r="AK38" s="13">
        <f t="shared" si="35"/>
        <v>39.211714711932316</v>
      </c>
      <c r="AL38" s="20">
        <f t="shared" si="4"/>
        <v>334.40124478994881</v>
      </c>
      <c r="AM38" s="59">
        <f t="shared" si="5"/>
        <v>627.73457812328206</v>
      </c>
      <c r="AN38" s="59">
        <f ca="1">AVERAGE(OFFSET($AM$3,0,0,'Données projet'!$E$10+1,1))-AVERAGE(OFFSET($H$3,0,0,'Données projet'!$E$10+1,1))</f>
        <v>318.09371753144256</v>
      </c>
      <c r="AO38" s="59">
        <f t="shared" si="36"/>
        <v>298.61479562586919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3.1685739310713132</v>
      </c>
      <c r="AV38" s="21">
        <f>EXP(-LN(2)/25)*AV37+(1-EXP(-LN(2)/25))/(LN(2)/25)*Calculateur!AQ38*Calculateur!AS38*VLOOKUP('Données projet'!$B$10,Paramètres!$A$1:$I$89,3,0)*0.475*44/12</f>
        <v>17.990827062045771</v>
      </c>
      <c r="AW38" s="21">
        <f>EXP(-LN(2)/2)*AW37+(1-EXP(-LN(2)/2))/(LN(2)/2)*AQ38*AT38*VLOOKUP('Données projet'!$B$10,Paramètres!$A$1:$I$89,3,0)*0.475*44/12</f>
        <v>5.34757239701438</v>
      </c>
      <c r="AX38" s="21">
        <f t="shared" si="6"/>
        <v>26.506973390131463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10.199999999999999</v>
      </c>
      <c r="BD38" s="12">
        <f>IF('Données projet'!$A$88&gt;35,BD37+BC38-BL37,IF(A38&lt;'Données projet'!$A$88,$BA$205^A38,IF(A38='Données projet'!$A$88,'Données projet'!$B$88,BD37+BC38-BL37)))</f>
        <v>168.99999999999991</v>
      </c>
      <c r="BE38" s="13">
        <f>BD38*VLOOKUP('Données projet'!$B$11,Paramètres!$A$1:$I$89,3,0)*VLOOKUP('Données projet'!$B$11,Paramètres!$A$1:$I$89,5,0)</f>
        <v>137.09279999999993</v>
      </c>
      <c r="BF38" s="13">
        <f t="shared" si="37"/>
        <v>35.630195607611064</v>
      </c>
      <c r="BG38" s="20">
        <f t="shared" si="7"/>
        <v>300.8258840165891</v>
      </c>
      <c r="BH38" s="59">
        <f t="shared" si="8"/>
        <v>594.15921734992241</v>
      </c>
      <c r="BI38" s="59">
        <f ca="1">AVERAGE(OFFSET($BH$3,0,0,'Données projet'!$E$11+1,1))-AVERAGE(OFFSET($H$3,0,0,'Données projet'!$E$11+1,1))</f>
        <v>230.68538392491388</v>
      </c>
      <c r="BJ38" s="59">
        <f t="shared" si="38"/>
        <v>267.97457956620724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7.4052307590295996</v>
      </c>
      <c r="BR38" s="21">
        <f>EXP(-LN(2)/2)*BR37+(1-EXP(-LN(2)/2))/(LN(2)/2)*BL38*BO38*VLOOKUP('Données projet'!$B$11,Paramètres!$A$1:$I$89,3,0)*0.475*44/12</f>
        <v>1.9396945472108471</v>
      </c>
      <c r="BS38" s="22">
        <f t="shared" si="9"/>
        <v>9.3449253062404463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5.2</v>
      </c>
      <c r="BY38" s="12">
        <f>IF('Données projet'!$A$114&gt;35,BY37+BX38-CG37,IF(A38&lt;'Données projet'!$A$114,$BV$205^A38,IF(A38='Données projet'!$A$114,'Données projet'!$B$114,BY37+BX38-CG37)))</f>
        <v>80</v>
      </c>
      <c r="BZ38" s="13">
        <f>BY38*VLOOKUP('Données projet'!$B$12,Paramètres!$A$1:$I$89,3,0)*VLOOKUP('Données projet'!$B$12,Paramètres!$A$1:$I$89,5,0)</f>
        <v>91.103999999999999</v>
      </c>
      <c r="CA38" s="13">
        <f t="shared" si="39"/>
        <v>24.831293984707884</v>
      </c>
      <c r="CB38" s="20">
        <f t="shared" si="10"/>
        <v>201.92063702336623</v>
      </c>
      <c r="CC38" s="59">
        <f t="shared" si="11"/>
        <v>495.25397035669954</v>
      </c>
      <c r="CD38" s="59">
        <f ca="1">AVERAGE(OFFSET($CC$3,0,0,'Données projet'!$E$12+1,1))-AVERAGE(OFFSET($H$3,0,0,'Données projet'!$E$12+1,1))</f>
        <v>242.1473060698724</v>
      </c>
      <c r="CE38" s="59">
        <f t="shared" si="40"/>
        <v>96.127995920458659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>
        <f>CT38*VLOOKUP('Données projet'!$B$13,Paramètres!$A$1:$I$89,3,0)*VLOOKUP('Données projet'!$B$13,Paramètres!$A$1:$I$89,5,0)</f>
        <v>0</v>
      </c>
      <c r="CV38" s="13" t="e">
        <f t="shared" si="41"/>
        <v>#NUM!</v>
      </c>
      <c r="CW38" s="20" t="e">
        <f t="shared" si="13"/>
        <v>#NUM!</v>
      </c>
      <c r="CX38" s="59" t="e">
        <f t="shared" si="14"/>
        <v>#NUM!</v>
      </c>
      <c r="CY38" s="59">
        <f ca="1">AVERAGE(OFFSET($CX$3,0,0,'Données projet'!$E$13+1,1))-AVERAGE(OFFSET($H$3,0,0,'Données projet'!$E$13+1,1))</f>
        <v>0</v>
      </c>
      <c r="CZ38" s="59">
        <f t="shared" si="42"/>
        <v>0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>
        <f>DO38*VLOOKUP('Données projet'!$B$14,Paramètres!$A$1:$I$89,3,0)*VLOOKUP('Données projet'!$B$14,Paramètres!$A$1:$I$89,5,0)</f>
        <v>0</v>
      </c>
      <c r="DQ38" s="13" t="e">
        <f t="shared" si="43"/>
        <v>#NUM!</v>
      </c>
      <c r="DR38" s="20" t="e">
        <f t="shared" si="16"/>
        <v>#NUM!</v>
      </c>
      <c r="DS38" s="59" t="e">
        <f t="shared" si="17"/>
        <v>#NUM!</v>
      </c>
      <c r="DT38" s="59">
        <f ca="1">AVERAGE(OFFSET($DS$3,0,0,'Données projet'!$E$14+1,1))-AVERAGE(OFFSET($H$3,0,0,'Données projet'!$E$14+1,1))</f>
        <v>0</v>
      </c>
      <c r="DU38" s="59">
        <f t="shared" si="44"/>
        <v>0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2.2737367544323206E-13</v>
      </c>
      <c r="O39" s="13">
        <f>N39*VLOOKUP('Données projet'!$B$9,Paramètres!$A$1:$I$89,3,0)*VLOOKUP('Données projet'!$B$9,Paramètres!$A$1:$I$89,5,0)</f>
        <v>1.3596945791505279E-13</v>
      </c>
      <c r="P39" s="13">
        <f t="shared" si="33"/>
        <v>1.9708830566360721E-12</v>
      </c>
      <c r="Q39" s="20">
        <f t="shared" si="53"/>
        <v>3.669434796176543E-12</v>
      </c>
      <c r="R39" s="59">
        <f t="shared" si="0"/>
        <v>293.33333333333701</v>
      </c>
      <c r="S39" s="59">
        <f ca="1">AVERAGE(OFFSET($R$3,0,0,'Données projet'!$E$9+1,1))-AVERAGE(OFFSET($H$3,0,0,'Données projet'!$E$9+1,1))</f>
        <v>212.98969326021802</v>
      </c>
      <c r="T39" s="59">
        <f t="shared" si="34"/>
        <v>422.91218020922895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66.180614336379975</v>
      </c>
      <c r="AA39" s="21">
        <f>EXP(-LN(2)/25)*AA38+(1-EXP(-LN(2)/25))/(LN(2)/25)*Calculateur!V39*Calculateur!X39*VLOOKUP('Données projet'!$B$9,Paramètres!$A$1:$I$89,3,0)*0.475*44/12</f>
        <v>57.193313468248121</v>
      </c>
      <c r="AB39" s="21">
        <f>EXP(-LN(2)/2)*AB38+(1-EXP(-LN(2)/2))/(LN(2)/2)*V39*Y39*VLOOKUP('Données projet'!$B$9,Paramètres!$A$1:$I$89,3,0)*0.475*44/12</f>
        <v>64.142267885016437</v>
      </c>
      <c r="AC39" s="22">
        <f t="shared" si="3"/>
        <v>187.51619568964452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18.7</v>
      </c>
      <c r="AI39" s="13">
        <f>IF('Données projet'!$A$62&gt;35,AI38+AH39-AQ38,IF(A39&lt;'Données projet'!$A$62,$AF$205^A39,IF(A39='Données projet'!$A$62,'Données projet'!$B$62,AI38+AH39-AQ38)))</f>
        <v>274.2</v>
      </c>
      <c r="AJ39" s="13">
        <f>AI39*VLOOKUP('Données projet'!$B$10,Paramètres!$A$1:$I$89,3,0)*VLOOKUP('Données projet'!$B$10,Paramètres!$A$1:$I$89,5,0)</f>
        <v>163.97160000000002</v>
      </c>
      <c r="AK39" s="13">
        <f t="shared" si="35"/>
        <v>41.737038529665284</v>
      </c>
      <c r="AL39" s="20">
        <f t="shared" si="4"/>
        <v>358.27587877250039</v>
      </c>
      <c r="AM39" s="59">
        <f t="shared" si="5"/>
        <v>651.60921210583365</v>
      </c>
      <c r="AN39" s="59">
        <f ca="1">AVERAGE(OFFSET($AM$3,0,0,'Données projet'!$E$10+1,1))-AVERAGE(OFFSET($H$3,0,0,'Données projet'!$E$10+1,1))</f>
        <v>318.09371753144256</v>
      </c>
      <c r="AO39" s="59">
        <f t="shared" si="36"/>
        <v>298.61479562586919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3.1064401289222703</v>
      </c>
      <c r="AV39" s="21">
        <f>EXP(-LN(2)/25)*AV38+(1-EXP(-LN(2)/25))/(LN(2)/25)*Calculateur!AQ39*Calculateur!AS39*VLOOKUP('Données projet'!$B$10,Paramètres!$A$1:$I$89,3,0)*0.475*44/12</f>
        <v>17.498866949937653</v>
      </c>
      <c r="AW39" s="21">
        <f>EXP(-LN(2)/2)*AW38+(1-EXP(-LN(2)/2))/(LN(2)/2)*AQ39*AT39*VLOOKUP('Données projet'!$B$10,Paramètres!$A$1:$I$89,3,0)*0.475*44/12</f>
        <v>3.7813047048148691</v>
      </c>
      <c r="AX39" s="21">
        <f t="shared" si="6"/>
        <v>24.386611783674791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10.199999999999999</v>
      </c>
      <c r="BD39" s="12">
        <f>IF('Données projet'!$A$88&gt;35,BD38+BC39-BL38,IF(A39&lt;'Données projet'!$A$88,$BA$205^A39,IF(A39='Données projet'!$A$88,'Données projet'!$B$88,BD38+BC39-BL38)))</f>
        <v>179.1999999999999</v>
      </c>
      <c r="BE39" s="13">
        <f>BD39*VLOOKUP('Données projet'!$B$11,Paramètres!$A$1:$I$89,3,0)*VLOOKUP('Données projet'!$B$11,Paramètres!$A$1:$I$89,5,0)</f>
        <v>145.36703999999995</v>
      </c>
      <c r="BF39" s="13">
        <f t="shared" si="37"/>
        <v>37.523814117080803</v>
      </c>
      <c r="BG39" s="20">
        <f t="shared" si="7"/>
        <v>318.53490425391561</v>
      </c>
      <c r="BH39" s="59">
        <f t="shared" si="8"/>
        <v>611.86823758724893</v>
      </c>
      <c r="BI39" s="59">
        <f ca="1">AVERAGE(OFFSET($BH$3,0,0,'Données projet'!$E$11+1,1))-AVERAGE(OFFSET($H$3,0,0,'Données projet'!$E$11+1,1))</f>
        <v>230.68538392491388</v>
      </c>
      <c r="BJ39" s="59">
        <f t="shared" si="38"/>
        <v>267.97457956620724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7.2027343344997741</v>
      </c>
      <c r="BR39" s="21">
        <f>EXP(-LN(2)/2)*BR38+(1-EXP(-LN(2)/2))/(LN(2)/2)*BL39*BO39*VLOOKUP('Données projet'!$B$11,Paramètres!$A$1:$I$89,3,0)*0.475*44/12</f>
        <v>1.37157116776336</v>
      </c>
      <c r="BS39" s="22">
        <f t="shared" si="9"/>
        <v>8.5743055022631331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5.2</v>
      </c>
      <c r="BY39" s="12">
        <f>IF('Données projet'!$A$114&gt;35,BY38+BX39-CG38,IF(A39&lt;'Données projet'!$A$114,$BV$205^A39,IF(A39='Données projet'!$A$114,'Données projet'!$B$114,BY38+BX39-CG38)))</f>
        <v>85.2</v>
      </c>
      <c r="BZ39" s="13">
        <f>BY39*VLOOKUP('Données projet'!$B$12,Paramètres!$A$1:$I$89,3,0)*VLOOKUP('Données projet'!$B$12,Paramètres!$A$1:$I$89,5,0)</f>
        <v>97.025760000000005</v>
      </c>
      <c r="CA39" s="13">
        <f t="shared" si="39"/>
        <v>26.252185545896502</v>
      </c>
      <c r="CB39" s="20">
        <f t="shared" si="10"/>
        <v>214.70908849243639</v>
      </c>
      <c r="CC39" s="59">
        <f t="shared" si="11"/>
        <v>508.04242182576968</v>
      </c>
      <c r="CD39" s="59">
        <f ca="1">AVERAGE(OFFSET($CC$3,0,0,'Données projet'!$E$12+1,1))-AVERAGE(OFFSET($H$3,0,0,'Données projet'!$E$12+1,1))</f>
        <v>242.1473060698724</v>
      </c>
      <c r="CE39" s="59">
        <f t="shared" si="40"/>
        <v>96.127995920458659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>
        <f>CT39*VLOOKUP('Données projet'!$B$13,Paramètres!$A$1:$I$89,3,0)*VLOOKUP('Données projet'!$B$13,Paramètres!$A$1:$I$89,5,0)</f>
        <v>0</v>
      </c>
      <c r="CV39" s="13" t="e">
        <f t="shared" si="41"/>
        <v>#NUM!</v>
      </c>
      <c r="CW39" s="20" t="e">
        <f t="shared" si="13"/>
        <v>#NUM!</v>
      </c>
      <c r="CX39" s="59" t="e">
        <f t="shared" si="14"/>
        <v>#NUM!</v>
      </c>
      <c r="CY39" s="59">
        <f ca="1">AVERAGE(OFFSET($CX$3,0,0,'Données projet'!$E$13+1,1))-AVERAGE(OFFSET($H$3,0,0,'Données projet'!$E$13+1,1))</f>
        <v>0</v>
      </c>
      <c r="CZ39" s="59">
        <f t="shared" si="42"/>
        <v>0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>
        <f>DO39*VLOOKUP('Données projet'!$B$14,Paramètres!$A$1:$I$89,3,0)*VLOOKUP('Données projet'!$B$14,Paramètres!$A$1:$I$89,5,0)</f>
        <v>0</v>
      </c>
      <c r="DQ39" s="13" t="e">
        <f t="shared" si="43"/>
        <v>#NUM!</v>
      </c>
      <c r="DR39" s="20" t="e">
        <f t="shared" si="16"/>
        <v>#NUM!</v>
      </c>
      <c r="DS39" s="59" t="e">
        <f t="shared" si="17"/>
        <v>#NUM!</v>
      </c>
      <c r="DT39" s="59">
        <f ca="1">AVERAGE(OFFSET($DS$3,0,0,'Données projet'!$E$14+1,1))-AVERAGE(OFFSET($H$3,0,0,'Données projet'!$E$14+1,1))</f>
        <v>0</v>
      </c>
      <c r="DU39" s="59">
        <f t="shared" si="44"/>
        <v>0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2.2737367544323206E-13</v>
      </c>
      <c r="O40" s="13">
        <f>N40*VLOOKUP('Données projet'!$B$9,Paramètres!$A$1:$I$89,3,0)*VLOOKUP('Données projet'!$B$9,Paramètres!$A$1:$I$89,5,0)</f>
        <v>1.3596945791505279E-13</v>
      </c>
      <c r="P40" s="13">
        <f t="shared" si="33"/>
        <v>1.9708830566360721E-12</v>
      </c>
      <c r="Q40" s="20">
        <f t="shared" si="53"/>
        <v>3.669434796176543E-12</v>
      </c>
      <c r="R40" s="59">
        <f t="shared" si="0"/>
        <v>293.33333333333701</v>
      </c>
      <c r="S40" s="59">
        <f ca="1">AVERAGE(OFFSET($R$3,0,0,'Données projet'!$E$9+1,1))-AVERAGE(OFFSET($H$3,0,0,'Données projet'!$E$9+1,1))</f>
        <v>212.98969326021802</v>
      </c>
      <c r="T40" s="59">
        <f t="shared" si="34"/>
        <v>422.91218020922895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64.882852855432475</v>
      </c>
      <c r="AA40" s="21">
        <f>EXP(-LN(2)/25)*AA39+(1-EXP(-LN(2)/25))/(LN(2)/25)*Calculateur!V40*Calculateur!X40*VLOOKUP('Données projet'!$B$9,Paramètres!$A$1:$I$89,3,0)*0.475*44/12</f>
        <v>55.629359303793237</v>
      </c>
      <c r="AB40" s="21">
        <f>EXP(-LN(2)/2)*AB39+(1-EXP(-LN(2)/2))/(LN(2)/2)*V40*Y40*VLOOKUP('Données projet'!$B$9,Paramètres!$A$1:$I$89,3,0)*0.475*44/12</f>
        <v>45.355432582179233</v>
      </c>
      <c r="AC40" s="22">
        <f t="shared" si="3"/>
        <v>165.86764474140494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18.7</v>
      </c>
      <c r="AI40" s="13">
        <f>IF('Données projet'!$A$62&gt;35,AI39+AH40-AQ39,IF(A40&lt;'Données projet'!$A$62,$AF$205^A40,IF(A40='Données projet'!$A$62,'Données projet'!$B$62,AI39+AH40-AQ39)))</f>
        <v>292.89999999999998</v>
      </c>
      <c r="AJ40" s="13">
        <f>AI40*VLOOKUP('Données projet'!$B$10,Paramètres!$A$1:$I$89,3,0)*VLOOKUP('Données projet'!$B$10,Paramètres!$A$1:$I$89,5,0)</f>
        <v>175.15420000000003</v>
      </c>
      <c r="AK40" s="13">
        <f t="shared" si="35"/>
        <v>44.242378599029969</v>
      </c>
      <c r="AL40" s="20">
        <f t="shared" si="4"/>
        <v>382.1157077266439</v>
      </c>
      <c r="AM40" s="59">
        <f t="shared" si="5"/>
        <v>675.44904105997716</v>
      </c>
      <c r="AN40" s="59">
        <f ca="1">AVERAGE(OFFSET($AM$3,0,0,'Données projet'!$E$10+1,1))-AVERAGE(OFFSET($H$3,0,0,'Données projet'!$E$10+1,1))</f>
        <v>318.09371753144256</v>
      </c>
      <c r="AO40" s="59">
        <f t="shared" si="36"/>
        <v>298.61479562586919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3.0455247327354931</v>
      </c>
      <c r="AV40" s="21">
        <f>EXP(-LN(2)/25)*AV39+(1-EXP(-LN(2)/25))/(LN(2)/25)*Calculateur!AQ40*Calculateur!AS40*VLOOKUP('Données projet'!$B$10,Paramètres!$A$1:$I$89,3,0)*0.475*44/12</f>
        <v>17.020359512966191</v>
      </c>
      <c r="AW40" s="21">
        <f>EXP(-LN(2)/2)*AW39+(1-EXP(-LN(2)/2))/(LN(2)/2)*AQ40*AT40*VLOOKUP('Données projet'!$B$10,Paramètres!$A$1:$I$89,3,0)*0.475*44/12</f>
        <v>2.6737861985071905</v>
      </c>
      <c r="AX40" s="21">
        <f t="shared" si="6"/>
        <v>22.739670444208876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10.199999999999999</v>
      </c>
      <c r="BD40" s="12">
        <f>IF('Données projet'!$A$88&gt;35,BD39+BC40-BL39,IF(A40&lt;'Données projet'!$A$88,$BA$205^A40,IF(A40='Données projet'!$A$88,'Données projet'!$B$88,BD39+BC40-BL39)))</f>
        <v>189.39999999999989</v>
      </c>
      <c r="BE40" s="13">
        <f>BD40*VLOOKUP('Données projet'!$B$11,Paramètres!$A$1:$I$89,3,0)*VLOOKUP('Données projet'!$B$11,Paramètres!$A$1:$I$89,5,0)</f>
        <v>153.64127999999991</v>
      </c>
      <c r="BF40" s="13">
        <f t="shared" si="37"/>
        <v>39.404920897415295</v>
      </c>
      <c r="BG40" s="20">
        <f t="shared" si="7"/>
        <v>336.22213322966473</v>
      </c>
      <c r="BH40" s="59">
        <f t="shared" si="8"/>
        <v>629.55546656299805</v>
      </c>
      <c r="BI40" s="59">
        <f ca="1">AVERAGE(OFFSET($BH$3,0,0,'Données projet'!$E$11+1,1))-AVERAGE(OFFSET($H$3,0,0,'Données projet'!$E$11+1,1))</f>
        <v>230.68538392491388</v>
      </c>
      <c r="BJ40" s="59">
        <f t="shared" si="38"/>
        <v>267.97457956620724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7.0057751853475407</v>
      </c>
      <c r="BR40" s="21">
        <f>EXP(-LN(2)/2)*BR39+(1-EXP(-LN(2)/2))/(LN(2)/2)*BL40*BO40*VLOOKUP('Données projet'!$B$11,Paramètres!$A$1:$I$89,3,0)*0.475*44/12</f>
        <v>0.96984727360542367</v>
      </c>
      <c r="BS40" s="22">
        <f t="shared" si="9"/>
        <v>7.9756224589529641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5.2</v>
      </c>
      <c r="BY40" s="12">
        <f>IF('Données projet'!$A$114&gt;35,BY39+BX40-CG39,IF(A40&lt;'Données projet'!$A$114,$BV$205^A40,IF(A40='Données projet'!$A$114,'Données projet'!$B$114,BY39+BX40-CG39)))</f>
        <v>90.4</v>
      </c>
      <c r="BZ40" s="13">
        <f>BY40*VLOOKUP('Données projet'!$B$12,Paramètres!$A$1:$I$89,3,0)*VLOOKUP('Données projet'!$B$12,Paramètres!$A$1:$I$89,5,0)</f>
        <v>102.94752000000001</v>
      </c>
      <c r="CA40" s="13">
        <f t="shared" si="39"/>
        <v>27.663011949702902</v>
      </c>
      <c r="CB40" s="20">
        <f t="shared" si="10"/>
        <v>227.4800098123992</v>
      </c>
      <c r="CC40" s="59">
        <f t="shared" si="11"/>
        <v>520.81334314573246</v>
      </c>
      <c r="CD40" s="59">
        <f ca="1">AVERAGE(OFFSET($CC$3,0,0,'Données projet'!$E$12+1,1))-AVERAGE(OFFSET($H$3,0,0,'Données projet'!$E$12+1,1))</f>
        <v>242.1473060698724</v>
      </c>
      <c r="CE40" s="59">
        <f t="shared" si="40"/>
        <v>96.127995920458659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>
        <f>CT40*VLOOKUP('Données projet'!$B$13,Paramètres!$A$1:$I$89,3,0)*VLOOKUP('Données projet'!$B$13,Paramètres!$A$1:$I$89,5,0)</f>
        <v>0</v>
      </c>
      <c r="CV40" s="13" t="e">
        <f t="shared" si="41"/>
        <v>#NUM!</v>
      </c>
      <c r="CW40" s="20" t="e">
        <f t="shared" si="13"/>
        <v>#NUM!</v>
      </c>
      <c r="CX40" s="59" t="e">
        <f t="shared" si="14"/>
        <v>#NUM!</v>
      </c>
      <c r="CY40" s="59">
        <f ca="1">AVERAGE(OFFSET($CX$3,0,0,'Données projet'!$E$13+1,1))-AVERAGE(OFFSET($H$3,0,0,'Données projet'!$E$13+1,1))</f>
        <v>0</v>
      </c>
      <c r="CZ40" s="59">
        <f t="shared" si="42"/>
        <v>0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>
        <f>DO40*VLOOKUP('Données projet'!$B$14,Paramètres!$A$1:$I$89,3,0)*VLOOKUP('Données projet'!$B$14,Paramètres!$A$1:$I$89,5,0)</f>
        <v>0</v>
      </c>
      <c r="DQ40" s="13" t="e">
        <f t="shared" si="43"/>
        <v>#NUM!</v>
      </c>
      <c r="DR40" s="20" t="e">
        <f t="shared" si="16"/>
        <v>#NUM!</v>
      </c>
      <c r="DS40" s="59" t="e">
        <f t="shared" si="17"/>
        <v>#NUM!</v>
      </c>
      <c r="DT40" s="59">
        <f ca="1">AVERAGE(OFFSET($DS$3,0,0,'Données projet'!$E$14+1,1))-AVERAGE(OFFSET($H$3,0,0,'Données projet'!$E$14+1,1))</f>
        <v>0</v>
      </c>
      <c r="DU40" s="59">
        <f t="shared" si="44"/>
        <v>0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2.2737367544323206E-13</v>
      </c>
      <c r="O41" s="13">
        <f>N41*VLOOKUP('Données projet'!$B$9,Paramètres!$A$1:$I$89,3,0)*VLOOKUP('Données projet'!$B$9,Paramètres!$A$1:$I$89,5,0)</f>
        <v>1.3596945791505279E-13</v>
      </c>
      <c r="P41" s="13">
        <f t="shared" si="33"/>
        <v>1.9708830566360721E-12</v>
      </c>
      <c r="Q41" s="20">
        <f t="shared" si="53"/>
        <v>3.669434796176543E-12</v>
      </c>
      <c r="R41" s="59">
        <f t="shared" si="0"/>
        <v>293.33333333333701</v>
      </c>
      <c r="S41" s="59">
        <f ca="1">AVERAGE(OFFSET($R$3,0,0,'Données projet'!$E$9+1,1))-AVERAGE(OFFSET($H$3,0,0,'Données projet'!$E$9+1,1))</f>
        <v>212.98969326021802</v>
      </c>
      <c r="T41" s="59">
        <f t="shared" si="34"/>
        <v>422.91218020922895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63.610539685570018</v>
      </c>
      <c r="AA41" s="21">
        <f>EXP(-LN(2)/25)*AA40+(1-EXP(-LN(2)/25))/(LN(2)/25)*Calculateur!V41*Calculateur!X41*VLOOKUP('Données projet'!$B$9,Paramètres!$A$1:$I$89,3,0)*0.475*44/12</f>
        <v>54.108171548210144</v>
      </c>
      <c r="AB41" s="21">
        <f>EXP(-LN(2)/2)*AB40+(1-EXP(-LN(2)/2))/(LN(2)/2)*V41*Y41*VLOOKUP('Données projet'!$B$9,Paramètres!$A$1:$I$89,3,0)*0.475*44/12</f>
        <v>32.071133942508219</v>
      </c>
      <c r="AC41" s="22">
        <f t="shared" si="3"/>
        <v>149.7898451762884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18.7</v>
      </c>
      <c r="AI41" s="13">
        <f>IF('Données projet'!$A$62&gt;35,AI40+AH41-AQ40,IF(A41&lt;'Données projet'!$A$62,$AF$205^A41,IF(A41='Données projet'!$A$62,'Données projet'!$B$62,AI40+AH41-AQ40)))</f>
        <v>311.59999999999997</v>
      </c>
      <c r="AJ41" s="13">
        <f>AI41*VLOOKUP('Données projet'!$B$10,Paramètres!$A$1:$I$89,3,0)*VLOOKUP('Données projet'!$B$10,Paramètres!$A$1:$I$89,5,0)</f>
        <v>186.33679999999998</v>
      </c>
      <c r="AK41" s="13">
        <f t="shared" si="35"/>
        <v>46.729155989858626</v>
      </c>
      <c r="AL41" s="20">
        <f t="shared" si="4"/>
        <v>405.92320668233702</v>
      </c>
      <c r="AM41" s="59">
        <f t="shared" si="5"/>
        <v>699.25654001567034</v>
      </c>
      <c r="AN41" s="59">
        <f ca="1">AVERAGE(OFFSET($AM$3,0,0,'Données projet'!$E$10+1,1))-AVERAGE(OFFSET($H$3,0,0,'Données projet'!$E$10+1,1))</f>
        <v>318.09371753144256</v>
      </c>
      <c r="AO41" s="59">
        <f t="shared" si="36"/>
        <v>298.61479562586919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2.9858038503132156</v>
      </c>
      <c r="AV41" s="21">
        <f>EXP(-LN(2)/25)*AV40+(1-EXP(-LN(2)/25))/(LN(2)/25)*Calculateur!AQ41*Calculateur!AS41*VLOOKUP('Données projet'!$B$10,Paramètres!$A$1:$I$89,3,0)*0.475*44/12</f>
        <v>16.554936887022325</v>
      </c>
      <c r="AW41" s="21">
        <f>EXP(-LN(2)/2)*AW40+(1-EXP(-LN(2)/2))/(LN(2)/2)*AQ41*AT41*VLOOKUP('Données projet'!$B$10,Paramètres!$A$1:$I$89,3,0)*0.475*44/12</f>
        <v>1.8906523524074348</v>
      </c>
      <c r="AX41" s="21">
        <f t="shared" si="6"/>
        <v>21.431393089742976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10.199999999999999</v>
      </c>
      <c r="BD41" s="12">
        <f>IF('Données projet'!$A$88&gt;35,BD40+BC41-BL40,IF(A41&lt;'Données projet'!$A$88,$BA$205^A41,IF(A41='Données projet'!$A$88,'Données projet'!$B$88,BD40+BC41-BL40)))</f>
        <v>199.59999999999988</v>
      </c>
      <c r="BE41" s="13">
        <f>BD41*VLOOKUP('Données projet'!$B$11,Paramètres!$A$1:$I$89,3,0)*VLOOKUP('Données projet'!$B$11,Paramètres!$A$1:$I$89,5,0)</f>
        <v>161.91551999999993</v>
      </c>
      <c r="BF41" s="13">
        <f t="shared" si="37"/>
        <v>41.274266582040376</v>
      </c>
      <c r="BG41" s="20">
        <f t="shared" si="7"/>
        <v>353.88887829705351</v>
      </c>
      <c r="BH41" s="59">
        <f t="shared" si="8"/>
        <v>647.22221163038682</v>
      </c>
      <c r="BI41" s="59">
        <f ca="1">AVERAGE(OFFSET($BH$3,0,0,'Données projet'!$E$11+1,1))-AVERAGE(OFFSET($H$3,0,0,'Données projet'!$E$11+1,1))</f>
        <v>230.68538392491388</v>
      </c>
      <c r="BJ41" s="59">
        <f t="shared" si="38"/>
        <v>267.97457956620724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6.8142018944865068</v>
      </c>
      <c r="BR41" s="21">
        <f>EXP(-LN(2)/2)*BR40+(1-EXP(-LN(2)/2))/(LN(2)/2)*BL41*BO41*VLOOKUP('Données projet'!$B$11,Paramètres!$A$1:$I$89,3,0)*0.475*44/12</f>
        <v>0.68578558388168009</v>
      </c>
      <c r="BS41" s="22">
        <f t="shared" si="9"/>
        <v>7.4999874783681868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5.2</v>
      </c>
      <c r="BY41" s="12">
        <f>IF('Données projet'!$A$114&gt;35,BY40+BX41-CG40,IF(A41&lt;'Données projet'!$A$114,$BV$205^A41,IF(A41='Données projet'!$A$114,'Données projet'!$B$114,BY40+BX41-CG40)))</f>
        <v>95.600000000000009</v>
      </c>
      <c r="BZ41" s="13">
        <f>BY41*VLOOKUP('Données projet'!$B$12,Paramètres!$A$1:$I$89,3,0)*VLOOKUP('Données projet'!$B$12,Paramètres!$A$1:$I$89,5,0)</f>
        <v>108.86928000000002</v>
      </c>
      <c r="CA41" s="13">
        <f t="shared" si="39"/>
        <v>29.064418129628898</v>
      </c>
      <c r="CB41" s="20">
        <f t="shared" si="10"/>
        <v>240.234524242437</v>
      </c>
      <c r="CC41" s="59">
        <f t="shared" si="11"/>
        <v>533.56785757577029</v>
      </c>
      <c r="CD41" s="59">
        <f ca="1">AVERAGE(OFFSET($CC$3,0,0,'Données projet'!$E$12+1,1))-AVERAGE(OFFSET($H$3,0,0,'Données projet'!$E$12+1,1))</f>
        <v>242.1473060698724</v>
      </c>
      <c r="CE41" s="59">
        <f t="shared" si="40"/>
        <v>96.127995920458659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>
        <f>CT41*VLOOKUP('Données projet'!$B$13,Paramètres!$A$1:$I$89,3,0)*VLOOKUP('Données projet'!$B$13,Paramètres!$A$1:$I$89,5,0)</f>
        <v>0</v>
      </c>
      <c r="CV41" s="13" t="e">
        <f t="shared" si="41"/>
        <v>#NUM!</v>
      </c>
      <c r="CW41" s="20" t="e">
        <f t="shared" si="13"/>
        <v>#NUM!</v>
      </c>
      <c r="CX41" s="59" t="e">
        <f t="shared" si="14"/>
        <v>#NUM!</v>
      </c>
      <c r="CY41" s="59">
        <f ca="1">AVERAGE(OFFSET($CX$3,0,0,'Données projet'!$E$13+1,1))-AVERAGE(OFFSET($H$3,0,0,'Données projet'!$E$13+1,1))</f>
        <v>0</v>
      </c>
      <c r="CZ41" s="59">
        <f t="shared" si="42"/>
        <v>0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>
        <f>DO41*VLOOKUP('Données projet'!$B$14,Paramètres!$A$1:$I$89,3,0)*VLOOKUP('Données projet'!$B$14,Paramètres!$A$1:$I$89,5,0)</f>
        <v>0</v>
      </c>
      <c r="DQ41" s="13" t="e">
        <f t="shared" si="43"/>
        <v>#NUM!</v>
      </c>
      <c r="DR41" s="20" t="e">
        <f t="shared" si="16"/>
        <v>#NUM!</v>
      </c>
      <c r="DS41" s="59" t="e">
        <f t="shared" si="17"/>
        <v>#NUM!</v>
      </c>
      <c r="DT41" s="59">
        <f ca="1">AVERAGE(OFFSET($DS$3,0,0,'Données projet'!$E$14+1,1))-AVERAGE(OFFSET($H$3,0,0,'Données projet'!$E$14+1,1))</f>
        <v>0</v>
      </c>
      <c r="DU41" s="59">
        <f t="shared" si="44"/>
        <v>0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2.2737367544323206E-13</v>
      </c>
      <c r="O42" s="13">
        <f>N42*VLOOKUP('Données projet'!$B$9,Paramètres!$A$1:$I$89,3,0)*VLOOKUP('Données projet'!$B$9,Paramètres!$A$1:$I$89,5,0)</f>
        <v>1.3596945791505279E-13</v>
      </c>
      <c r="P42" s="13">
        <f t="shared" si="33"/>
        <v>1.9708830566360721E-12</v>
      </c>
      <c r="Q42" s="20">
        <f t="shared" si="53"/>
        <v>3.669434796176543E-12</v>
      </c>
      <c r="R42" s="59">
        <f t="shared" si="0"/>
        <v>293.33333333333701</v>
      </c>
      <c r="S42" s="59">
        <f ca="1">AVERAGE(OFFSET($R$3,0,0,'Données projet'!$E$9+1,1))-AVERAGE(OFFSET($H$3,0,0,'Données projet'!$E$9+1,1))</f>
        <v>212.98969326021802</v>
      </c>
      <c r="T42" s="59">
        <f t="shared" si="34"/>
        <v>422.91218020922895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62.363175800934158</v>
      </c>
      <c r="AA42" s="21">
        <f>EXP(-LN(2)/25)*AA41+(1-EXP(-LN(2)/25))/(LN(2)/25)*Calculateur!V42*Calculateur!X42*VLOOKUP('Données projet'!$B$9,Paramètres!$A$1:$I$89,3,0)*0.475*44/12</f>
        <v>52.628580751799262</v>
      </c>
      <c r="AB42" s="21">
        <f>EXP(-LN(2)/2)*AB41+(1-EXP(-LN(2)/2))/(LN(2)/2)*V42*Y42*VLOOKUP('Données projet'!$B$9,Paramètres!$A$1:$I$89,3,0)*0.475*44/12</f>
        <v>22.677716291089617</v>
      </c>
      <c r="AC42" s="22">
        <f t="shared" si="3"/>
        <v>137.66947284382303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18.7</v>
      </c>
      <c r="AI42" s="13">
        <f>IF('Données projet'!$A$62&gt;35,AI41+AH42-AQ41,IF(A42&lt;'Données projet'!$A$62,$AF$205^A42,IF(A42='Données projet'!$A$62,'Données projet'!$B$62,AI41+AH42-AQ41)))</f>
        <v>330.29999999999995</v>
      </c>
      <c r="AJ42" s="13">
        <f>AI42*VLOOKUP('Données projet'!$B$10,Paramètres!$A$1:$I$89,3,0)*VLOOKUP('Données projet'!$B$10,Paramètres!$A$1:$I$89,5,0)</f>
        <v>197.51939999999999</v>
      </c>
      <c r="AK42" s="13">
        <f t="shared" si="35"/>
        <v>49.198611570482562</v>
      </c>
      <c r="AL42" s="20">
        <f t="shared" si="4"/>
        <v>429.70053681859048</v>
      </c>
      <c r="AM42" s="59">
        <f t="shared" si="5"/>
        <v>723.03387015192379</v>
      </c>
      <c r="AN42" s="59">
        <f ca="1">AVERAGE(OFFSET($AM$3,0,0,'Données projet'!$E$10+1,1))-AVERAGE(OFFSET($H$3,0,0,'Données projet'!$E$10+1,1))</f>
        <v>318.09371753144256</v>
      </c>
      <c r="AO42" s="59">
        <f t="shared" si="36"/>
        <v>298.61479562586919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2.9272540579690975</v>
      </c>
      <c r="AV42" s="21">
        <f>EXP(-LN(2)/25)*AV41+(1-EXP(-LN(2)/25))/(LN(2)/25)*Calculateur!AQ42*Calculateur!AS42*VLOOKUP('Données projet'!$B$10,Paramètres!$A$1:$I$89,3,0)*0.475*44/12</f>
        <v>16.102241267260407</v>
      </c>
      <c r="AW42" s="21">
        <f>EXP(-LN(2)/2)*AW41+(1-EXP(-LN(2)/2))/(LN(2)/2)*AQ42*AT42*VLOOKUP('Données projet'!$B$10,Paramètres!$A$1:$I$89,3,0)*0.475*44/12</f>
        <v>1.3368930992535955</v>
      </c>
      <c r="AX42" s="21">
        <f t="shared" si="6"/>
        <v>20.366388424483098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10.199999999999999</v>
      </c>
      <c r="BD42" s="12">
        <f>IF('Données projet'!$A$88&gt;35,BD41+BC42-BL41,IF(A42&lt;'Données projet'!$A$88,$BA$205^A42,IF(A42='Données projet'!$A$88,'Données projet'!$B$88,BD41+BC42-BL41)))</f>
        <v>209.79999999999987</v>
      </c>
      <c r="BE42" s="13">
        <f>BD42*VLOOKUP('Données projet'!$B$11,Paramètres!$A$1:$I$89,3,0)*VLOOKUP('Données projet'!$B$11,Paramètres!$A$1:$I$89,5,0)</f>
        <v>170.18975999999989</v>
      </c>
      <c r="BF42" s="13">
        <f t="shared" si="37"/>
        <v>43.132520752965824</v>
      </c>
      <c r="BG42" s="20">
        <f t="shared" si="7"/>
        <v>371.53630564474861</v>
      </c>
      <c r="BH42" s="59">
        <f t="shared" si="8"/>
        <v>664.86963897808187</v>
      </c>
      <c r="BI42" s="59">
        <f ca="1">AVERAGE(OFFSET($BH$3,0,0,'Données projet'!$E$11+1,1))-AVERAGE(OFFSET($H$3,0,0,'Données projet'!$E$11+1,1))</f>
        <v>230.68538392491388</v>
      </c>
      <c r="BJ42" s="59">
        <f t="shared" si="38"/>
        <v>267.97457956620724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6.6278671853384701</v>
      </c>
      <c r="BR42" s="21">
        <f>EXP(-LN(2)/2)*BR41+(1-EXP(-LN(2)/2))/(LN(2)/2)*BL42*BO42*VLOOKUP('Données projet'!$B$11,Paramètres!$A$1:$I$89,3,0)*0.475*44/12</f>
        <v>0.48492363680271194</v>
      </c>
      <c r="BS42" s="22">
        <f t="shared" si="9"/>
        <v>7.1127908221411822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5.2</v>
      </c>
      <c r="BY42" s="12">
        <f>IF('Données projet'!$A$114&gt;35,BY41+BX42-CG41,IF(A42&lt;'Données projet'!$A$114,$BV$205^A42,IF(A42='Données projet'!$A$114,'Données projet'!$B$114,BY41+BX42-CG41)))</f>
        <v>100.80000000000001</v>
      </c>
      <c r="BZ42" s="13">
        <f>BY42*VLOOKUP('Données projet'!$B$12,Paramètres!$A$1:$I$89,3,0)*VLOOKUP('Données projet'!$B$12,Paramètres!$A$1:$I$89,5,0)</f>
        <v>114.79104000000001</v>
      </c>
      <c r="CA42" s="13">
        <f t="shared" si="39"/>
        <v>30.456974896543485</v>
      </c>
      <c r="CB42" s="20">
        <f t="shared" si="10"/>
        <v>252.97362594481328</v>
      </c>
      <c r="CC42" s="59">
        <f t="shared" si="11"/>
        <v>546.30695927814656</v>
      </c>
      <c r="CD42" s="59">
        <f ca="1">AVERAGE(OFFSET($CC$3,0,0,'Données projet'!$E$12+1,1))-AVERAGE(OFFSET($H$3,0,0,'Données projet'!$E$12+1,1))</f>
        <v>242.1473060698724</v>
      </c>
      <c r="CE42" s="59">
        <f t="shared" si="40"/>
        <v>96.127995920458659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>
        <f>CT42*VLOOKUP('Données projet'!$B$13,Paramètres!$A$1:$I$89,3,0)*VLOOKUP('Données projet'!$B$13,Paramètres!$A$1:$I$89,5,0)</f>
        <v>0</v>
      </c>
      <c r="CV42" s="13" t="e">
        <f t="shared" si="41"/>
        <v>#NUM!</v>
      </c>
      <c r="CW42" s="20" t="e">
        <f t="shared" si="13"/>
        <v>#NUM!</v>
      </c>
      <c r="CX42" s="59" t="e">
        <f t="shared" si="14"/>
        <v>#NUM!</v>
      </c>
      <c r="CY42" s="59">
        <f ca="1">AVERAGE(OFFSET($CX$3,0,0,'Données projet'!$E$13+1,1))-AVERAGE(OFFSET($H$3,0,0,'Données projet'!$E$13+1,1))</f>
        <v>0</v>
      </c>
      <c r="CZ42" s="59">
        <f t="shared" si="42"/>
        <v>0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>
        <f>DO42*VLOOKUP('Données projet'!$B$14,Paramètres!$A$1:$I$89,3,0)*VLOOKUP('Données projet'!$B$14,Paramètres!$A$1:$I$89,5,0)</f>
        <v>0</v>
      </c>
      <c r="DQ42" s="13" t="e">
        <f t="shared" si="43"/>
        <v>#NUM!</v>
      </c>
      <c r="DR42" s="20" t="e">
        <f t="shared" si="16"/>
        <v>#NUM!</v>
      </c>
      <c r="DS42" s="59" t="e">
        <f t="shared" si="17"/>
        <v>#NUM!</v>
      </c>
      <c r="DT42" s="59">
        <f ca="1">AVERAGE(OFFSET($DS$3,0,0,'Données projet'!$E$14+1,1))-AVERAGE(OFFSET($H$3,0,0,'Données projet'!$E$14+1,1))</f>
        <v>0</v>
      </c>
      <c r="DU42" s="59">
        <f t="shared" si="44"/>
        <v>0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2.2737367544323206E-13</v>
      </c>
      <c r="O43" s="13">
        <f>N43*VLOOKUP('Données projet'!$B$9,Paramètres!$A$1:$I$89,3,0)*VLOOKUP('Données projet'!$B$9,Paramètres!$A$1:$I$89,5,0)</f>
        <v>1.3596945791505279E-13</v>
      </c>
      <c r="P43" s="13">
        <f t="shared" si="33"/>
        <v>1.9708830566360721E-12</v>
      </c>
      <c r="Q43" s="20">
        <f t="shared" si="53"/>
        <v>3.669434796176543E-12</v>
      </c>
      <c r="R43" s="59">
        <f t="shared" si="0"/>
        <v>293.33333333333701</v>
      </c>
      <c r="S43" s="59">
        <f ca="1">AVERAGE(OFFSET($R$3,0,0,'Données projet'!$E$9+1,1))-AVERAGE(OFFSET($H$3,0,0,'Données projet'!$E$9+1,1))</f>
        <v>212.98969326021802</v>
      </c>
      <c r="T43" s="59">
        <f t="shared" si="34"/>
        <v>422.91218020922895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61.14027196125916</v>
      </c>
      <c r="AA43" s="21">
        <f>EXP(-LN(2)/25)*AA42+(1-EXP(-LN(2)/25))/(LN(2)/25)*Calculateur!V43*Calculateur!X43*VLOOKUP('Données projet'!$B$9,Paramètres!$A$1:$I$89,3,0)*0.475*44/12</f>
        <v>51.189449443524531</v>
      </c>
      <c r="AB43" s="21">
        <f>EXP(-LN(2)/2)*AB42+(1-EXP(-LN(2)/2))/(LN(2)/2)*V43*Y43*VLOOKUP('Données projet'!$B$9,Paramètres!$A$1:$I$89,3,0)*0.475*44/12</f>
        <v>16.035566971254109</v>
      </c>
      <c r="AC43" s="22">
        <f t="shared" si="3"/>
        <v>128.3652883760378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349</v>
      </c>
      <c r="AG43" s="12">
        <f>VLOOKUP(A43,'Données projet'!$A$61:$I$81,9,0)</f>
        <v>18.7</v>
      </c>
      <c r="AH43" s="12">
        <f t="array" ref="AH43">INDEX(AG:AG,MIN(IF(ISNUMBER(AG43:AG239),ROW(AG43:AG239),"")))</f>
        <v>18.7</v>
      </c>
      <c r="AI43" s="13">
        <f>IF('Données projet'!$A$62&gt;35,AI42+AH43-AQ42,IF(A43&lt;'Données projet'!$A$62,$AF$205^A43,IF(A43='Données projet'!$A$62,'Données projet'!$B$62,AI42+AH43-AQ42)))</f>
        <v>348.99999999999994</v>
      </c>
      <c r="AJ43" s="13">
        <f>AI43*VLOOKUP('Données projet'!$B$10,Paramètres!$A$1:$I$89,3,0)*VLOOKUP('Données projet'!$B$10,Paramètres!$A$1:$I$89,5,0)</f>
        <v>208.702</v>
      </c>
      <c r="AK43" s="13">
        <f t="shared" si="35"/>
        <v>51.651837769371248</v>
      </c>
      <c r="AL43" s="20">
        <f t="shared" si="4"/>
        <v>453.44960078165491</v>
      </c>
      <c r="AM43" s="59">
        <f t="shared" si="5"/>
        <v>746.78293411498817</v>
      </c>
      <c r="AN43" s="59">
        <f ca="1">AVERAGE(OFFSET($AM$3,0,0,'Données projet'!$E$10+1,1))-AVERAGE(OFFSET($H$3,0,0,'Données projet'!$E$10+1,1))</f>
        <v>318.09371753144256</v>
      </c>
      <c r="AO43" s="59">
        <f t="shared" si="36"/>
        <v>298.61479562586919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98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2.8698523913410003</v>
      </c>
      <c r="AV43" s="21">
        <f>EXP(-LN(2)/25)*AV42+(1-EXP(-LN(2)/25))/(LN(2)/25)*Calculateur!AQ43*Calculateur!AS43*VLOOKUP('Données projet'!$B$10,Paramètres!$A$1:$I$89,3,0)*0.475*44/12</f>
        <v>15.661924633027105</v>
      </c>
      <c r="AW43" s="21">
        <f>EXP(-LN(2)/2)*AW42+(1-EXP(-LN(2)/2))/(LN(2)/2)*AQ43*AT43*VLOOKUP('Données projet'!$B$10,Paramètres!$A$1:$I$89,3,0)*0.475*44/12</f>
        <v>0.94532617620371751</v>
      </c>
      <c r="AX43" s="21">
        <f t="shared" si="6"/>
        <v>19.477103200571822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220</v>
      </c>
      <c r="BB43" s="12">
        <f>VLOOKUP(A43,'Données projet'!$A$87:$I$107,9,0)</f>
        <v>10.199999999999999</v>
      </c>
      <c r="BC43" s="12">
        <f t="array" ref="BC43">INDEX(BB:BB,MIN(IF(ISNUMBER(BB43:BB239),ROW(BB43:BB239),"")))</f>
        <v>10.199999999999999</v>
      </c>
      <c r="BD43" s="12">
        <f>IF('Données projet'!$A$88&gt;35,BD42+BC43-BL42,IF(A43&lt;'Données projet'!$A$88,$BA$205^A43,IF(A43='Données projet'!$A$88,'Données projet'!$B$88,BD42+BC43-BL42)))</f>
        <v>219.99999999999986</v>
      </c>
      <c r="BE43" s="13">
        <f>BD43*VLOOKUP('Données projet'!$B$11,Paramètres!$A$1:$I$89,3,0)*VLOOKUP('Données projet'!$B$11,Paramètres!$A$1:$I$89,5,0)</f>
        <v>178.46399999999991</v>
      </c>
      <c r="BF43" s="13">
        <f t="shared" si="37"/>
        <v>44.980284206661821</v>
      </c>
      <c r="BG43" s="20">
        <f t="shared" si="7"/>
        <v>389.16546165993583</v>
      </c>
      <c r="BH43" s="59">
        <f t="shared" si="8"/>
        <v>682.49879499326914</v>
      </c>
      <c r="BI43" s="59">
        <f ca="1">AVERAGE(OFFSET($BH$3,0,0,'Données projet'!$E$11+1,1))-AVERAGE(OFFSET($H$3,0,0,'Données projet'!$E$11+1,1))</f>
        <v>230.68538392491388</v>
      </c>
      <c r="BJ43" s="59">
        <f t="shared" si="38"/>
        <v>267.97457956620724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56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6.4466278086110025</v>
      </c>
      <c r="BR43" s="21">
        <f>EXP(-LN(2)/2)*BR42+(1-EXP(-LN(2)/2))/(LN(2)/2)*BL43*BO43*VLOOKUP('Données projet'!$B$11,Paramètres!$A$1:$I$89,3,0)*0.475*44/12</f>
        <v>0.3428927919408401</v>
      </c>
      <c r="BS43" s="22">
        <f t="shared" si="9"/>
        <v>6.7895206005518425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106</v>
      </c>
      <c r="BW43" s="12">
        <f>VLOOKUP(A43,'Données projet'!$A$113:$I$133,9,0)</f>
        <v>5.2</v>
      </c>
      <c r="BX43" s="12">
        <f t="array" ref="BX43">INDEX(BW:BW,MIN(IF(ISNUMBER(BW43:BW239),ROW(BW43:BW239),"")))</f>
        <v>5.2</v>
      </c>
      <c r="BY43" s="12">
        <f>IF('Données projet'!$A$114&gt;35,BY42+BX43-CG42,IF(A43&lt;'Données projet'!$A$114,$BV$205^A43,IF(A43='Données projet'!$A$114,'Données projet'!$B$114,BY42+BX43-CG42)))</f>
        <v>106.00000000000001</v>
      </c>
      <c r="BZ43" s="13">
        <f>BY43*VLOOKUP('Données projet'!$B$12,Paramètres!$A$1:$I$89,3,0)*VLOOKUP('Données projet'!$B$12,Paramètres!$A$1:$I$89,5,0)</f>
        <v>120.71280000000002</v>
      </c>
      <c r="CA43" s="13">
        <f t="shared" si="39"/>
        <v>31.841190841691311</v>
      </c>
      <c r="CB43" s="20">
        <f t="shared" si="10"/>
        <v>265.69820071594569</v>
      </c>
      <c r="CC43" s="59">
        <f t="shared" si="11"/>
        <v>559.031534049279</v>
      </c>
      <c r="CD43" s="59">
        <f ca="1">AVERAGE(OFFSET($CC$3,0,0,'Données projet'!$E$12+1,1))-AVERAGE(OFFSET($H$3,0,0,'Données projet'!$E$12+1,1))</f>
        <v>242.1473060698724</v>
      </c>
      <c r="CE43" s="59">
        <f t="shared" si="40"/>
        <v>96.127995920458659</v>
      </c>
      <c r="CF43" s="15">
        <f>IF(ISNA(VLOOKUP(A43,'Données projet'!$A$113:$I$133,3,0)),0,VLOOKUP(A43,'Données projet'!$A$113:$I$133,3,0))</f>
        <v>1</v>
      </c>
      <c r="CG43" s="15">
        <f>IF(ISNA(VLOOKUP(A43,'Données projet'!$A$113:$I$133,4,0)),0,VLOOKUP(A43,'Données projet'!$A$113:$I$133,4,0))</f>
        <v>27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>
        <f>CT43*VLOOKUP('Données projet'!$B$13,Paramètres!$A$1:$I$89,3,0)*VLOOKUP('Données projet'!$B$13,Paramètres!$A$1:$I$89,5,0)</f>
        <v>0</v>
      </c>
      <c r="CV43" s="13" t="e">
        <f t="shared" si="41"/>
        <v>#NUM!</v>
      </c>
      <c r="CW43" s="20" t="e">
        <f t="shared" si="13"/>
        <v>#NUM!</v>
      </c>
      <c r="CX43" s="59" t="e">
        <f t="shared" si="14"/>
        <v>#NUM!</v>
      </c>
      <c r="CY43" s="59">
        <f ca="1">AVERAGE(OFFSET($CX$3,0,0,'Données projet'!$E$13+1,1))-AVERAGE(OFFSET($H$3,0,0,'Données projet'!$E$13+1,1))</f>
        <v>0</v>
      </c>
      <c r="CZ43" s="59">
        <f t="shared" si="42"/>
        <v>0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>
        <f>DO43*VLOOKUP('Données projet'!$B$14,Paramètres!$A$1:$I$89,3,0)*VLOOKUP('Données projet'!$B$14,Paramètres!$A$1:$I$89,5,0)</f>
        <v>0</v>
      </c>
      <c r="DQ43" s="13" t="e">
        <f t="shared" si="43"/>
        <v>#NUM!</v>
      </c>
      <c r="DR43" s="20" t="e">
        <f t="shared" si="16"/>
        <v>#NUM!</v>
      </c>
      <c r="DS43" s="59" t="e">
        <f t="shared" si="17"/>
        <v>#NUM!</v>
      </c>
      <c r="DT43" s="59">
        <f ca="1">AVERAGE(OFFSET($DS$3,0,0,'Données projet'!$E$14+1,1))-AVERAGE(OFFSET($H$3,0,0,'Données projet'!$E$14+1,1))</f>
        <v>0</v>
      </c>
      <c r="DU43" s="59">
        <f t="shared" si="44"/>
        <v>0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2.2737367544323206E-13</v>
      </c>
      <c r="O44" s="13">
        <f>N44*VLOOKUP('Données projet'!$B$9,Paramètres!$A$1:$I$89,3,0)*VLOOKUP('Données projet'!$B$9,Paramètres!$A$1:$I$89,5,0)</f>
        <v>1.3596945791505279E-13</v>
      </c>
      <c r="P44" s="13">
        <f t="shared" si="33"/>
        <v>1.9708830566360721E-12</v>
      </c>
      <c r="Q44" s="20">
        <f t="shared" si="53"/>
        <v>3.669434796176543E-12</v>
      </c>
      <c r="R44" s="59">
        <f t="shared" si="0"/>
        <v>293.33333333333701</v>
      </c>
      <c r="S44" s="59">
        <f ca="1">AVERAGE(OFFSET($R$3,0,0,'Données projet'!$E$9+1,1))-AVERAGE(OFFSET($H$3,0,0,'Données projet'!$E$9+1,1))</f>
        <v>212.98969326021802</v>
      </c>
      <c r="T44" s="59">
        <f t="shared" si="34"/>
        <v>422.91218020922895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59.941348519982498</v>
      </c>
      <c r="AA44" s="21">
        <f>EXP(-LN(2)/25)*AA43+(1-EXP(-LN(2)/25))/(LN(2)/25)*Calculateur!V44*Calculateur!X44*VLOOKUP('Données projet'!$B$9,Paramètres!$A$1:$I$89,3,0)*0.475*44/12</f>
        <v>49.789671256555202</v>
      </c>
      <c r="AB44" s="21">
        <f>EXP(-LN(2)/2)*AB43+(1-EXP(-LN(2)/2))/(LN(2)/2)*V44*Y44*VLOOKUP('Données projet'!$B$9,Paramètres!$A$1:$I$89,3,0)*0.475*44/12</f>
        <v>11.338858145544808</v>
      </c>
      <c r="AC44" s="22">
        <f t="shared" si="3"/>
        <v>121.0698779220825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18.399999999999999</v>
      </c>
      <c r="AI44" s="13">
        <f>IF('Données projet'!$A$62&gt;35,AI43+AH44-AQ43,IF(A44&lt;'Données projet'!$A$62,$AF$205^A44,IF(A44='Données projet'!$A$62,'Données projet'!$B$62,AI43+AH44-AQ43)))</f>
        <v>269.39999999999992</v>
      </c>
      <c r="AJ44" s="13">
        <f>AI44*VLOOKUP('Données projet'!$B$10,Paramètres!$A$1:$I$89,3,0)*VLOOKUP('Données projet'!$B$10,Paramètres!$A$1:$I$89,5,0)</f>
        <v>161.10119999999995</v>
      </c>
      <c r="AK44" s="13">
        <f t="shared" si="35"/>
        <v>41.090794903447097</v>
      </c>
      <c r="AL44" s="20">
        <f t="shared" si="4"/>
        <v>352.15105779017023</v>
      </c>
      <c r="AM44" s="59">
        <f t="shared" si="5"/>
        <v>645.48439112350354</v>
      </c>
      <c r="AN44" s="59">
        <f ca="1">AVERAGE(OFFSET($AM$3,0,0,'Données projet'!$E$10+1,1))-AVERAGE(OFFSET($H$3,0,0,'Données projet'!$E$10+1,1))</f>
        <v>318.09371753144256</v>
      </c>
      <c r="AO44" s="59">
        <f t="shared" si="36"/>
        <v>298.61479562586919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2.8135763363839206</v>
      </c>
      <c r="AV44" s="21">
        <f>EXP(-LN(2)/25)*AV43+(1-EXP(-LN(2)/25))/(LN(2)/25)*Calculateur!AQ44*Calculateur!AS44*VLOOKUP('Données projet'!$B$10,Paramètres!$A$1:$I$89,3,0)*0.475*44/12</f>
        <v>15.233648480312159</v>
      </c>
      <c r="AW44" s="21">
        <f>EXP(-LN(2)/2)*AW43+(1-EXP(-LN(2)/2))/(LN(2)/2)*AQ44*AT44*VLOOKUP('Données projet'!$B$10,Paramètres!$A$1:$I$89,3,0)*0.475*44/12</f>
        <v>0.66844654962679784</v>
      </c>
      <c r="AX44" s="21">
        <f t="shared" si="6"/>
        <v>18.715671366322876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7.7</v>
      </c>
      <c r="BD44" s="12">
        <f>IF('Données projet'!$A$88&gt;35,BD43+BC44-BL43,IF(A44&lt;'Données projet'!$A$88,$BA$205^A44,IF(A44='Données projet'!$A$88,'Données projet'!$B$88,BD43+BC44-BL43)))</f>
        <v>171.69999999999985</v>
      </c>
      <c r="BE44" s="13">
        <f>BD44*VLOOKUP('Données projet'!$B$11,Paramètres!$A$1:$I$89,3,0)*VLOOKUP('Données projet'!$B$11,Paramètres!$A$1:$I$89,5,0)</f>
        <v>139.28303999999989</v>
      </c>
      <c r="BF44" s="13">
        <f t="shared" si="37"/>
        <v>36.132710979898413</v>
      </c>
      <c r="BG44" s="20">
        <f t="shared" si="7"/>
        <v>305.51576628998953</v>
      </c>
      <c r="BH44" s="59">
        <f t="shared" si="8"/>
        <v>598.8490996233229</v>
      </c>
      <c r="BI44" s="59">
        <f ca="1">AVERAGE(OFFSET($BH$3,0,0,'Données projet'!$E$11+1,1))-AVERAGE(OFFSET($H$3,0,0,'Données projet'!$E$11+1,1))</f>
        <v>230.68538392491388</v>
      </c>
      <c r="BJ44" s="59">
        <f t="shared" si="38"/>
        <v>267.97457956620724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6.2703444321711119</v>
      </c>
      <c r="BR44" s="21">
        <f>EXP(-LN(2)/2)*BR43+(1-EXP(-LN(2)/2))/(LN(2)/2)*BL44*BO44*VLOOKUP('Données projet'!$B$11,Paramètres!$A$1:$I$89,3,0)*0.475*44/12</f>
        <v>0.242461818401356</v>
      </c>
      <c r="BS44" s="22">
        <f t="shared" si="9"/>
        <v>6.512806250572468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5.6</v>
      </c>
      <c r="BY44" s="12">
        <f>IF('Données projet'!$A$114&gt;35,BY43+BX44-CG43,IF(A44&lt;'Données projet'!$A$114,$BV$205^A44,IF(A44='Données projet'!$A$114,'Données projet'!$B$114,BY43+BX44-CG43)))</f>
        <v>84.600000000000009</v>
      </c>
      <c r="BZ44" s="13">
        <f>BY44*VLOOKUP('Données projet'!$B$12,Paramètres!$A$1:$I$89,3,0)*VLOOKUP('Données projet'!$B$12,Paramètres!$A$1:$I$89,5,0)</f>
        <v>96.342480000000009</v>
      </c>
      <c r="CA44" s="13">
        <f t="shared" si="39"/>
        <v>26.088763268244669</v>
      </c>
      <c r="CB44" s="20">
        <f t="shared" si="10"/>
        <v>213.23441535885948</v>
      </c>
      <c r="CC44" s="59">
        <f t="shared" si="11"/>
        <v>506.56774869219282</v>
      </c>
      <c r="CD44" s="59">
        <f ca="1">AVERAGE(OFFSET($CC$3,0,0,'Données projet'!$E$12+1,1))-AVERAGE(OFFSET($H$3,0,0,'Données projet'!$E$12+1,1))</f>
        <v>242.1473060698724</v>
      </c>
      <c r="CE44" s="59">
        <f t="shared" si="40"/>
        <v>96.127995920458659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>
        <f>CT44*VLOOKUP('Données projet'!$B$13,Paramètres!$A$1:$I$89,3,0)*VLOOKUP('Données projet'!$B$13,Paramètres!$A$1:$I$89,5,0)</f>
        <v>0</v>
      </c>
      <c r="CV44" s="13" t="e">
        <f t="shared" si="41"/>
        <v>#NUM!</v>
      </c>
      <c r="CW44" s="20" t="e">
        <f t="shared" si="13"/>
        <v>#NUM!</v>
      </c>
      <c r="CX44" s="59" t="e">
        <f t="shared" si="14"/>
        <v>#NUM!</v>
      </c>
      <c r="CY44" s="59">
        <f ca="1">AVERAGE(OFFSET($CX$3,0,0,'Données projet'!$E$13+1,1))-AVERAGE(OFFSET($H$3,0,0,'Données projet'!$E$13+1,1))</f>
        <v>0</v>
      </c>
      <c r="CZ44" s="59">
        <f t="shared" si="42"/>
        <v>0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>
        <f>DO44*VLOOKUP('Données projet'!$B$14,Paramètres!$A$1:$I$89,3,0)*VLOOKUP('Données projet'!$B$14,Paramètres!$A$1:$I$89,5,0)</f>
        <v>0</v>
      </c>
      <c r="DQ44" s="13" t="e">
        <f t="shared" si="43"/>
        <v>#NUM!</v>
      </c>
      <c r="DR44" s="20" t="e">
        <f t="shared" si="16"/>
        <v>#NUM!</v>
      </c>
      <c r="DS44" s="59" t="e">
        <f t="shared" si="17"/>
        <v>#NUM!</v>
      </c>
      <c r="DT44" s="59">
        <f ca="1">AVERAGE(OFFSET($DS$3,0,0,'Données projet'!$E$14+1,1))-AVERAGE(OFFSET($H$3,0,0,'Données projet'!$E$14+1,1))</f>
        <v>0</v>
      </c>
      <c r="DU44" s="59">
        <f t="shared" si="44"/>
        <v>0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2.2737367544323206E-13</v>
      </c>
      <c r="O45" s="13">
        <f>N45*VLOOKUP('Données projet'!$B$9,Paramètres!$A$1:$I$89,3,0)*VLOOKUP('Données projet'!$B$9,Paramètres!$A$1:$I$89,5,0)</f>
        <v>1.3596945791505279E-13</v>
      </c>
      <c r="P45" s="13">
        <f t="shared" si="33"/>
        <v>1.9708830566360721E-12</v>
      </c>
      <c r="Q45" s="20">
        <f t="shared" si="53"/>
        <v>3.669434796176543E-12</v>
      </c>
      <c r="R45" s="59">
        <f t="shared" si="0"/>
        <v>293.33333333333701</v>
      </c>
      <c r="S45" s="59">
        <f ca="1">AVERAGE(OFFSET($R$3,0,0,'Données projet'!$E$9+1,1))-AVERAGE(OFFSET($H$3,0,0,'Données projet'!$E$9+1,1))</f>
        <v>212.98969326021802</v>
      </c>
      <c r="T45" s="59">
        <f t="shared" si="34"/>
        <v>422.91218020922895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58.765935236118175</v>
      </c>
      <c r="AA45" s="21">
        <f>EXP(-LN(2)/25)*AA44+(1-EXP(-LN(2)/25))/(LN(2)/25)*Calculateur!V45*Calculateur!X45*VLOOKUP('Données projet'!$B$9,Paramètres!$A$1:$I$89,3,0)*0.475*44/12</f>
        <v>48.428170077719685</v>
      </c>
      <c r="AB45" s="21">
        <f>EXP(-LN(2)/2)*AB44+(1-EXP(-LN(2)/2))/(LN(2)/2)*V45*Y45*VLOOKUP('Données projet'!$B$9,Paramètres!$A$1:$I$89,3,0)*0.475*44/12</f>
        <v>8.0177834856270547</v>
      </c>
      <c r="AC45" s="22">
        <f t="shared" si="3"/>
        <v>115.21188879946492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18.399999999999999</v>
      </c>
      <c r="AI45" s="13">
        <f>IF('Données projet'!$A$62&gt;35,AI44+AH45-AQ44,IF(A45&lt;'Données projet'!$A$62,$AF$205^A45,IF(A45='Données projet'!$A$62,'Données projet'!$B$62,AI44+AH45-AQ44)))</f>
        <v>287.7999999999999</v>
      </c>
      <c r="AJ45" s="13">
        <f>AI45*VLOOKUP('Données projet'!$B$10,Paramètres!$A$1:$I$89,3,0)*VLOOKUP('Données projet'!$B$10,Paramètres!$A$1:$I$89,5,0)</f>
        <v>172.10439999999994</v>
      </c>
      <c r="AK45" s="13">
        <f t="shared" si="35"/>
        <v>43.561001176960517</v>
      </c>
      <c r="AL45" s="20">
        <f t="shared" si="4"/>
        <v>375.61724038320608</v>
      </c>
      <c r="AM45" s="59">
        <f t="shared" si="5"/>
        <v>668.95057371653934</v>
      </c>
      <c r="AN45" s="59">
        <f ca="1">AVERAGE(OFFSET($AM$3,0,0,'Données projet'!$E$10+1,1))-AVERAGE(OFFSET($H$3,0,0,'Données projet'!$E$10+1,1))</f>
        <v>318.09371753144256</v>
      </c>
      <c r="AO45" s="59">
        <f t="shared" si="36"/>
        <v>298.61479562586919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2.7584038205395451</v>
      </c>
      <c r="AV45" s="21">
        <f>EXP(-LN(2)/25)*AV44+(1-EXP(-LN(2)/25))/(LN(2)/25)*Calculateur!AQ45*Calculateur!AS45*VLOOKUP('Données projet'!$B$10,Paramètres!$A$1:$I$89,3,0)*0.475*44/12</f>
        <v>14.817083561515267</v>
      </c>
      <c r="AW45" s="21">
        <f>EXP(-LN(2)/2)*AW44+(1-EXP(-LN(2)/2))/(LN(2)/2)*AQ45*AT45*VLOOKUP('Données projet'!$B$10,Paramètres!$A$1:$I$89,3,0)*0.475*44/12</f>
        <v>0.47266308810185886</v>
      </c>
      <c r="AX45" s="21">
        <f t="shared" si="6"/>
        <v>18.048150470156667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7.7</v>
      </c>
      <c r="BD45" s="12">
        <f>IF('Données projet'!$A$88&gt;35,BD44+BC45-BL44,IF(A45&lt;'Données projet'!$A$88,$BA$205^A45,IF(A45='Données projet'!$A$88,'Données projet'!$B$88,BD44+BC45-BL44)))</f>
        <v>179.39999999999984</v>
      </c>
      <c r="BE45" s="13">
        <f>BD45*VLOOKUP('Données projet'!$B$11,Paramètres!$A$1:$I$89,3,0)*VLOOKUP('Données projet'!$B$11,Paramètres!$A$1:$I$89,5,0)</f>
        <v>145.52927999999986</v>
      </c>
      <c r="BF45" s="13">
        <f t="shared" si="37"/>
        <v>37.560816225769642</v>
      </c>
      <c r="BG45" s="20">
        <f t="shared" si="7"/>
        <v>318.88191759321518</v>
      </c>
      <c r="BH45" s="59">
        <f t="shared" si="8"/>
        <v>612.21525092654849</v>
      </c>
      <c r="BI45" s="59">
        <f ca="1">AVERAGE(OFFSET($BH$3,0,0,'Données projet'!$E$11+1,1))-AVERAGE(OFFSET($H$3,0,0,'Données projet'!$E$11+1,1))</f>
        <v>230.68538392491388</v>
      </c>
      <c r="BJ45" s="59">
        <f t="shared" si="38"/>
        <v>267.97457956620724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6.0988815339303102</v>
      </c>
      <c r="BR45" s="21">
        <f>EXP(-LN(2)/2)*BR44+(1-EXP(-LN(2)/2))/(LN(2)/2)*BL45*BO45*VLOOKUP('Données projet'!$B$11,Paramètres!$A$1:$I$89,3,0)*0.475*44/12</f>
        <v>0.17144639597042008</v>
      </c>
      <c r="BS45" s="22">
        <f t="shared" si="9"/>
        <v>6.2703279299007306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5.6</v>
      </c>
      <c r="BY45" s="12">
        <f>IF('Données projet'!$A$114&gt;35,BY44+BX45-CG44,IF(A45&lt;'Données projet'!$A$114,$BV$205^A45,IF(A45='Données projet'!$A$114,'Données projet'!$B$114,BY44+BX45-CG44)))</f>
        <v>90.2</v>
      </c>
      <c r="BZ45" s="13">
        <f>BY45*VLOOKUP('Données projet'!$B$12,Paramètres!$A$1:$I$89,3,0)*VLOOKUP('Données projet'!$B$12,Paramètres!$A$1:$I$89,5,0)</f>
        <v>102.71976000000001</v>
      </c>
      <c r="CA45" s="13">
        <f t="shared" si="39"/>
        <v>27.608927464604609</v>
      </c>
      <c r="CB45" s="20">
        <f t="shared" si="10"/>
        <v>226.9891306675197</v>
      </c>
      <c r="CC45" s="59">
        <f t="shared" si="11"/>
        <v>520.32246400085296</v>
      </c>
      <c r="CD45" s="59">
        <f ca="1">AVERAGE(OFFSET($CC$3,0,0,'Données projet'!$E$12+1,1))-AVERAGE(OFFSET($H$3,0,0,'Données projet'!$E$12+1,1))</f>
        <v>242.1473060698724</v>
      </c>
      <c r="CE45" s="59">
        <f t="shared" si="40"/>
        <v>96.127995920458659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>
        <f>CT45*VLOOKUP('Données projet'!$B$13,Paramètres!$A$1:$I$89,3,0)*VLOOKUP('Données projet'!$B$13,Paramètres!$A$1:$I$89,5,0)</f>
        <v>0</v>
      </c>
      <c r="CV45" s="13" t="e">
        <f t="shared" si="41"/>
        <v>#NUM!</v>
      </c>
      <c r="CW45" s="20" t="e">
        <f t="shared" si="13"/>
        <v>#NUM!</v>
      </c>
      <c r="CX45" s="59" t="e">
        <f t="shared" si="14"/>
        <v>#NUM!</v>
      </c>
      <c r="CY45" s="59">
        <f ca="1">AVERAGE(OFFSET($CX$3,0,0,'Données projet'!$E$13+1,1))-AVERAGE(OFFSET($H$3,0,0,'Données projet'!$E$13+1,1))</f>
        <v>0</v>
      </c>
      <c r="CZ45" s="59">
        <f t="shared" si="42"/>
        <v>0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>
        <f>DO45*VLOOKUP('Données projet'!$B$14,Paramètres!$A$1:$I$89,3,0)*VLOOKUP('Données projet'!$B$14,Paramètres!$A$1:$I$89,5,0)</f>
        <v>0</v>
      </c>
      <c r="DQ45" s="13" t="e">
        <f t="shared" si="43"/>
        <v>#NUM!</v>
      </c>
      <c r="DR45" s="20" t="e">
        <f t="shared" si="16"/>
        <v>#NUM!</v>
      </c>
      <c r="DS45" s="59" t="e">
        <f t="shared" si="17"/>
        <v>#NUM!</v>
      </c>
      <c r="DT45" s="59">
        <f ca="1">AVERAGE(OFFSET($DS$3,0,0,'Données projet'!$E$14+1,1))-AVERAGE(OFFSET($H$3,0,0,'Données projet'!$E$14+1,1))</f>
        <v>0</v>
      </c>
      <c r="DU45" s="59">
        <f t="shared" si="44"/>
        <v>0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2.2737367544323206E-13</v>
      </c>
      <c r="O46" s="13">
        <f>N46*VLOOKUP('Données projet'!$B$9,Paramètres!$A$1:$I$89,3,0)*VLOOKUP('Données projet'!$B$9,Paramètres!$A$1:$I$89,5,0)</f>
        <v>1.3596945791505279E-13</v>
      </c>
      <c r="P46" s="13">
        <f t="shared" si="33"/>
        <v>1.9708830566360721E-12</v>
      </c>
      <c r="Q46" s="20">
        <f t="shared" si="53"/>
        <v>3.669434796176543E-12</v>
      </c>
      <c r="R46" s="59">
        <f t="shared" si="0"/>
        <v>293.33333333333701</v>
      </c>
      <c r="S46" s="59">
        <f ca="1">AVERAGE(OFFSET($R$3,0,0,'Données projet'!$E$9+1,1))-AVERAGE(OFFSET($H$3,0,0,'Données projet'!$E$9+1,1))</f>
        <v>212.98969326021802</v>
      </c>
      <c r="T46" s="59">
        <f t="shared" si="34"/>
        <v>422.91218020922895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57.613571089819125</v>
      </c>
      <c r="AA46" s="21">
        <f>EXP(-LN(2)/25)*AA45+(1-EXP(-LN(2)/25))/(LN(2)/25)*Calculateur!V46*Calculateur!X46*VLOOKUP('Données projet'!$B$9,Paramètres!$A$1:$I$89,3,0)*0.475*44/12</f>
        <v>47.103899220217663</v>
      </c>
      <c r="AB46" s="21">
        <f>EXP(-LN(2)/2)*AB45+(1-EXP(-LN(2)/2))/(LN(2)/2)*V46*Y46*VLOOKUP('Données projet'!$B$9,Paramètres!$A$1:$I$89,3,0)*0.475*44/12</f>
        <v>5.6694290727724042</v>
      </c>
      <c r="AC46" s="22">
        <f t="shared" si="3"/>
        <v>110.38689938280919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18.399999999999999</v>
      </c>
      <c r="AI46" s="13">
        <f>IF('Données projet'!$A$62&gt;35,AI45+AH46-AQ45,IF(A46&lt;'Données projet'!$A$62,$AF$205^A46,IF(A46='Données projet'!$A$62,'Données projet'!$B$62,AI45+AH46-AQ45)))</f>
        <v>306.19999999999987</v>
      </c>
      <c r="AJ46" s="13">
        <f>AI46*VLOOKUP('Données projet'!$B$10,Paramètres!$A$1:$I$89,3,0)*VLOOKUP('Données projet'!$B$10,Paramètres!$A$1:$I$89,5,0)</f>
        <v>183.10759999999993</v>
      </c>
      <c r="AK46" s="13">
        <f t="shared" si="35"/>
        <v>46.012879639356079</v>
      </c>
      <c r="AL46" s="20">
        <f t="shared" si="4"/>
        <v>399.05150203854504</v>
      </c>
      <c r="AM46" s="59">
        <f t="shared" si="5"/>
        <v>692.38483537187835</v>
      </c>
      <c r="AN46" s="59">
        <f ca="1">AVERAGE(OFFSET($AM$3,0,0,'Données projet'!$E$10+1,1))-AVERAGE(OFFSET($H$3,0,0,'Données projet'!$E$10+1,1))</f>
        <v>318.09371753144256</v>
      </c>
      <c r="AO46" s="59">
        <f t="shared" si="36"/>
        <v>298.61479562586919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2.7043132040789661</v>
      </c>
      <c r="AV46" s="21">
        <f>EXP(-LN(2)/25)*AV45+(1-EXP(-LN(2)/25))/(LN(2)/25)*Calculateur!AQ46*Calculateur!AS46*VLOOKUP('Données projet'!$B$10,Paramètres!$A$1:$I$89,3,0)*0.475*44/12</f>
        <v>14.411909632329072</v>
      </c>
      <c r="AW46" s="21">
        <f>EXP(-LN(2)/2)*AW45+(1-EXP(-LN(2)/2))/(LN(2)/2)*AQ46*AT46*VLOOKUP('Données projet'!$B$10,Paramètres!$A$1:$I$89,3,0)*0.475*44/12</f>
        <v>0.33422327481339897</v>
      </c>
      <c r="AX46" s="21">
        <f t="shared" si="6"/>
        <v>17.450446111221439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7.7</v>
      </c>
      <c r="BD46" s="12">
        <f>IF('Données projet'!$A$88&gt;35,BD45+BC46-BL45,IF(A46&lt;'Données projet'!$A$88,$BA$205^A46,IF(A46='Données projet'!$A$88,'Données projet'!$B$88,BD45+BC46-BL45)))</f>
        <v>187.09999999999982</v>
      </c>
      <c r="BE46" s="13">
        <f>BD46*VLOOKUP('Données projet'!$B$11,Paramètres!$A$1:$I$89,3,0)*VLOOKUP('Données projet'!$B$11,Paramètres!$A$1:$I$89,5,0)</f>
        <v>151.77551999999989</v>
      </c>
      <c r="BF46" s="13">
        <f t="shared" si="37"/>
        <v>38.98180216162384</v>
      </c>
      <c r="BG46" s="20">
        <f t="shared" si="7"/>
        <v>332.23566943149461</v>
      </c>
      <c r="BH46" s="59">
        <f t="shared" si="8"/>
        <v>625.56900276482793</v>
      </c>
      <c r="BI46" s="59">
        <f ca="1">AVERAGE(OFFSET($BH$3,0,0,'Données projet'!$E$11+1,1))-AVERAGE(OFFSET($H$3,0,0,'Données projet'!$E$11+1,1))</f>
        <v>230.68538392491388</v>
      </c>
      <c r="BJ46" s="59">
        <f t="shared" si="38"/>
        <v>267.97457956620724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5.932107297658745</v>
      </c>
      <c r="BR46" s="21">
        <f>EXP(-LN(2)/2)*BR45+(1-EXP(-LN(2)/2))/(LN(2)/2)*BL46*BO46*VLOOKUP('Données projet'!$B$11,Paramètres!$A$1:$I$89,3,0)*0.475*44/12</f>
        <v>0.12123090920067803</v>
      </c>
      <c r="BS46" s="22">
        <f t="shared" si="9"/>
        <v>6.053338206859423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5.6</v>
      </c>
      <c r="BY46" s="12">
        <f>IF('Données projet'!$A$114&gt;35,BY45+BX46-CG45,IF(A46&lt;'Données projet'!$A$114,$BV$205^A46,IF(A46='Données projet'!$A$114,'Données projet'!$B$114,BY45+BX46-CG45)))</f>
        <v>95.8</v>
      </c>
      <c r="BZ46" s="13">
        <f>BY46*VLOOKUP('Données projet'!$B$12,Paramètres!$A$1:$I$89,3,0)*VLOOKUP('Données projet'!$B$12,Paramètres!$A$1:$I$89,5,0)</f>
        <v>109.09704000000001</v>
      </c>
      <c r="CA46" s="13">
        <f t="shared" si="39"/>
        <v>29.118138203692205</v>
      </c>
      <c r="CB46" s="20">
        <f t="shared" si="10"/>
        <v>240.72476870476387</v>
      </c>
      <c r="CC46" s="59">
        <f t="shared" si="11"/>
        <v>534.05810203809722</v>
      </c>
      <c r="CD46" s="59">
        <f ca="1">AVERAGE(OFFSET($CC$3,0,0,'Données projet'!$E$12+1,1))-AVERAGE(OFFSET($H$3,0,0,'Données projet'!$E$12+1,1))</f>
        <v>242.1473060698724</v>
      </c>
      <c r="CE46" s="59">
        <f t="shared" si="40"/>
        <v>96.127995920458659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>
        <f>CT46*VLOOKUP('Données projet'!$B$13,Paramètres!$A$1:$I$89,3,0)*VLOOKUP('Données projet'!$B$13,Paramètres!$A$1:$I$89,5,0)</f>
        <v>0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0</v>
      </c>
      <c r="CZ46" s="59">
        <f t="shared" si="42"/>
        <v>0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>
        <f>DO46*VLOOKUP('Données projet'!$B$14,Paramètres!$A$1:$I$89,3,0)*VLOOKUP('Données projet'!$B$14,Paramètres!$A$1:$I$89,5,0)</f>
        <v>0</v>
      </c>
      <c r="DQ46" s="13" t="e">
        <f t="shared" si="43"/>
        <v>#NUM!</v>
      </c>
      <c r="DR46" s="20" t="e">
        <f t="shared" si="16"/>
        <v>#NUM!</v>
      </c>
      <c r="DS46" s="59" t="e">
        <f t="shared" si="17"/>
        <v>#NUM!</v>
      </c>
      <c r="DT46" s="59">
        <f ca="1">AVERAGE(OFFSET($DS$3,0,0,'Données projet'!$E$14+1,1))-AVERAGE(OFFSET($H$3,0,0,'Données projet'!$E$14+1,1))</f>
        <v>0</v>
      </c>
      <c r="DU46" s="59">
        <f t="shared" si="44"/>
        <v>0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2.2737367544323206E-13</v>
      </c>
      <c r="O47" s="13">
        <f>N47*VLOOKUP('Données projet'!$B$9,Paramètres!$A$1:$I$89,3,0)*VLOOKUP('Données projet'!$B$9,Paramètres!$A$1:$I$89,5,0)</f>
        <v>1.3596945791505279E-13</v>
      </c>
      <c r="P47" s="13">
        <f t="shared" si="33"/>
        <v>1.9708830566360721E-12</v>
      </c>
      <c r="Q47" s="20">
        <f t="shared" si="53"/>
        <v>3.669434796176543E-12</v>
      </c>
      <c r="R47" s="59">
        <f t="shared" si="0"/>
        <v>293.33333333333701</v>
      </c>
      <c r="S47" s="59">
        <f ca="1">AVERAGE(OFFSET($R$3,0,0,'Données projet'!$E$9+1,1))-AVERAGE(OFFSET($H$3,0,0,'Données projet'!$E$9+1,1))</f>
        <v>212.98969326021802</v>
      </c>
      <c r="T47" s="59">
        <f t="shared" si="34"/>
        <v>422.91218020922895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56.483804101556267</v>
      </c>
      <c r="AA47" s="21">
        <f>EXP(-LN(2)/25)*AA46+(1-EXP(-LN(2)/25))/(LN(2)/25)*Calculateur!V47*Calculateur!X47*VLOOKUP('Données projet'!$B$9,Paramètres!$A$1:$I$89,3,0)*0.475*44/12</f>
        <v>45.815840618954411</v>
      </c>
      <c r="AB47" s="21">
        <f>EXP(-LN(2)/2)*AB46+(1-EXP(-LN(2)/2))/(LN(2)/2)*V47*Y47*VLOOKUP('Données projet'!$B$9,Paramètres!$A$1:$I$89,3,0)*0.475*44/12</f>
        <v>4.0088917428135273</v>
      </c>
      <c r="AC47" s="22">
        <f t="shared" si="3"/>
        <v>106.30853646332422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18.399999999999999</v>
      </c>
      <c r="AI47" s="13">
        <f>IF('Données projet'!$A$62&gt;35,AI46+AH47-AQ46,IF(A47&lt;'Données projet'!$A$62,$AF$205^A47,IF(A47='Données projet'!$A$62,'Données projet'!$B$62,AI46+AH47-AQ46)))</f>
        <v>324.59999999999985</v>
      </c>
      <c r="AJ47" s="13">
        <f>AI47*VLOOKUP('Données projet'!$B$10,Paramètres!$A$1:$I$89,3,0)*VLOOKUP('Données projet'!$B$10,Paramètres!$A$1:$I$89,5,0)</f>
        <v>194.11079999999993</v>
      </c>
      <c r="AK47" s="13">
        <f t="shared" si="35"/>
        <v>48.447657061866487</v>
      </c>
      <c r="AL47" s="20">
        <f t="shared" si="4"/>
        <v>422.45597938275068</v>
      </c>
      <c r="AM47" s="59">
        <f t="shared" si="5"/>
        <v>715.78931271608394</v>
      </c>
      <c r="AN47" s="59">
        <f ca="1">AVERAGE(OFFSET($AM$3,0,0,'Données projet'!$E$10+1,1))-AVERAGE(OFFSET($H$3,0,0,'Données projet'!$E$10+1,1))</f>
        <v>318.09371753144256</v>
      </c>
      <c r="AO47" s="59">
        <f t="shared" si="36"/>
        <v>298.61479562586919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2.6512832716151609</v>
      </c>
      <c r="AV47" s="21">
        <f>EXP(-LN(2)/25)*AV46+(1-EXP(-LN(2)/25))/(LN(2)/25)*Calculateur!AQ47*Calculateur!AS47*VLOOKUP('Données projet'!$B$10,Paramètres!$A$1:$I$89,3,0)*0.475*44/12</f>
        <v>14.017815205543645</v>
      </c>
      <c r="AW47" s="21">
        <f>EXP(-LN(2)/2)*AW46+(1-EXP(-LN(2)/2))/(LN(2)/2)*AQ47*AT47*VLOOKUP('Données projet'!$B$10,Paramètres!$A$1:$I$89,3,0)*0.475*44/12</f>
        <v>0.23633154405092946</v>
      </c>
      <c r="AX47" s="21">
        <f t="shared" si="6"/>
        <v>16.905430021209735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7.7</v>
      </c>
      <c r="BD47" s="12">
        <f>IF('Données projet'!$A$88&gt;35,BD46+BC47-BL46,IF(A47&lt;'Données projet'!$A$88,$BA$205^A47,IF(A47='Données projet'!$A$88,'Données projet'!$B$88,BD46+BC47-BL46)))</f>
        <v>194.79999999999981</v>
      </c>
      <c r="BE47" s="13">
        <f>BD47*VLOOKUP('Données projet'!$B$11,Paramètres!$A$1:$I$89,3,0)*VLOOKUP('Données projet'!$B$11,Paramètres!$A$1:$I$89,5,0)</f>
        <v>158.02175999999986</v>
      </c>
      <c r="BF47" s="13">
        <f t="shared" si="37"/>
        <v>40.395995288758058</v>
      </c>
      <c r="BG47" s="20">
        <f t="shared" si="7"/>
        <v>345.57759046125335</v>
      </c>
      <c r="BH47" s="59">
        <f t="shared" si="8"/>
        <v>638.91092379458667</v>
      </c>
      <c r="BI47" s="59">
        <f ca="1">AVERAGE(OFFSET($BH$3,0,0,'Données projet'!$E$11+1,1))-AVERAGE(OFFSET($H$3,0,0,'Données projet'!$E$11+1,1))</f>
        <v>230.68538392491388</v>
      </c>
      <c r="BJ47" s="59">
        <f t="shared" si="38"/>
        <v>267.97457956620724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5.7698935116483021</v>
      </c>
      <c r="BR47" s="21">
        <f>EXP(-LN(2)/2)*BR46+(1-EXP(-LN(2)/2))/(LN(2)/2)*BL47*BO47*VLOOKUP('Données projet'!$B$11,Paramètres!$A$1:$I$89,3,0)*0.475*44/12</f>
        <v>8.5723197985210053E-2</v>
      </c>
      <c r="BS47" s="22">
        <f t="shared" si="9"/>
        <v>5.8556167096335123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5.6</v>
      </c>
      <c r="BY47" s="12">
        <f>IF('Données projet'!$A$114&gt;35,BY46+BX47-CG46,IF(A47&lt;'Données projet'!$A$114,$BV$205^A47,IF(A47='Données projet'!$A$114,'Données projet'!$B$114,BY46+BX47-CG46)))</f>
        <v>101.39999999999999</v>
      </c>
      <c r="BZ47" s="13">
        <f>BY47*VLOOKUP('Données projet'!$B$12,Paramètres!$A$1:$I$89,3,0)*VLOOKUP('Données projet'!$B$12,Paramètres!$A$1:$I$89,5,0)</f>
        <v>115.47431999999999</v>
      </c>
      <c r="CA47" s="13">
        <f t="shared" si="39"/>
        <v>30.617108709605674</v>
      </c>
      <c r="CB47" s="20">
        <f t="shared" si="10"/>
        <v>254.44257166922989</v>
      </c>
      <c r="CC47" s="59">
        <f t="shared" si="11"/>
        <v>547.77590500256315</v>
      </c>
      <c r="CD47" s="59">
        <f ca="1">AVERAGE(OFFSET($CC$3,0,0,'Données projet'!$E$12+1,1))-AVERAGE(OFFSET($H$3,0,0,'Données projet'!$E$12+1,1))</f>
        <v>242.1473060698724</v>
      </c>
      <c r="CE47" s="59">
        <f t="shared" si="40"/>
        <v>96.127995920458659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>
        <f>CT47*VLOOKUP('Données projet'!$B$13,Paramètres!$A$1:$I$89,3,0)*VLOOKUP('Données projet'!$B$13,Paramètres!$A$1:$I$89,5,0)</f>
        <v>0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0</v>
      </c>
      <c r="CZ47" s="59">
        <f t="shared" si="42"/>
        <v>0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>
        <f>DO47*VLOOKUP('Données projet'!$B$14,Paramètres!$A$1:$I$89,3,0)*VLOOKUP('Données projet'!$B$14,Paramètres!$A$1:$I$89,5,0)</f>
        <v>0</v>
      </c>
      <c r="DQ47" s="13" t="e">
        <f t="shared" si="43"/>
        <v>#NUM!</v>
      </c>
      <c r="DR47" s="20" t="e">
        <f t="shared" si="16"/>
        <v>#NUM!</v>
      </c>
      <c r="DS47" s="59" t="e">
        <f t="shared" si="17"/>
        <v>#NUM!</v>
      </c>
      <c r="DT47" s="59">
        <f ca="1">AVERAGE(OFFSET($DS$3,0,0,'Données projet'!$E$14+1,1))-AVERAGE(OFFSET($H$3,0,0,'Données projet'!$E$14+1,1))</f>
        <v>0</v>
      </c>
      <c r="DU47" s="59">
        <f t="shared" si="44"/>
        <v>0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2.2737367544323206E-13</v>
      </c>
      <c r="O48" s="13">
        <f>N48*VLOOKUP('Données projet'!$B$9,Paramètres!$A$1:$I$89,3,0)*VLOOKUP('Données projet'!$B$9,Paramètres!$A$1:$I$89,5,0)</f>
        <v>1.3596945791505279E-13</v>
      </c>
      <c r="P48" s="13">
        <f t="shared" si="33"/>
        <v>1.9708830566360721E-12</v>
      </c>
      <c r="Q48" s="20">
        <f t="shared" si="53"/>
        <v>3.669434796176543E-12</v>
      </c>
      <c r="R48" s="59">
        <f t="shared" si="0"/>
        <v>293.33333333333701</v>
      </c>
      <c r="S48" s="59">
        <f ca="1">AVERAGE(OFFSET($R$3,0,0,'Données projet'!$E$9+1,1))-AVERAGE(OFFSET($H$3,0,0,'Données projet'!$E$9+1,1))</f>
        <v>212.98969326021802</v>
      </c>
      <c r="T48" s="59">
        <f t="shared" si="34"/>
        <v>422.91218020922895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55.376191154843426</v>
      </c>
      <c r="AA48" s="21">
        <f>EXP(-LN(2)/25)*AA47+(1-EXP(-LN(2)/25))/(LN(2)/25)*Calculateur!V48*Calculateur!X48*VLOOKUP('Données projet'!$B$9,Paramètres!$A$1:$I$89,3,0)*0.475*44/12</f>
        <v>44.563004047878756</v>
      </c>
      <c r="AB48" s="21">
        <f>EXP(-LN(2)/2)*AB47+(1-EXP(-LN(2)/2))/(LN(2)/2)*V48*Y48*VLOOKUP('Données projet'!$B$9,Paramètres!$A$1:$I$89,3,0)*0.475*44/12</f>
        <v>2.8347145363862021</v>
      </c>
      <c r="AC48" s="22">
        <f t="shared" si="3"/>
        <v>102.77390973910838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18.399999999999999</v>
      </c>
      <c r="AI48" s="13">
        <f>IF('Données projet'!$A$62&gt;35,AI47+AH48-AQ47,IF(A48&lt;'Données projet'!$A$62,$AF$205^A48,IF(A48='Données projet'!$A$62,'Données projet'!$B$62,AI47+AH48-AQ47)))</f>
        <v>342.99999999999983</v>
      </c>
      <c r="AJ48" s="13">
        <f>AI48*VLOOKUP('Données projet'!$B$10,Paramètres!$A$1:$I$89,3,0)*VLOOKUP('Données projet'!$B$10,Paramètres!$A$1:$I$89,5,0)</f>
        <v>205.11399999999989</v>
      </c>
      <c r="AK48" s="13">
        <f t="shared" si="35"/>
        <v>50.86641328088502</v>
      </c>
      <c r="AL48" s="20">
        <f t="shared" si="4"/>
        <v>445.83255313087449</v>
      </c>
      <c r="AM48" s="59">
        <f t="shared" si="5"/>
        <v>739.1658864642078</v>
      </c>
      <c r="AN48" s="59">
        <f ca="1">AVERAGE(OFFSET($AM$3,0,0,'Données projet'!$E$10+1,1))-AVERAGE(OFFSET($H$3,0,0,'Données projet'!$E$10+1,1))</f>
        <v>318.09371753144256</v>
      </c>
      <c r="AO48" s="59">
        <f t="shared" si="36"/>
        <v>298.61479562586919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2.5992932237819057</v>
      </c>
      <c r="AV48" s="21">
        <f>EXP(-LN(2)/25)*AV47+(1-EXP(-LN(2)/25))/(LN(2)/25)*Calculateur!AQ48*Calculateur!AS48*VLOOKUP('Données projet'!$B$10,Paramètres!$A$1:$I$89,3,0)*0.475*44/12</f>
        <v>13.634497311583191</v>
      </c>
      <c r="AW48" s="21">
        <f>EXP(-LN(2)/2)*AW47+(1-EXP(-LN(2)/2))/(LN(2)/2)*AQ48*AT48*VLOOKUP('Données projet'!$B$10,Paramètres!$A$1:$I$89,3,0)*0.475*44/12</f>
        <v>0.16711163740669951</v>
      </c>
      <c r="AX48" s="21">
        <f t="shared" si="6"/>
        <v>16.400902172771794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7.7</v>
      </c>
      <c r="BD48" s="12">
        <f>IF('Données projet'!$A$88&gt;35,BD47+BC48-BL47,IF(A48&lt;'Données projet'!$A$88,$BA$205^A48,IF(A48='Données projet'!$A$88,'Données projet'!$B$88,BD47+BC48-BL47)))</f>
        <v>202.4999999999998</v>
      </c>
      <c r="BE48" s="13">
        <f>BD48*VLOOKUP('Données projet'!$B$11,Paramètres!$A$1:$I$89,3,0)*VLOOKUP('Données projet'!$B$11,Paramètres!$A$1:$I$89,5,0)</f>
        <v>164.26799999999986</v>
      </c>
      <c r="BF48" s="13">
        <f t="shared" si="37"/>
        <v>41.803694835525619</v>
      </c>
      <c r="BG48" s="20">
        <f t="shared" si="7"/>
        <v>358.90820183854021</v>
      </c>
      <c r="BH48" s="59">
        <f t="shared" si="8"/>
        <v>652.24153517187347</v>
      </c>
      <c r="BI48" s="59">
        <f ca="1">AVERAGE(OFFSET($BH$3,0,0,'Données projet'!$E$11+1,1))-AVERAGE(OFFSET($H$3,0,0,'Données projet'!$E$11+1,1))</f>
        <v>230.68538392491388</v>
      </c>
      <c r="BJ48" s="59">
        <f t="shared" si="38"/>
        <v>267.97457956620724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5.612115470146767</v>
      </c>
      <c r="BR48" s="21">
        <f>EXP(-LN(2)/2)*BR47+(1-EXP(-LN(2)/2))/(LN(2)/2)*BL48*BO48*VLOOKUP('Données projet'!$B$11,Paramètres!$A$1:$I$89,3,0)*0.475*44/12</f>
        <v>6.0615454600339021E-2</v>
      </c>
      <c r="BS48" s="22">
        <f t="shared" si="9"/>
        <v>5.6727309247471061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5.6</v>
      </c>
      <c r="BY48" s="12">
        <f>IF('Données projet'!$A$114&gt;35,BY47+BX48-CG47,IF(A48&lt;'Données projet'!$A$114,$BV$205^A48,IF(A48='Données projet'!$A$114,'Données projet'!$B$114,BY47+BX48-CG47)))</f>
        <v>106.99999999999999</v>
      </c>
      <c r="BZ48" s="13">
        <f>BY48*VLOOKUP('Données projet'!$B$12,Paramètres!$A$1:$I$89,3,0)*VLOOKUP('Données projet'!$B$12,Paramètres!$A$1:$I$89,5,0)</f>
        <v>121.85159999999998</v>
      </c>
      <c r="CA48" s="13">
        <f t="shared" si="39"/>
        <v>32.106468978964038</v>
      </c>
      <c r="CB48" s="20">
        <f t="shared" si="10"/>
        <v>268.14363680502896</v>
      </c>
      <c r="CC48" s="59">
        <f t="shared" si="11"/>
        <v>561.47697013836228</v>
      </c>
      <c r="CD48" s="59">
        <f ca="1">AVERAGE(OFFSET($CC$3,0,0,'Données projet'!$E$12+1,1))-AVERAGE(OFFSET($H$3,0,0,'Données projet'!$E$12+1,1))</f>
        <v>242.1473060698724</v>
      </c>
      <c r="CE48" s="59">
        <f t="shared" si="40"/>
        <v>96.127995920458659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>
        <f>CT48*VLOOKUP('Données projet'!$B$13,Paramètres!$A$1:$I$89,3,0)*VLOOKUP('Données projet'!$B$13,Paramètres!$A$1:$I$89,5,0)</f>
        <v>0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0</v>
      </c>
      <c r="CZ48" s="59">
        <f t="shared" si="42"/>
        <v>0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>
        <f>DO48*VLOOKUP('Données projet'!$B$14,Paramètres!$A$1:$I$89,3,0)*VLOOKUP('Données projet'!$B$14,Paramètres!$A$1:$I$89,5,0)</f>
        <v>0</v>
      </c>
      <c r="DQ48" s="13" t="e">
        <f t="shared" si="43"/>
        <v>#NUM!</v>
      </c>
      <c r="DR48" s="20" t="e">
        <f t="shared" si="16"/>
        <v>#NUM!</v>
      </c>
      <c r="DS48" s="59" t="e">
        <f t="shared" si="17"/>
        <v>#NUM!</v>
      </c>
      <c r="DT48" s="59">
        <f ca="1">AVERAGE(OFFSET($DS$3,0,0,'Données projet'!$E$14+1,1))-AVERAGE(OFFSET($H$3,0,0,'Données projet'!$E$14+1,1))</f>
        <v>0</v>
      </c>
      <c r="DU48" s="59">
        <f t="shared" si="44"/>
        <v>0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2.2737367544323206E-13</v>
      </c>
      <c r="O49" s="13">
        <f>N49*VLOOKUP('Données projet'!$B$9,Paramètres!$A$1:$I$89,3,0)*VLOOKUP('Données projet'!$B$9,Paramètres!$A$1:$I$89,5,0)</f>
        <v>1.3596945791505279E-13</v>
      </c>
      <c r="P49" s="13">
        <f t="shared" si="33"/>
        <v>1.9708830566360721E-12</v>
      </c>
      <c r="Q49" s="20">
        <f t="shared" si="53"/>
        <v>3.669434796176543E-12</v>
      </c>
      <c r="R49" s="59">
        <f t="shared" si="0"/>
        <v>293.33333333333701</v>
      </c>
      <c r="S49" s="59">
        <f ca="1">AVERAGE(OFFSET($R$3,0,0,'Données projet'!$E$9+1,1))-AVERAGE(OFFSET($H$3,0,0,'Données projet'!$E$9+1,1))</f>
        <v>212.98969326021802</v>
      </c>
      <c r="T49" s="59">
        <f t="shared" si="34"/>
        <v>422.91218020922895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54.290297822438433</v>
      </c>
      <c r="AA49" s="21">
        <f>EXP(-LN(2)/25)*AA48+(1-EXP(-LN(2)/25))/(LN(2)/25)*Calculateur!V49*Calculateur!X49*VLOOKUP('Données projet'!$B$9,Paramètres!$A$1:$I$89,3,0)*0.475*44/12</f>
        <v>43.344426358722977</v>
      </c>
      <c r="AB49" s="21">
        <f>EXP(-LN(2)/2)*AB48+(1-EXP(-LN(2)/2))/(LN(2)/2)*V49*Y49*VLOOKUP('Données projet'!$B$9,Paramètres!$A$1:$I$89,3,0)*0.475*44/12</f>
        <v>2.0044458714067637</v>
      </c>
      <c r="AC49" s="22">
        <f t="shared" si="3"/>
        <v>99.639170052568161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18.399999999999999</v>
      </c>
      <c r="AI49" s="13">
        <f>IF('Données projet'!$A$62&gt;35,AI48+AH49-AQ48,IF(A49&lt;'Données projet'!$A$62,$AF$205^A49,IF(A49='Données projet'!$A$62,'Données projet'!$B$62,AI48+AH49-AQ48)))</f>
        <v>361.39999999999981</v>
      </c>
      <c r="AJ49" s="13">
        <f>AI49*VLOOKUP('Données projet'!$B$10,Paramètres!$A$1:$I$89,3,0)*VLOOKUP('Données projet'!$B$10,Paramètres!$A$1:$I$89,5,0)</f>
        <v>216.11719999999988</v>
      </c>
      <c r="AK49" s="13">
        <f t="shared" si="35"/>
        <v>53.270105735396356</v>
      </c>
      <c r="AL49" s="20">
        <f t="shared" si="4"/>
        <v>469.18289082248174</v>
      </c>
      <c r="AM49" s="59">
        <f t="shared" si="5"/>
        <v>762.51622415581505</v>
      </c>
      <c r="AN49" s="59">
        <f ca="1">AVERAGE(OFFSET($AM$3,0,0,'Données projet'!$E$10+1,1))-AVERAGE(OFFSET($H$3,0,0,'Données projet'!$E$10+1,1))</f>
        <v>318.09371753144256</v>
      </c>
      <c r="AO49" s="59">
        <f t="shared" si="36"/>
        <v>298.61479562586919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2.5483226690758625</v>
      </c>
      <c r="AV49" s="21">
        <f>EXP(-LN(2)/25)*AV48+(1-EXP(-LN(2)/25))/(LN(2)/25)*Calculateur!AQ49*Calculateur!AS49*VLOOKUP('Données projet'!$B$10,Paramètres!$A$1:$I$89,3,0)*0.475*44/12</f>
        <v>13.261661265590897</v>
      </c>
      <c r="AW49" s="21">
        <f>EXP(-LN(2)/2)*AW48+(1-EXP(-LN(2)/2))/(LN(2)/2)*AQ49*AT49*VLOOKUP('Données projet'!$B$10,Paramètres!$A$1:$I$89,3,0)*0.475*44/12</f>
        <v>0.11816577202546476</v>
      </c>
      <c r="AX49" s="21">
        <f t="shared" si="6"/>
        <v>15.928149706692224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7.7</v>
      </c>
      <c r="BD49" s="12">
        <f>IF('Données projet'!$A$88&gt;35,BD48+BC49-BL48,IF(A49&lt;'Données projet'!$A$88,$BA$205^A49,IF(A49='Données projet'!$A$88,'Données projet'!$B$88,BD48+BC49-BL48)))</f>
        <v>210.19999999999979</v>
      </c>
      <c r="BE49" s="13">
        <f>BD49*VLOOKUP('Données projet'!$B$11,Paramètres!$A$1:$I$89,3,0)*VLOOKUP('Données projet'!$B$11,Paramètres!$A$1:$I$89,5,0)</f>
        <v>170.51423999999983</v>
      </c>
      <c r="BF49" s="13">
        <f t="shared" si="37"/>
        <v>43.20517598524669</v>
      </c>
      <c r="BG49" s="20">
        <f t="shared" si="7"/>
        <v>372.22798284097098</v>
      </c>
      <c r="BH49" s="59">
        <f t="shared" si="8"/>
        <v>665.56131617430424</v>
      </c>
      <c r="BI49" s="59">
        <f ca="1">AVERAGE(OFFSET($BH$3,0,0,'Données projet'!$E$11+1,1))-AVERAGE(OFFSET($H$3,0,0,'Données projet'!$E$11+1,1))</f>
        <v>230.68538392491388</v>
      </c>
      <c r="BJ49" s="59">
        <f t="shared" si="38"/>
        <v>267.97457956620724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5.4586518774872781</v>
      </c>
      <c r="BR49" s="21">
        <f>EXP(-LN(2)/2)*BR48+(1-EXP(-LN(2)/2))/(LN(2)/2)*BL49*BO49*VLOOKUP('Données projet'!$B$11,Paramètres!$A$1:$I$89,3,0)*0.475*44/12</f>
        <v>4.2861598992605034E-2</v>
      </c>
      <c r="BS49" s="22">
        <f t="shared" si="9"/>
        <v>5.5015134764798832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5.6</v>
      </c>
      <c r="BY49" s="12">
        <f>IF('Données projet'!$A$114&gt;35,BY48+BX49-CG48,IF(A49&lt;'Données projet'!$A$114,$BV$205^A49,IF(A49='Données projet'!$A$114,'Données projet'!$B$114,BY48+BX49-CG48)))</f>
        <v>112.59999999999998</v>
      </c>
      <c r="BZ49" s="13">
        <f>BY49*VLOOKUP('Données projet'!$B$12,Paramètres!$A$1:$I$89,3,0)*VLOOKUP('Données projet'!$B$12,Paramètres!$A$1:$I$89,5,0)</f>
        <v>128.22887999999998</v>
      </c>
      <c r="CA49" s="13">
        <f t="shared" si="39"/>
        <v>33.586779340295337</v>
      </c>
      <c r="CB49" s="20">
        <f t="shared" si="10"/>
        <v>281.82894001768102</v>
      </c>
      <c r="CC49" s="59">
        <f t="shared" si="11"/>
        <v>575.16227335101439</v>
      </c>
      <c r="CD49" s="59">
        <f ca="1">AVERAGE(OFFSET($CC$3,0,0,'Données projet'!$E$12+1,1))-AVERAGE(OFFSET($H$3,0,0,'Données projet'!$E$12+1,1))</f>
        <v>242.1473060698724</v>
      </c>
      <c r="CE49" s="59">
        <f t="shared" si="40"/>
        <v>96.127995920458659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0</v>
      </c>
      <c r="CZ49" s="59">
        <f t="shared" si="42"/>
        <v>0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>
        <f>DO49*VLOOKUP('Données projet'!$B$14,Paramètres!$A$1:$I$89,3,0)*VLOOKUP('Données projet'!$B$14,Paramètres!$A$1:$I$89,5,0)</f>
        <v>0</v>
      </c>
      <c r="DQ49" s="13" t="e">
        <f t="shared" si="43"/>
        <v>#NUM!</v>
      </c>
      <c r="DR49" s="20" t="e">
        <f t="shared" si="16"/>
        <v>#NUM!</v>
      </c>
      <c r="DS49" s="59" t="e">
        <f t="shared" si="17"/>
        <v>#NUM!</v>
      </c>
      <c r="DT49" s="59">
        <f ca="1">AVERAGE(OFFSET($DS$3,0,0,'Données projet'!$E$14+1,1))-AVERAGE(OFFSET($H$3,0,0,'Données projet'!$E$14+1,1))</f>
        <v>0</v>
      </c>
      <c r="DU49" s="59">
        <f t="shared" si="44"/>
        <v>0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2.2737367544323206E-13</v>
      </c>
      <c r="O50" s="13">
        <f>N50*VLOOKUP('Données projet'!$B$9,Paramètres!$A$1:$I$89,3,0)*VLOOKUP('Données projet'!$B$9,Paramètres!$A$1:$I$89,5,0)</f>
        <v>1.3596945791505279E-13</v>
      </c>
      <c r="P50" s="13">
        <f t="shared" si="33"/>
        <v>1.9708830566360721E-12</v>
      </c>
      <c r="Q50" s="20">
        <f t="shared" si="53"/>
        <v>3.669434796176543E-12</v>
      </c>
      <c r="R50" s="59">
        <f t="shared" si="0"/>
        <v>293.33333333333701</v>
      </c>
      <c r="S50" s="59">
        <f ca="1">AVERAGE(OFFSET($R$3,0,0,'Données projet'!$E$9+1,1))-AVERAGE(OFFSET($H$3,0,0,'Données projet'!$E$9+1,1))</f>
        <v>212.98969326021802</v>
      </c>
      <c r="T50" s="59">
        <f t="shared" si="34"/>
        <v>422.91218020922895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53.225698195952369</v>
      </c>
      <c r="AA50" s="21">
        <f>EXP(-LN(2)/25)*AA49+(1-EXP(-LN(2)/25))/(LN(2)/25)*Calculateur!V50*Calculateur!X50*VLOOKUP('Données projet'!$B$9,Paramètres!$A$1:$I$89,3,0)*0.475*44/12</f>
        <v>42.159170740559382</v>
      </c>
      <c r="AB50" s="21">
        <f>EXP(-LN(2)/2)*AB49+(1-EXP(-LN(2)/2))/(LN(2)/2)*V50*Y50*VLOOKUP('Données projet'!$B$9,Paramètres!$A$1:$I$89,3,0)*0.475*44/12</f>
        <v>1.417357268193101</v>
      </c>
      <c r="AC50" s="22">
        <f t="shared" si="3"/>
        <v>96.802226204704851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18.399999999999999</v>
      </c>
      <c r="AI50" s="13">
        <f>IF('Données projet'!$A$62&gt;35,AI49+AH50-AQ49,IF(A50&lt;'Données projet'!$A$62,$AF$205^A50,IF(A50='Données projet'!$A$62,'Données projet'!$B$62,AI49+AH50-AQ49)))</f>
        <v>379.79999999999978</v>
      </c>
      <c r="AJ50" s="13">
        <f>AI50*VLOOKUP('Données projet'!$B$10,Paramètres!$A$1:$I$89,3,0)*VLOOKUP('Données projet'!$B$10,Paramètres!$A$1:$I$89,5,0)</f>
        <v>227.1203999999999</v>
      </c>
      <c r="AK50" s="13">
        <f t="shared" si="35"/>
        <v>55.65958886510915</v>
      </c>
      <c r="AL50" s="20">
        <f t="shared" si="4"/>
        <v>492.50848060673161</v>
      </c>
      <c r="AM50" s="59">
        <f t="shared" si="5"/>
        <v>785.84181394006487</v>
      </c>
      <c r="AN50" s="59">
        <f ca="1">AVERAGE(OFFSET($AM$3,0,0,'Données projet'!$E$10+1,1))-AVERAGE(OFFSET($H$3,0,0,'Données projet'!$E$10+1,1))</f>
        <v>318.09371753144256</v>
      </c>
      <c r="AO50" s="59">
        <f t="shared" si="36"/>
        <v>298.61479562586919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2.4983516158586361</v>
      </c>
      <c r="AV50" s="21">
        <f>EXP(-LN(2)/25)*AV49+(1-EXP(-LN(2)/25))/(LN(2)/25)*Calculateur!AQ50*Calculateur!AS50*VLOOKUP('Données projet'!$B$10,Paramètres!$A$1:$I$89,3,0)*0.475*44/12</f>
        <v>12.899020440882857</v>
      </c>
      <c r="AW50" s="21">
        <f>EXP(-LN(2)/2)*AW49+(1-EXP(-LN(2)/2))/(LN(2)/2)*AQ50*AT50*VLOOKUP('Données projet'!$B$10,Paramètres!$A$1:$I$89,3,0)*0.475*44/12</f>
        <v>8.3555818703349771E-2</v>
      </c>
      <c r="AX50" s="21">
        <f t="shared" si="6"/>
        <v>15.480927875444843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7.7</v>
      </c>
      <c r="BD50" s="12">
        <f>IF('Données projet'!$A$88&gt;35,BD49+BC50-BL49,IF(A50&lt;'Données projet'!$A$88,$BA$205^A50,IF(A50='Données projet'!$A$88,'Données projet'!$B$88,BD49+BC50-BL49)))</f>
        <v>217.89999999999978</v>
      </c>
      <c r="BE50" s="13">
        <f>BD50*VLOOKUP('Données projet'!$B$11,Paramètres!$A$1:$I$89,3,0)*VLOOKUP('Données projet'!$B$11,Paramètres!$A$1:$I$89,5,0)</f>
        <v>176.76047999999983</v>
      </c>
      <c r="BF50" s="13">
        <f t="shared" si="37"/>
        <v>44.600692617848637</v>
      </c>
      <c r="BG50" s="20">
        <f t="shared" si="7"/>
        <v>385.53737564275275</v>
      </c>
      <c r="BH50" s="59">
        <f t="shared" si="8"/>
        <v>678.87070897608601</v>
      </c>
      <c r="BI50" s="59">
        <f ca="1">AVERAGE(OFFSET($BH$3,0,0,'Données projet'!$E$11+1,1))-AVERAGE(OFFSET($H$3,0,0,'Données projet'!$E$11+1,1))</f>
        <v>230.68538392491388</v>
      </c>
      <c r="BJ50" s="59">
        <f t="shared" si="38"/>
        <v>267.97457956620724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5.3093847548393622</v>
      </c>
      <c r="BR50" s="21">
        <f>EXP(-LN(2)/2)*BR49+(1-EXP(-LN(2)/2))/(LN(2)/2)*BL50*BO50*VLOOKUP('Données projet'!$B$11,Paramètres!$A$1:$I$89,3,0)*0.475*44/12</f>
        <v>3.0307727300169514E-2</v>
      </c>
      <c r="BS50" s="22">
        <f t="shared" si="9"/>
        <v>5.3396924821395322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5.6</v>
      </c>
      <c r="BY50" s="12">
        <f>IF('Données projet'!$A$114&gt;35,BY49+BX50-CG49,IF(A50&lt;'Données projet'!$A$114,$BV$205^A50,IF(A50='Données projet'!$A$114,'Données projet'!$B$114,BY49+BX50-CG49)))</f>
        <v>118.19999999999997</v>
      </c>
      <c r="BZ50" s="13">
        <f>BY50*VLOOKUP('Données projet'!$B$12,Paramètres!$A$1:$I$89,3,0)*VLOOKUP('Données projet'!$B$12,Paramètres!$A$1:$I$89,5,0)</f>
        <v>134.60615999999996</v>
      </c>
      <c r="CA50" s="13">
        <f t="shared" si="39"/>
        <v>35.05854123936858</v>
      </c>
      <c r="CB50" s="20">
        <f t="shared" si="10"/>
        <v>295.49935465856686</v>
      </c>
      <c r="CC50" s="59">
        <f t="shared" si="11"/>
        <v>588.83268799190023</v>
      </c>
      <c r="CD50" s="59">
        <f ca="1">AVERAGE(OFFSET($CC$3,0,0,'Données projet'!$E$12+1,1))-AVERAGE(OFFSET($H$3,0,0,'Données projet'!$E$12+1,1))</f>
        <v>242.1473060698724</v>
      </c>
      <c r="CE50" s="59">
        <f t="shared" si="40"/>
        <v>96.127995920458659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0</v>
      </c>
      <c r="CZ50" s="59">
        <f t="shared" si="42"/>
        <v>0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>
        <f>DO50*VLOOKUP('Données projet'!$B$14,Paramètres!$A$1:$I$89,3,0)*VLOOKUP('Données projet'!$B$14,Paramètres!$A$1:$I$89,5,0)</f>
        <v>0</v>
      </c>
      <c r="DQ50" s="13" t="e">
        <f t="shared" si="43"/>
        <v>#NUM!</v>
      </c>
      <c r="DR50" s="20" t="e">
        <f t="shared" si="16"/>
        <v>#NUM!</v>
      </c>
      <c r="DS50" s="59" t="e">
        <f t="shared" si="17"/>
        <v>#NUM!</v>
      </c>
      <c r="DT50" s="59">
        <f ca="1">AVERAGE(OFFSET($DS$3,0,0,'Données projet'!$E$14+1,1))-AVERAGE(OFFSET($H$3,0,0,'Données projet'!$E$14+1,1))</f>
        <v>0</v>
      </c>
      <c r="DU50" s="59">
        <f t="shared" si="44"/>
        <v>0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2.2737367544323206E-13</v>
      </c>
      <c r="O51" s="13">
        <f>N51*VLOOKUP('Données projet'!$B$9,Paramètres!$A$1:$I$89,3,0)*VLOOKUP('Données projet'!$B$9,Paramètres!$A$1:$I$89,5,0)</f>
        <v>1.3596945791505279E-13</v>
      </c>
      <c r="P51" s="13">
        <f t="shared" si="33"/>
        <v>1.9708830566360721E-12</v>
      </c>
      <c r="Q51" s="20">
        <f t="shared" si="53"/>
        <v>3.669434796176543E-12</v>
      </c>
      <c r="R51" s="59">
        <f t="shared" si="0"/>
        <v>293.33333333333701</v>
      </c>
      <c r="S51" s="59">
        <f ca="1">AVERAGE(OFFSET($R$3,0,0,'Données projet'!$E$9+1,1))-AVERAGE(OFFSET($H$3,0,0,'Données projet'!$E$9+1,1))</f>
        <v>212.98969326021802</v>
      </c>
      <c r="T51" s="59">
        <f t="shared" si="34"/>
        <v>422.91218020922895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52.181974718800042</v>
      </c>
      <c r="AA51" s="21">
        <f>EXP(-LN(2)/25)*AA50+(1-EXP(-LN(2)/25))/(LN(2)/25)*Calculateur!V51*Calculateur!X51*VLOOKUP('Données projet'!$B$9,Paramètres!$A$1:$I$89,3,0)*0.475*44/12</f>
        <v>41.00632599960435</v>
      </c>
      <c r="AB51" s="21">
        <f>EXP(-LN(2)/2)*AB50+(1-EXP(-LN(2)/2))/(LN(2)/2)*V51*Y51*VLOOKUP('Données projet'!$B$9,Paramètres!$A$1:$I$89,3,0)*0.475*44/12</f>
        <v>1.0022229357033818</v>
      </c>
      <c r="AC51" s="22">
        <f t="shared" si="3"/>
        <v>94.190523654107778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18.399999999999999</v>
      </c>
      <c r="AI51" s="13">
        <f>IF('Données projet'!$A$62&gt;35,AI50+AH51-AQ50,IF(A51&lt;'Données projet'!$A$62,$AF$205^A51,IF(A51='Données projet'!$A$62,'Données projet'!$B$62,AI50+AH51-AQ50)))</f>
        <v>398.19999999999976</v>
      </c>
      <c r="AJ51" s="13">
        <f>AI51*VLOOKUP('Données projet'!$B$10,Paramètres!$A$1:$I$89,3,0)*VLOOKUP('Données projet'!$B$10,Paramètres!$A$1:$I$89,5,0)</f>
        <v>238.1235999999999</v>
      </c>
      <c r="AK51" s="13">
        <f t="shared" si="35"/>
        <v>58.035629642885148</v>
      </c>
      <c r="AL51" s="20">
        <f t="shared" si="4"/>
        <v>515.81065829469151</v>
      </c>
      <c r="AM51" s="59">
        <f t="shared" si="5"/>
        <v>809.14399162802488</v>
      </c>
      <c r="AN51" s="59">
        <f ca="1">AVERAGE(OFFSET($AM$3,0,0,'Données projet'!$E$10+1,1))-AVERAGE(OFFSET($H$3,0,0,'Données projet'!$E$10+1,1))</f>
        <v>318.09371753144256</v>
      </c>
      <c r="AO51" s="59">
        <f t="shared" si="36"/>
        <v>298.61479562586919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2.4493604645156668</v>
      </c>
      <c r="AV51" s="21">
        <f>EXP(-LN(2)/25)*AV50+(1-EXP(-LN(2)/25))/(LN(2)/25)*Calculateur!AQ51*Calculateur!AS51*VLOOKUP('Données projet'!$B$10,Paramètres!$A$1:$I$89,3,0)*0.475*44/12</f>
        <v>12.546296048596911</v>
      </c>
      <c r="AW51" s="21">
        <f>EXP(-LN(2)/2)*AW50+(1-EXP(-LN(2)/2))/(LN(2)/2)*AQ51*AT51*VLOOKUP('Données projet'!$B$10,Paramètres!$A$1:$I$89,3,0)*0.475*44/12</f>
        <v>5.9082886012732386E-2</v>
      </c>
      <c r="AX51" s="21">
        <f t="shared" si="6"/>
        <v>15.05473939912531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7.7</v>
      </c>
      <c r="BD51" s="12">
        <f>IF('Données projet'!$A$88&gt;35,BD50+BC51-BL50,IF(A51&lt;'Données projet'!$A$88,$BA$205^A51,IF(A51='Données projet'!$A$88,'Données projet'!$B$88,BD50+BC51-BL50)))</f>
        <v>225.59999999999977</v>
      </c>
      <c r="BE51" s="13">
        <f>BD51*VLOOKUP('Données projet'!$B$11,Paramètres!$A$1:$I$89,3,0)*VLOOKUP('Données projet'!$B$11,Paramètres!$A$1:$I$89,5,0)</f>
        <v>183.00671999999983</v>
      </c>
      <c r="BF51" s="13">
        <f t="shared" si="37"/>
        <v>45.990479653087661</v>
      </c>
      <c r="BG51" s="20">
        <f t="shared" si="7"/>
        <v>398.83678939579403</v>
      </c>
      <c r="BH51" s="59">
        <f t="shared" si="8"/>
        <v>692.17012272912734</v>
      </c>
      <c r="BI51" s="59">
        <f ca="1">AVERAGE(OFFSET($BH$3,0,0,'Données projet'!$E$11+1,1))-AVERAGE(OFFSET($H$3,0,0,'Données projet'!$E$11+1,1))</f>
        <v>230.68538392491388</v>
      </c>
      <c r="BJ51" s="59">
        <f t="shared" si="38"/>
        <v>267.97457956620724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5.1641993495098708</v>
      </c>
      <c r="BR51" s="21">
        <f>EXP(-LN(2)/2)*BR50+(1-EXP(-LN(2)/2))/(LN(2)/2)*BL51*BO51*VLOOKUP('Données projet'!$B$11,Paramètres!$A$1:$I$89,3,0)*0.475*44/12</f>
        <v>2.143079949630252E-2</v>
      </c>
      <c r="BS51" s="22">
        <f t="shared" si="9"/>
        <v>5.1856301490061734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5.6</v>
      </c>
      <c r="BY51" s="12">
        <f>IF('Données projet'!$A$114&gt;35,BY50+BX51-CG50,IF(A51&lt;'Données projet'!$A$114,$BV$205^A51,IF(A51='Données projet'!$A$114,'Données projet'!$B$114,BY50+BX51-CG50)))</f>
        <v>123.79999999999997</v>
      </c>
      <c r="BZ51" s="13">
        <f>BY51*VLOOKUP('Données projet'!$B$12,Paramètres!$A$1:$I$89,3,0)*VLOOKUP('Données projet'!$B$12,Paramètres!$A$1:$I$89,5,0)</f>
        <v>140.98343999999997</v>
      </c>
      <c r="CA51" s="13">
        <f t="shared" si="39"/>
        <v>36.522205922710093</v>
      </c>
      <c r="CB51" s="20">
        <f t="shared" si="10"/>
        <v>309.15566664872</v>
      </c>
      <c r="CC51" s="59">
        <f t="shared" si="11"/>
        <v>602.48899998205331</v>
      </c>
      <c r="CD51" s="59">
        <f ca="1">AVERAGE(OFFSET($CC$3,0,0,'Données projet'!$E$12+1,1))-AVERAGE(OFFSET($H$3,0,0,'Données projet'!$E$12+1,1))</f>
        <v>242.1473060698724</v>
      </c>
      <c r="CE51" s="59">
        <f t="shared" si="40"/>
        <v>96.127995920458659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0</v>
      </c>
      <c r="CZ51" s="59">
        <f t="shared" si="42"/>
        <v>0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>
        <f>DO51*VLOOKUP('Données projet'!$B$14,Paramètres!$A$1:$I$89,3,0)*VLOOKUP('Données projet'!$B$14,Paramètres!$A$1:$I$89,5,0)</f>
        <v>0</v>
      </c>
      <c r="DQ51" s="13" t="e">
        <f t="shared" si="43"/>
        <v>#NUM!</v>
      </c>
      <c r="DR51" s="20" t="e">
        <f t="shared" si="16"/>
        <v>#NUM!</v>
      </c>
      <c r="DS51" s="59" t="e">
        <f t="shared" si="17"/>
        <v>#NUM!</v>
      </c>
      <c r="DT51" s="59">
        <f ca="1">AVERAGE(OFFSET($DS$3,0,0,'Données projet'!$E$14+1,1))-AVERAGE(OFFSET($H$3,0,0,'Données projet'!$E$14+1,1))</f>
        <v>0</v>
      </c>
      <c r="DU51" s="59">
        <f t="shared" si="44"/>
        <v>0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2.2737367544323206E-13</v>
      </c>
      <c r="O52" s="13">
        <f>N52*VLOOKUP('Données projet'!$B$9,Paramètres!$A$1:$I$89,3,0)*VLOOKUP('Données projet'!$B$9,Paramètres!$A$1:$I$89,5,0)</f>
        <v>1.3596945791505279E-13</v>
      </c>
      <c r="P52" s="13">
        <f t="shared" si="33"/>
        <v>1.9708830566360721E-12</v>
      </c>
      <c r="Q52" s="20">
        <f t="shared" si="53"/>
        <v>3.669434796176543E-12</v>
      </c>
      <c r="R52" s="59">
        <f t="shared" si="0"/>
        <v>293.33333333333701</v>
      </c>
      <c r="S52" s="59">
        <f ca="1">AVERAGE(OFFSET($R$3,0,0,'Données projet'!$E$9+1,1))-AVERAGE(OFFSET($H$3,0,0,'Données projet'!$E$9+1,1))</f>
        <v>212.98969326021802</v>
      </c>
      <c r="T52" s="59">
        <f t="shared" si="34"/>
        <v>422.91218020922895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51.158718022426214</v>
      </c>
      <c r="AA52" s="21">
        <f>EXP(-LN(2)/25)*AA51+(1-EXP(-LN(2)/25))/(LN(2)/25)*Calculateur!V52*Calculateur!X52*VLOOKUP('Données projet'!$B$9,Paramètres!$A$1:$I$89,3,0)*0.475*44/12</f>
        <v>39.885005858716205</v>
      </c>
      <c r="AB52" s="21">
        <f>EXP(-LN(2)/2)*AB51+(1-EXP(-LN(2)/2))/(LN(2)/2)*V52*Y52*VLOOKUP('Données projet'!$B$9,Paramètres!$A$1:$I$89,3,0)*0.475*44/12</f>
        <v>0.70867863409655052</v>
      </c>
      <c r="AC52" s="22">
        <f t="shared" si="3"/>
        <v>91.752402515238984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18.399999999999999</v>
      </c>
      <c r="AI52" s="13">
        <f>IF('Données projet'!$A$62&gt;35,AI51+AH52-AQ51,IF(A52&lt;'Données projet'!$A$62,$AF$205^A52,IF(A52='Données projet'!$A$62,'Données projet'!$B$62,AI51+AH52-AQ51)))</f>
        <v>416.59999999999974</v>
      </c>
      <c r="AJ52" s="13">
        <f>AI52*VLOOKUP('Données projet'!$B$10,Paramètres!$A$1:$I$89,3,0)*VLOOKUP('Données projet'!$B$10,Paramètres!$A$1:$I$89,5,0)</f>
        <v>249.12679999999986</v>
      </c>
      <c r="AK52" s="13">
        <f t="shared" si="35"/>
        <v>60.398920155067053</v>
      </c>
      <c r="AL52" s="20">
        <f t="shared" si="4"/>
        <v>539.09062927007483</v>
      </c>
      <c r="AM52" s="59">
        <f t="shared" si="5"/>
        <v>832.4239626034082</v>
      </c>
      <c r="AN52" s="59">
        <f ca="1">AVERAGE(OFFSET($AM$3,0,0,'Données projet'!$E$10+1,1))-AVERAGE(OFFSET($H$3,0,0,'Données projet'!$E$10+1,1))</f>
        <v>318.09371753144256</v>
      </c>
      <c r="AO52" s="59">
        <f t="shared" si="36"/>
        <v>298.61479562586919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2.4013299997688815</v>
      </c>
      <c r="AV52" s="21">
        <f>EXP(-LN(2)/25)*AV51+(1-EXP(-LN(2)/25))/(LN(2)/25)*Calculateur!AQ52*Calculateur!AS52*VLOOKUP('Données projet'!$B$10,Paramètres!$A$1:$I$89,3,0)*0.475*44/12</f>
        <v>12.203216923366995</v>
      </c>
      <c r="AW52" s="21">
        <f>EXP(-LN(2)/2)*AW51+(1-EXP(-LN(2)/2))/(LN(2)/2)*AQ52*AT52*VLOOKUP('Données projet'!$B$10,Paramètres!$A$1:$I$89,3,0)*0.475*44/12</f>
        <v>4.1777909351674893E-2</v>
      </c>
      <c r="AX52" s="21">
        <f t="shared" si="6"/>
        <v>14.646324832487551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7.7</v>
      </c>
      <c r="BD52" s="12">
        <f>IF('Données projet'!$A$88&gt;35,BD51+BC52-BL51,IF(A52&lt;'Données projet'!$A$88,$BA$205^A52,IF(A52='Données projet'!$A$88,'Données projet'!$B$88,BD51+BC52-BL51)))</f>
        <v>233.29999999999976</v>
      </c>
      <c r="BE52" s="13">
        <f>BD52*VLOOKUP('Données projet'!$B$11,Paramètres!$A$1:$I$89,3,0)*VLOOKUP('Données projet'!$B$11,Paramètres!$A$1:$I$89,5,0)</f>
        <v>189.2529599999998</v>
      </c>
      <c r="BF52" s="13">
        <f t="shared" si="37"/>
        <v>47.374755064875977</v>
      </c>
      <c r="BG52" s="20">
        <f t="shared" si="7"/>
        <v>412.12660373799196</v>
      </c>
      <c r="BH52" s="59">
        <f t="shared" si="8"/>
        <v>705.45993707132527</v>
      </c>
      <c r="BI52" s="59">
        <f ca="1">AVERAGE(OFFSET($BH$3,0,0,'Données projet'!$E$11+1,1))-AVERAGE(OFFSET($H$3,0,0,'Données projet'!$E$11+1,1))</f>
        <v>230.68538392491388</v>
      </c>
      <c r="BJ52" s="59">
        <f t="shared" si="38"/>
        <v>267.97457956620724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5.0229840467240825</v>
      </c>
      <c r="BR52" s="21">
        <f>EXP(-LN(2)/2)*BR51+(1-EXP(-LN(2)/2))/(LN(2)/2)*BL52*BO52*VLOOKUP('Données projet'!$B$11,Paramètres!$A$1:$I$89,3,0)*0.475*44/12</f>
        <v>1.515386365008476E-2</v>
      </c>
      <c r="BS52" s="22">
        <f t="shared" si="9"/>
        <v>5.038137910374167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5.6</v>
      </c>
      <c r="BY52" s="12">
        <f>IF('Données projet'!$A$114&gt;35,BY51+BX52-CG51,IF(A52&lt;'Données projet'!$A$114,$BV$205^A52,IF(A52='Données projet'!$A$114,'Données projet'!$B$114,BY51+BX52-CG51)))</f>
        <v>129.39999999999998</v>
      </c>
      <c r="BZ52" s="13">
        <f>BY52*VLOOKUP('Données projet'!$B$12,Paramètres!$A$1:$I$89,3,0)*VLOOKUP('Données projet'!$B$12,Paramètres!$A$1:$I$89,5,0)</f>
        <v>147.36071999999996</v>
      </c>
      <c r="CA52" s="13">
        <f t="shared" si="39"/>
        <v>37.978181505546587</v>
      </c>
      <c r="CB52" s="20">
        <f t="shared" si="10"/>
        <v>322.79858678882687</v>
      </c>
      <c r="CC52" s="59">
        <f t="shared" si="11"/>
        <v>616.13192012216018</v>
      </c>
      <c r="CD52" s="59">
        <f ca="1">AVERAGE(OFFSET($CC$3,0,0,'Données projet'!$E$12+1,1))-AVERAGE(OFFSET($H$3,0,0,'Données projet'!$E$12+1,1))</f>
        <v>242.1473060698724</v>
      </c>
      <c r="CE52" s="59">
        <f t="shared" si="40"/>
        <v>96.127995920458659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0</v>
      </c>
      <c r="CZ52" s="59">
        <f t="shared" si="42"/>
        <v>0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>
        <f>DO52*VLOOKUP('Données projet'!$B$14,Paramètres!$A$1:$I$89,3,0)*VLOOKUP('Données projet'!$B$14,Paramètres!$A$1:$I$89,5,0)</f>
        <v>0</v>
      </c>
      <c r="DQ52" s="13" t="e">
        <f t="shared" si="43"/>
        <v>#NUM!</v>
      </c>
      <c r="DR52" s="20" t="e">
        <f t="shared" si="16"/>
        <v>#NUM!</v>
      </c>
      <c r="DS52" s="59" t="e">
        <f t="shared" si="17"/>
        <v>#NUM!</v>
      </c>
      <c r="DT52" s="59">
        <f ca="1">AVERAGE(OFFSET($DS$3,0,0,'Données projet'!$E$14+1,1))-AVERAGE(OFFSET($H$3,0,0,'Données projet'!$E$14+1,1))</f>
        <v>0</v>
      </c>
      <c r="DU52" s="59">
        <f t="shared" si="44"/>
        <v>0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2.2737367544323206E-13</v>
      </c>
      <c r="O53" s="13">
        <f>N53*VLOOKUP('Données projet'!$B$9,Paramètres!$A$1:$I$89,3,0)*VLOOKUP('Données projet'!$B$9,Paramètres!$A$1:$I$89,5,0)</f>
        <v>1.3596945791505279E-13</v>
      </c>
      <c r="P53" s="13">
        <f t="shared" si="33"/>
        <v>1.9708830566360721E-12</v>
      </c>
      <c r="Q53" s="20">
        <f t="shared" si="53"/>
        <v>3.669434796176543E-12</v>
      </c>
      <c r="R53" s="59">
        <f t="shared" si="0"/>
        <v>293.33333333333701</v>
      </c>
      <c r="S53" s="59">
        <f ca="1">AVERAGE(OFFSET($R$3,0,0,'Données projet'!$E$9+1,1))-AVERAGE(OFFSET($H$3,0,0,'Données projet'!$E$9+1,1))</f>
        <v>212.98969326021802</v>
      </c>
      <c r="T53" s="59">
        <f t="shared" si="34"/>
        <v>422.91218020922895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50.155526765743318</v>
      </c>
      <c r="AA53" s="21">
        <f>EXP(-LN(2)/25)*AA52+(1-EXP(-LN(2)/25))/(LN(2)/25)*Calculateur!V53*Calculateur!X53*VLOOKUP('Données projet'!$B$9,Paramètres!$A$1:$I$89,3,0)*0.475*44/12</f>
        <v>38.794348276048311</v>
      </c>
      <c r="AB53" s="21">
        <f>EXP(-LN(2)/2)*AB52+(1-EXP(-LN(2)/2))/(LN(2)/2)*V53*Y53*VLOOKUP('Données projet'!$B$9,Paramètres!$A$1:$I$89,3,0)*0.475*44/12</f>
        <v>0.50111146785169092</v>
      </c>
      <c r="AC53" s="22">
        <f t="shared" si="3"/>
        <v>89.450986509643315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435</v>
      </c>
      <c r="AG53" s="12">
        <f>VLOOKUP(A53,'Données projet'!$A$61:$I$81,9,0)</f>
        <v>18.399999999999999</v>
      </c>
      <c r="AH53" s="12">
        <f t="array" ref="AH53">INDEX(AG:AG,MIN(IF(ISNUMBER(AG53:AG249),ROW(AG53:AG249),"")))</f>
        <v>18.399999999999999</v>
      </c>
      <c r="AI53" s="13">
        <f>IF('Données projet'!$A$62&gt;35,AI52+AH53-AQ52,IF(A53&lt;'Données projet'!$A$62,$AF$205^A53,IF(A53='Données projet'!$A$62,'Données projet'!$B$62,AI52+AH53-AQ52)))</f>
        <v>434.99999999999972</v>
      </c>
      <c r="AJ53" s="13">
        <f>AI53*VLOOKUP('Données projet'!$B$10,Paramètres!$A$1:$I$89,3,0)*VLOOKUP('Données projet'!$B$10,Paramètres!$A$1:$I$89,5,0)</f>
        <v>260.12999999999988</v>
      </c>
      <c r="AK53" s="13">
        <f t="shared" si="35"/>
        <v>62.750087896510983</v>
      </c>
      <c r="AL53" s="20">
        <f t="shared" si="4"/>
        <v>562.34948641975632</v>
      </c>
      <c r="AM53" s="59">
        <f t="shared" si="5"/>
        <v>855.68281975308969</v>
      </c>
      <c r="AN53" s="59">
        <f ca="1">AVERAGE(OFFSET($AM$3,0,0,'Données projet'!$E$10+1,1))-AVERAGE(OFFSET($H$3,0,0,'Données projet'!$E$10+1,1))</f>
        <v>318.09371753144256</v>
      </c>
      <c r="AO53" s="59">
        <f t="shared" si="36"/>
        <v>298.61479562586919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98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2.3542413831400899</v>
      </c>
      <c r="AV53" s="21">
        <f>EXP(-LN(2)/25)*AV52+(1-EXP(-LN(2)/25))/(LN(2)/25)*Calculateur!AQ53*Calculateur!AS53*VLOOKUP('Données projet'!$B$10,Paramètres!$A$1:$I$89,3,0)*0.475*44/12</f>
        <v>11.869519314858238</v>
      </c>
      <c r="AW53" s="21">
        <f>EXP(-LN(2)/2)*AW52+(1-EXP(-LN(2)/2))/(LN(2)/2)*AQ53*AT53*VLOOKUP('Données projet'!$B$10,Paramètres!$A$1:$I$89,3,0)*0.475*44/12</f>
        <v>2.9541443006366196E-2</v>
      </c>
      <c r="AX53" s="21">
        <f t="shared" si="6"/>
        <v>14.253302141004694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241</v>
      </c>
      <c r="BB53" s="12">
        <f>VLOOKUP(A53,'Données projet'!$A$87:$I$107,9,0)</f>
        <v>7.7</v>
      </c>
      <c r="BC53" s="12">
        <f t="array" ref="BC53">INDEX(BB:BB,MIN(IF(ISNUMBER(BB53:BB249),ROW(BB53:BB249),"")))</f>
        <v>7.7</v>
      </c>
      <c r="BD53" s="12">
        <f>IF('Données projet'!$A$88&gt;35,BD52+BC53-BL52,IF(A53&lt;'Données projet'!$A$88,$BA$205^A53,IF(A53='Données projet'!$A$88,'Données projet'!$B$88,BD52+BC53-BL52)))</f>
        <v>240.99999999999974</v>
      </c>
      <c r="BE53" s="13">
        <f>BD53*VLOOKUP('Données projet'!$B$11,Paramètres!$A$1:$I$89,3,0)*VLOOKUP('Données projet'!$B$11,Paramètres!$A$1:$I$89,5,0)</f>
        <v>195.4991999999998</v>
      </c>
      <c r="BF53" s="13">
        <f t="shared" si="37"/>
        <v>48.75372162220922</v>
      </c>
      <c r="BG53" s="20">
        <f t="shared" si="7"/>
        <v>425.4071718253474</v>
      </c>
      <c r="BH53" s="59">
        <f t="shared" si="8"/>
        <v>718.74050515868066</v>
      </c>
      <c r="BI53" s="59">
        <f ca="1">AVERAGE(OFFSET($BH$3,0,0,'Données projet'!$E$11+1,1))-AVERAGE(OFFSET($H$3,0,0,'Données projet'!$E$11+1,1))</f>
        <v>230.68538392491388</v>
      </c>
      <c r="BJ53" s="59">
        <f t="shared" si="38"/>
        <v>267.97457956620724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39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4.8856302838191619</v>
      </c>
      <c r="BR53" s="21">
        <f>EXP(-LN(2)/2)*BR52+(1-EXP(-LN(2)/2))/(LN(2)/2)*BL53*BO53*VLOOKUP('Données projet'!$B$11,Paramètres!$A$1:$I$89,3,0)*0.475*44/12</f>
        <v>1.0715399748151262E-2</v>
      </c>
      <c r="BS53" s="22">
        <f t="shared" si="9"/>
        <v>4.8963456835673131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135</v>
      </c>
      <c r="BW53" s="12">
        <f>VLOOKUP(A53,'Données projet'!$A$113:$I$133,9,0)</f>
        <v>5.6</v>
      </c>
      <c r="BX53" s="12">
        <f t="array" ref="BX53">INDEX(BW:BW,MIN(IF(ISNUMBER(BW53:BW249),ROW(BW53:BW249),"")))</f>
        <v>5.6</v>
      </c>
      <c r="BY53" s="12">
        <f>IF('Données projet'!$A$114&gt;35,BY52+BX53-CG52,IF(A53&lt;'Données projet'!$A$114,$BV$205^A53,IF(A53='Données projet'!$A$114,'Données projet'!$B$114,BY52+BX53-CG52)))</f>
        <v>134.99999999999997</v>
      </c>
      <c r="BZ53" s="13">
        <f>BY53*VLOOKUP('Données projet'!$B$12,Paramètres!$A$1:$I$89,3,0)*VLOOKUP('Données projet'!$B$12,Paramètres!$A$1:$I$89,5,0)</f>
        <v>153.73799999999997</v>
      </c>
      <c r="CA53" s="13">
        <f t="shared" si="39"/>
        <v>39.426838781722438</v>
      </c>
      <c r="CB53" s="20">
        <f t="shared" si="10"/>
        <v>336.42876087816649</v>
      </c>
      <c r="CC53" s="59">
        <f t="shared" si="11"/>
        <v>629.76209421149974</v>
      </c>
      <c r="CD53" s="59">
        <f ca="1">AVERAGE(OFFSET($CC$3,0,0,'Données projet'!$E$12+1,1))-AVERAGE(OFFSET($H$3,0,0,'Données projet'!$E$12+1,1))</f>
        <v>242.1473060698724</v>
      </c>
      <c r="CE53" s="59">
        <f t="shared" si="40"/>
        <v>96.127995920458659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28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0</v>
      </c>
      <c r="CZ53" s="59">
        <f t="shared" si="42"/>
        <v>0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>
        <f>DO53*VLOOKUP('Données projet'!$B$14,Paramètres!$A$1:$I$89,3,0)*VLOOKUP('Données projet'!$B$14,Paramètres!$A$1:$I$89,5,0)</f>
        <v>0</v>
      </c>
      <c r="DQ53" s="13" t="e">
        <f t="shared" si="43"/>
        <v>#NUM!</v>
      </c>
      <c r="DR53" s="20" t="e">
        <f t="shared" si="16"/>
        <v>#NUM!</v>
      </c>
      <c r="DS53" s="59" t="e">
        <f t="shared" si="17"/>
        <v>#NUM!</v>
      </c>
      <c r="DT53" s="59">
        <f ca="1">AVERAGE(OFFSET($DS$3,0,0,'Données projet'!$E$14+1,1))-AVERAGE(OFFSET($H$3,0,0,'Données projet'!$E$14+1,1))</f>
        <v>0</v>
      </c>
      <c r="DU53" s="59">
        <f t="shared" si="44"/>
        <v>0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2.2737367544323206E-13</v>
      </c>
      <c r="O54" s="13">
        <f>N54*VLOOKUP('Données projet'!$B$9,Paramètres!$A$1:$I$89,3,0)*VLOOKUP('Données projet'!$B$9,Paramètres!$A$1:$I$89,5,0)</f>
        <v>1.3596945791505279E-13</v>
      </c>
      <c r="P54" s="13">
        <f t="shared" si="33"/>
        <v>1.9708830566360721E-12</v>
      </c>
      <c r="Q54" s="20">
        <f t="shared" si="53"/>
        <v>3.669434796176543E-12</v>
      </c>
      <c r="R54" s="59">
        <f t="shared" si="0"/>
        <v>293.33333333333701</v>
      </c>
      <c r="S54" s="59">
        <f ca="1">AVERAGE(OFFSET($R$3,0,0,'Données projet'!$E$9+1,1))-AVERAGE(OFFSET($H$3,0,0,'Données projet'!$E$9+1,1))</f>
        <v>212.98969326021802</v>
      </c>
      <c r="T54" s="59">
        <f t="shared" si="34"/>
        <v>422.91218020922895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49.172007477717727</v>
      </c>
      <c r="AA54" s="21">
        <f>EXP(-LN(2)/25)*AA53+(1-EXP(-LN(2)/25))/(LN(2)/25)*Calculateur!V54*Calculateur!X54*VLOOKUP('Données projet'!$B$9,Paramètres!$A$1:$I$89,3,0)*0.475*44/12</f>
        <v>37.733514782333657</v>
      </c>
      <c r="AB54" s="21">
        <f>EXP(-LN(2)/2)*AB53+(1-EXP(-LN(2)/2))/(LN(2)/2)*V54*Y54*VLOOKUP('Données projet'!$B$9,Paramètres!$A$1:$I$89,3,0)*0.475*44/12</f>
        <v>0.35433931704827526</v>
      </c>
      <c r="AC54" s="22">
        <f t="shared" si="3"/>
        <v>87.259861577099656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16.7</v>
      </c>
      <c r="AI54" s="13">
        <f>IF('Données projet'!$A$62&gt;35,AI53+AH54-AQ53,IF(A54&lt;'Données projet'!$A$62,$AF$205^A54,IF(A54='Données projet'!$A$62,'Données projet'!$B$62,AI53+AH54-AQ53)))</f>
        <v>353.6999999999997</v>
      </c>
      <c r="AJ54" s="13">
        <f>AI54*VLOOKUP('Données projet'!$B$10,Paramètres!$A$1:$I$89,3,0)*VLOOKUP('Données projet'!$B$10,Paramètres!$A$1:$I$89,5,0)</f>
        <v>211.51259999999985</v>
      </c>
      <c r="AK54" s="13">
        <f t="shared" si="35"/>
        <v>52.265988659835472</v>
      </c>
      <c r="AL54" s="20">
        <f t="shared" si="4"/>
        <v>459.41437524921321</v>
      </c>
      <c r="AM54" s="59">
        <f t="shared" si="5"/>
        <v>752.74770858254647</v>
      </c>
      <c r="AN54" s="59">
        <f ca="1">AVERAGE(OFFSET($AM$3,0,0,'Données projet'!$E$10+1,1))-AVERAGE(OFFSET($H$3,0,0,'Données projet'!$E$10+1,1))</f>
        <v>318.09371753144256</v>
      </c>
      <c r="AO54" s="59">
        <f t="shared" si="36"/>
        <v>298.61479562586919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2.3080761455621688</v>
      </c>
      <c r="AV54" s="21">
        <f>EXP(-LN(2)/25)*AV53+(1-EXP(-LN(2)/25))/(LN(2)/25)*Calculateur!AQ54*Calculateur!AS54*VLOOKUP('Données projet'!$B$10,Paramètres!$A$1:$I$89,3,0)*0.475*44/12</f>
        <v>11.544946685002547</v>
      </c>
      <c r="AW54" s="21">
        <f>EXP(-LN(2)/2)*AW53+(1-EXP(-LN(2)/2))/(LN(2)/2)*AQ54*AT54*VLOOKUP('Données projet'!$B$10,Paramètres!$A$1:$I$89,3,0)*0.475*44/12</f>
        <v>2.088895467583745E-2</v>
      </c>
      <c r="AX54" s="21">
        <f t="shared" si="6"/>
        <v>13.873911785240553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5.6</v>
      </c>
      <c r="BD54" s="12">
        <f>IF('Données projet'!$A$88&gt;35,BD53+BC54-BL53,IF(A54&lt;'Données projet'!$A$88,$BA$205^A54,IF(A54='Données projet'!$A$88,'Données projet'!$B$88,BD53+BC54-BL53)))</f>
        <v>207.59999999999974</v>
      </c>
      <c r="BE54" s="13">
        <f>BD54*VLOOKUP('Données projet'!$B$11,Paramètres!$A$1:$I$89,3,0)*VLOOKUP('Données projet'!$B$11,Paramètres!$A$1:$I$89,5,0)</f>
        <v>168.40511999999981</v>
      </c>
      <c r="BF54" s="13">
        <f t="shared" si="37"/>
        <v>42.732627800243563</v>
      </c>
      <c r="BG54" s="20">
        <f t="shared" si="7"/>
        <v>367.73157741875724</v>
      </c>
      <c r="BH54" s="59">
        <f t="shared" si="8"/>
        <v>661.06491075209055</v>
      </c>
      <c r="BI54" s="59">
        <f ca="1">AVERAGE(OFFSET($BH$3,0,0,'Données projet'!$E$11+1,1))-AVERAGE(OFFSET($H$3,0,0,'Données projet'!$E$11+1,1))</f>
        <v>230.68538392491388</v>
      </c>
      <c r="BJ54" s="59">
        <f t="shared" si="38"/>
        <v>267.97457956620724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4.7520324667839962</v>
      </c>
      <c r="BR54" s="21">
        <f>EXP(-LN(2)/2)*BR53+(1-EXP(-LN(2)/2))/(LN(2)/2)*BL54*BO54*VLOOKUP('Données projet'!$B$11,Paramètres!$A$1:$I$89,3,0)*0.475*44/12</f>
        <v>7.5769318250423811E-3</v>
      </c>
      <c r="BS54" s="22">
        <f t="shared" si="9"/>
        <v>4.7596093986090384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5.5</v>
      </c>
      <c r="BY54" s="12">
        <f>IF('Données projet'!$A$114&gt;35,BY53+BX54-CG53,IF(A54&lt;'Données projet'!$A$114,$BV$205^A54,IF(A54='Données projet'!$A$114,'Données projet'!$B$114,BY53+BX54-CG53)))</f>
        <v>112.49999999999997</v>
      </c>
      <c r="BZ54" s="13">
        <f>BY54*VLOOKUP('Données projet'!$B$12,Paramètres!$A$1:$I$89,3,0)*VLOOKUP('Données projet'!$B$12,Paramètres!$A$1:$I$89,5,0)</f>
        <v>128.11499999999995</v>
      </c>
      <c r="CA54" s="13">
        <f t="shared" si="39"/>
        <v>33.560421602574799</v>
      </c>
      <c r="CB54" s="20">
        <f t="shared" si="10"/>
        <v>281.58469262448438</v>
      </c>
      <c r="CC54" s="59">
        <f t="shared" si="11"/>
        <v>574.91802595781769</v>
      </c>
      <c r="CD54" s="59">
        <f ca="1">AVERAGE(OFFSET($CC$3,0,0,'Données projet'!$E$12+1,1))-AVERAGE(OFFSET($H$3,0,0,'Données projet'!$E$12+1,1))</f>
        <v>242.1473060698724</v>
      </c>
      <c r="CE54" s="59">
        <f t="shared" si="40"/>
        <v>96.127995920458659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0</v>
      </c>
      <c r="CZ54" s="59">
        <f t="shared" si="42"/>
        <v>0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>
        <f>DO54*VLOOKUP('Données projet'!$B$14,Paramètres!$A$1:$I$89,3,0)*VLOOKUP('Données projet'!$B$14,Paramètres!$A$1:$I$89,5,0)</f>
        <v>0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0</v>
      </c>
      <c r="DU54" s="59">
        <f t="shared" si="44"/>
        <v>0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2.2737367544323206E-13</v>
      </c>
      <c r="O55" s="13">
        <f>N55*VLOOKUP('Données projet'!$B$9,Paramètres!$A$1:$I$89,3,0)*VLOOKUP('Données projet'!$B$9,Paramètres!$A$1:$I$89,5,0)</f>
        <v>1.3596945791505279E-13</v>
      </c>
      <c r="P55" s="13">
        <f t="shared" si="33"/>
        <v>1.9708830566360721E-12</v>
      </c>
      <c r="Q55" s="20">
        <f t="shared" si="53"/>
        <v>3.669434796176543E-12</v>
      </c>
      <c r="R55" s="59">
        <f t="shared" si="0"/>
        <v>293.33333333333701</v>
      </c>
      <c r="S55" s="59">
        <f ca="1">AVERAGE(OFFSET($R$3,0,0,'Données projet'!$E$9+1,1))-AVERAGE(OFFSET($H$3,0,0,'Données projet'!$E$9+1,1))</f>
        <v>212.98969326021802</v>
      </c>
      <c r="T55" s="59">
        <f t="shared" si="34"/>
        <v>422.91218020922895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48.207774403042784</v>
      </c>
      <c r="AA55" s="21">
        <f>EXP(-LN(2)/25)*AA54+(1-EXP(-LN(2)/25))/(LN(2)/25)*Calculateur!V55*Calculateur!X55*VLOOKUP('Données projet'!$B$9,Paramètres!$A$1:$I$89,3,0)*0.475*44/12</f>
        <v>36.701689836291443</v>
      </c>
      <c r="AB55" s="21">
        <f>EXP(-LN(2)/2)*AB54+(1-EXP(-LN(2)/2))/(LN(2)/2)*V55*Y55*VLOOKUP('Données projet'!$B$9,Paramètres!$A$1:$I$89,3,0)*0.475*44/12</f>
        <v>0.25055573392584546</v>
      </c>
      <c r="AC55" s="22">
        <f t="shared" si="3"/>
        <v>85.160019973260077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16.7</v>
      </c>
      <c r="AI55" s="13">
        <f>IF('Données projet'!$A$62&gt;35,AI54+AH55-AQ54,IF(A55&lt;'Données projet'!$A$62,$AF$205^A55,IF(A55='Données projet'!$A$62,'Données projet'!$B$62,AI54+AH55-AQ54)))</f>
        <v>370.39999999999969</v>
      </c>
      <c r="AJ55" s="13">
        <f>AI55*VLOOKUP('Données projet'!$B$10,Paramètres!$A$1:$I$89,3,0)*VLOOKUP('Données projet'!$B$10,Paramètres!$A$1:$I$89,5,0)</f>
        <v>221.49919999999983</v>
      </c>
      <c r="AK55" s="13">
        <f t="shared" si="35"/>
        <v>54.440600528135285</v>
      </c>
      <c r="AL55" s="20">
        <f t="shared" si="4"/>
        <v>480.59515258650191</v>
      </c>
      <c r="AM55" s="59">
        <f t="shared" si="5"/>
        <v>773.92848591983523</v>
      </c>
      <c r="AN55" s="59">
        <f ca="1">AVERAGE(OFFSET($AM$3,0,0,'Données projet'!$E$10+1,1))-AVERAGE(OFFSET($H$3,0,0,'Données projet'!$E$10+1,1))</f>
        <v>318.09371753144256</v>
      </c>
      <c r="AO55" s="59">
        <f t="shared" si="36"/>
        <v>298.61479562586919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2.2628161801351361</v>
      </c>
      <c r="AV55" s="21">
        <f>EXP(-LN(2)/25)*AV54+(1-EXP(-LN(2)/25))/(LN(2)/25)*Calculateur!AQ55*Calculateur!AS55*VLOOKUP('Données projet'!$B$10,Paramètres!$A$1:$I$89,3,0)*0.475*44/12</f>
        <v>11.229249510778793</v>
      </c>
      <c r="AW55" s="21">
        <f>EXP(-LN(2)/2)*AW54+(1-EXP(-LN(2)/2))/(LN(2)/2)*AQ55*AT55*VLOOKUP('Données projet'!$B$10,Paramètres!$A$1:$I$89,3,0)*0.475*44/12</f>
        <v>1.4770721503183102E-2</v>
      </c>
      <c r="AX55" s="21">
        <f t="shared" si="6"/>
        <v>13.506836412417112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5.6</v>
      </c>
      <c r="BD55" s="12">
        <f>IF('Données projet'!$A$88&gt;35,BD54+BC55-BL54,IF(A55&lt;'Données projet'!$A$88,$BA$205^A55,IF(A55='Données projet'!$A$88,'Données projet'!$B$88,BD54+BC55-BL54)))</f>
        <v>213.19999999999973</v>
      </c>
      <c r="BE55" s="13">
        <f>BD55*VLOOKUP('Données projet'!$B$11,Paramètres!$A$1:$I$89,3,0)*VLOOKUP('Données projet'!$B$11,Paramètres!$A$1:$I$89,5,0)</f>
        <v>172.94783999999979</v>
      </c>
      <c r="BF55" s="13">
        <f t="shared" si="37"/>
        <v>43.749579650767998</v>
      </c>
      <c r="BG55" s="20">
        <f t="shared" si="7"/>
        <v>377.41467255842053</v>
      </c>
      <c r="BH55" s="59">
        <f t="shared" si="8"/>
        <v>670.74800589175379</v>
      </c>
      <c r="BI55" s="59">
        <f ca="1">AVERAGE(OFFSET($BH$3,0,0,'Données projet'!$E$11+1,1))-AVERAGE(OFFSET($H$3,0,0,'Données projet'!$E$11+1,1))</f>
        <v>230.68538392491388</v>
      </c>
      <c r="BJ55" s="59">
        <f t="shared" si="38"/>
        <v>267.97457956620724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4.6220878890812616</v>
      </c>
      <c r="BR55" s="21">
        <f>EXP(-LN(2)/2)*BR54+(1-EXP(-LN(2)/2))/(LN(2)/2)*BL55*BO55*VLOOKUP('Données projet'!$B$11,Paramètres!$A$1:$I$89,3,0)*0.475*44/12</f>
        <v>5.3576998740756318E-3</v>
      </c>
      <c r="BS55" s="22">
        <f t="shared" si="9"/>
        <v>4.6274455889553368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5.5</v>
      </c>
      <c r="BY55" s="12">
        <f>IF('Données projet'!$A$114&gt;35,BY54+BX55-CG54,IF(A55&lt;'Données projet'!$A$114,$BV$205^A55,IF(A55='Données projet'!$A$114,'Données projet'!$B$114,BY54+BX55-CG54)))</f>
        <v>117.99999999999997</v>
      </c>
      <c r="BZ55" s="13">
        <f>BY55*VLOOKUP('Données projet'!$B$12,Paramètres!$A$1:$I$89,3,0)*VLOOKUP('Données projet'!$B$12,Paramètres!$A$1:$I$89,5,0)</f>
        <v>134.37839999999997</v>
      </c>
      <c r="CA55" s="13">
        <f t="shared" si="39"/>
        <v>35.00612029256618</v>
      </c>
      <c r="CB55" s="20">
        <f t="shared" si="10"/>
        <v>295.01137284288603</v>
      </c>
      <c r="CC55" s="59">
        <f t="shared" si="11"/>
        <v>588.34470617621935</v>
      </c>
      <c r="CD55" s="59">
        <f ca="1">AVERAGE(OFFSET($CC$3,0,0,'Données projet'!$E$12+1,1))-AVERAGE(OFFSET($H$3,0,0,'Données projet'!$E$12+1,1))</f>
        <v>242.1473060698724</v>
      </c>
      <c r="CE55" s="59">
        <f t="shared" si="40"/>
        <v>96.127995920458659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0</v>
      </c>
      <c r="CZ55" s="59">
        <f t="shared" si="42"/>
        <v>0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>
        <f>DO55*VLOOKUP('Données projet'!$B$14,Paramètres!$A$1:$I$89,3,0)*VLOOKUP('Données projet'!$B$14,Paramètres!$A$1:$I$89,5,0)</f>
        <v>0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0</v>
      </c>
      <c r="DU55" s="59">
        <f t="shared" si="44"/>
        <v>0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2.2737367544323206E-13</v>
      </c>
      <c r="O56" s="13">
        <f>N56*VLOOKUP('Données projet'!$B$9,Paramètres!$A$1:$I$89,3,0)*VLOOKUP('Données projet'!$B$9,Paramètres!$A$1:$I$89,5,0)</f>
        <v>1.3596945791505279E-13</v>
      </c>
      <c r="P56" s="13">
        <f t="shared" si="33"/>
        <v>1.9708830566360721E-12</v>
      </c>
      <c r="Q56" s="20">
        <f t="shared" si="53"/>
        <v>3.669434796176543E-12</v>
      </c>
      <c r="R56" s="59">
        <f t="shared" si="0"/>
        <v>293.33333333333701</v>
      </c>
      <c r="S56" s="59">
        <f ca="1">AVERAGE(OFFSET($R$3,0,0,'Données projet'!$E$9+1,1))-AVERAGE(OFFSET($H$3,0,0,'Données projet'!$E$9+1,1))</f>
        <v>212.98969326021802</v>
      </c>
      <c r="T56" s="59">
        <f t="shared" si="34"/>
        <v>422.91218020922895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47.262449350838111</v>
      </c>
      <c r="AA56" s="21">
        <f>EXP(-LN(2)/25)*AA55+(1-EXP(-LN(2)/25))/(LN(2)/25)*Calculateur!V56*Calculateur!X56*VLOOKUP('Données projet'!$B$9,Paramètres!$A$1:$I$89,3,0)*0.475*44/12</f>
        <v>35.698080197660069</v>
      </c>
      <c r="AB56" s="21">
        <f>EXP(-LN(2)/2)*AB55+(1-EXP(-LN(2)/2))/(LN(2)/2)*V56*Y56*VLOOKUP('Données projet'!$B$9,Paramètres!$A$1:$I$89,3,0)*0.475*44/12</f>
        <v>0.17716965852413763</v>
      </c>
      <c r="AC56" s="22">
        <f t="shared" si="3"/>
        <v>83.137699207022322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16.7</v>
      </c>
      <c r="AI56" s="13">
        <f>IF('Données projet'!$A$62&gt;35,AI55+AH56-AQ55,IF(A56&lt;'Données projet'!$A$62,$AF$205^A56,IF(A56='Données projet'!$A$62,'Données projet'!$B$62,AI55+AH56-AQ55)))</f>
        <v>387.09999999999968</v>
      </c>
      <c r="AJ56" s="13">
        <f>AI56*VLOOKUP('Données projet'!$B$10,Paramètres!$A$1:$I$89,3,0)*VLOOKUP('Données projet'!$B$10,Paramètres!$A$1:$I$89,5,0)</f>
        <v>231.48579999999981</v>
      </c>
      <c r="AK56" s="13">
        <f t="shared" si="35"/>
        <v>56.603825731999912</v>
      </c>
      <c r="AL56" s="20">
        <f t="shared" si="4"/>
        <v>501.75609814989951</v>
      </c>
      <c r="AM56" s="59">
        <f t="shared" si="5"/>
        <v>795.08943148323283</v>
      </c>
      <c r="AN56" s="59">
        <f ca="1">AVERAGE(OFFSET($AM$3,0,0,'Données projet'!$E$10+1,1))-AVERAGE(OFFSET($H$3,0,0,'Données projet'!$E$10+1,1))</f>
        <v>318.09371753144256</v>
      </c>
      <c r="AO56" s="59">
        <f t="shared" si="36"/>
        <v>298.61479562586919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2.2184437350242745</v>
      </c>
      <c r="AV56" s="21">
        <f>EXP(-LN(2)/25)*AV55+(1-EXP(-LN(2)/25))/(LN(2)/25)*Calculateur!AQ56*Calculateur!AS56*VLOOKUP('Données projet'!$B$10,Paramètres!$A$1:$I$89,3,0)*0.475*44/12</f>
        <v>10.92218509238598</v>
      </c>
      <c r="AW56" s="21">
        <f>EXP(-LN(2)/2)*AW55+(1-EXP(-LN(2)/2))/(LN(2)/2)*AQ56*AT56*VLOOKUP('Données projet'!$B$10,Paramètres!$A$1:$I$89,3,0)*0.475*44/12</f>
        <v>1.0444477337918727E-2</v>
      </c>
      <c r="AX56" s="21">
        <f t="shared" si="6"/>
        <v>13.151073304748174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5.6</v>
      </c>
      <c r="BD56" s="12">
        <f>IF('Données projet'!$A$88&gt;35,BD55+BC56-BL55,IF(A56&lt;'Données projet'!$A$88,$BA$205^A56,IF(A56='Données projet'!$A$88,'Données projet'!$B$88,BD55+BC56-BL55)))</f>
        <v>218.79999999999973</v>
      </c>
      <c r="BE56" s="13">
        <f>BD56*VLOOKUP('Données projet'!$B$11,Paramètres!$A$1:$I$89,3,0)*VLOOKUP('Données projet'!$B$11,Paramètres!$A$1:$I$89,5,0)</f>
        <v>177.49055999999979</v>
      </c>
      <c r="BF56" s="13">
        <f t="shared" si="37"/>
        <v>44.763426632624252</v>
      </c>
      <c r="BG56" s="20">
        <f t="shared" si="7"/>
        <v>387.09236005182021</v>
      </c>
      <c r="BH56" s="59">
        <f t="shared" si="8"/>
        <v>680.42569338515352</v>
      </c>
      <c r="BI56" s="59">
        <f ca="1">AVERAGE(OFFSET($BH$3,0,0,'Données projet'!$E$11+1,1))-AVERAGE(OFFSET($H$3,0,0,'Données projet'!$E$11+1,1))</f>
        <v>230.68538392491388</v>
      </c>
      <c r="BJ56" s="59">
        <f t="shared" si="38"/>
        <v>267.97457956620724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4.4956966526892961</v>
      </c>
      <c r="BR56" s="21">
        <f>EXP(-LN(2)/2)*BR55+(1-EXP(-LN(2)/2))/(LN(2)/2)*BL56*BO56*VLOOKUP('Données projet'!$B$11,Paramètres!$A$1:$I$89,3,0)*0.475*44/12</f>
        <v>3.7884659125211914E-3</v>
      </c>
      <c r="BS56" s="22">
        <f t="shared" si="9"/>
        <v>4.4994851186018172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5.5</v>
      </c>
      <c r="BY56" s="12">
        <f>IF('Données projet'!$A$114&gt;35,BY55+BX56-CG55,IF(A56&lt;'Données projet'!$A$114,$BV$205^A56,IF(A56='Données projet'!$A$114,'Données projet'!$B$114,BY55+BX56-CG55)))</f>
        <v>123.49999999999997</v>
      </c>
      <c r="BZ56" s="13">
        <f>BY56*VLOOKUP('Données projet'!$B$12,Paramètres!$A$1:$I$89,3,0)*VLOOKUP('Données projet'!$B$12,Paramètres!$A$1:$I$89,5,0)</f>
        <v>140.64179999999996</v>
      </c>
      <c r="CA56" s="13">
        <f t="shared" si="39"/>
        <v>36.443993701615646</v>
      </c>
      <c r="CB56" s="20">
        <f t="shared" si="10"/>
        <v>308.42442403031379</v>
      </c>
      <c r="CC56" s="59">
        <f t="shared" si="11"/>
        <v>601.7577573636471</v>
      </c>
      <c r="CD56" s="59">
        <f ca="1">AVERAGE(OFFSET($CC$3,0,0,'Données projet'!$E$12+1,1))-AVERAGE(OFFSET($H$3,0,0,'Données projet'!$E$12+1,1))</f>
        <v>242.1473060698724</v>
      </c>
      <c r="CE56" s="59">
        <f t="shared" si="40"/>
        <v>96.127995920458659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0</v>
      </c>
      <c r="CZ56" s="59">
        <f t="shared" si="42"/>
        <v>0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>
        <f>DO56*VLOOKUP('Données projet'!$B$14,Paramètres!$A$1:$I$89,3,0)*VLOOKUP('Données projet'!$B$14,Paramètres!$A$1:$I$89,5,0)</f>
        <v>0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0</v>
      </c>
      <c r="DU56" s="59">
        <f t="shared" si="44"/>
        <v>0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2.2737367544323206E-13</v>
      </c>
      <c r="O57" s="13">
        <f>N57*VLOOKUP('Données projet'!$B$9,Paramètres!$A$1:$I$89,3,0)*VLOOKUP('Données projet'!$B$9,Paramètres!$A$1:$I$89,5,0)</f>
        <v>1.3596945791505279E-13</v>
      </c>
      <c r="P57" s="13">
        <f t="shared" si="33"/>
        <v>1.9708830566360721E-12</v>
      </c>
      <c r="Q57" s="20">
        <f t="shared" si="53"/>
        <v>3.669434796176543E-12</v>
      </c>
      <c r="R57" s="59">
        <f t="shared" si="0"/>
        <v>293.33333333333701</v>
      </c>
      <c r="S57" s="59">
        <f ca="1">AVERAGE(OFFSET($R$3,0,0,'Données projet'!$E$9+1,1))-AVERAGE(OFFSET($H$3,0,0,'Données projet'!$E$9+1,1))</f>
        <v>212.98969326021802</v>
      </c>
      <c r="T57" s="59">
        <f t="shared" si="34"/>
        <v>422.91218020922895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46.335661546315826</v>
      </c>
      <c r="AA57" s="21">
        <f>EXP(-LN(2)/25)*AA56+(1-EXP(-LN(2)/25))/(LN(2)/25)*Calculateur!V57*Calculateur!X57*VLOOKUP('Données projet'!$B$9,Paramètres!$A$1:$I$89,3,0)*0.475*44/12</f>
        <v>34.721914317374605</v>
      </c>
      <c r="AB57" s="21">
        <f>EXP(-LN(2)/2)*AB56+(1-EXP(-LN(2)/2))/(LN(2)/2)*V57*Y57*VLOOKUP('Données projet'!$B$9,Paramètres!$A$1:$I$89,3,0)*0.475*44/12</f>
        <v>0.12527786696292273</v>
      </c>
      <c r="AC57" s="22">
        <f t="shared" si="3"/>
        <v>81.182853730653349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16.7</v>
      </c>
      <c r="AI57" s="13">
        <f>IF('Données projet'!$A$62&gt;35,AI56+AH57-AQ56,IF(A57&lt;'Données projet'!$A$62,$AF$205^A57,IF(A57='Données projet'!$A$62,'Données projet'!$B$62,AI56+AH57-AQ56)))</f>
        <v>403.79999999999967</v>
      </c>
      <c r="AJ57" s="13">
        <f>AI57*VLOOKUP('Données projet'!$B$10,Paramètres!$A$1:$I$89,3,0)*VLOOKUP('Données projet'!$B$10,Paramètres!$A$1:$I$89,5,0)</f>
        <v>241.47239999999982</v>
      </c>
      <c r="AK57" s="13">
        <f t="shared" si="35"/>
        <v>58.756211658732617</v>
      </c>
      <c r="AL57" s="20">
        <f t="shared" si="4"/>
        <v>522.89816530562575</v>
      </c>
      <c r="AM57" s="59">
        <f t="shared" si="5"/>
        <v>816.23149863895901</v>
      </c>
      <c r="AN57" s="59">
        <f ca="1">AVERAGE(OFFSET($AM$3,0,0,'Données projet'!$E$10+1,1))-AVERAGE(OFFSET($H$3,0,0,'Données projet'!$E$10+1,1))</f>
        <v>318.09371753144256</v>
      </c>
      <c r="AO57" s="59">
        <f t="shared" si="36"/>
        <v>298.61479562586919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2.1749414064975174</v>
      </c>
      <c r="AV57" s="21">
        <f>EXP(-LN(2)/25)*AV56+(1-EXP(-LN(2)/25))/(LN(2)/25)*Calculateur!AQ57*Calculateur!AS57*VLOOKUP('Données projet'!$B$10,Paramètres!$A$1:$I$89,3,0)*0.475*44/12</f>
        <v>10.623517366661934</v>
      </c>
      <c r="AW57" s="21">
        <f>EXP(-LN(2)/2)*AW56+(1-EXP(-LN(2)/2))/(LN(2)/2)*AQ57*AT57*VLOOKUP('Données projet'!$B$10,Paramètres!$A$1:$I$89,3,0)*0.475*44/12</f>
        <v>7.3853607515915517E-3</v>
      </c>
      <c r="AX57" s="21">
        <f t="shared" si="6"/>
        <v>12.805844133911043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5.6</v>
      </c>
      <c r="BD57" s="12">
        <f>IF('Données projet'!$A$88&gt;35,BD56+BC57-BL56,IF(A57&lt;'Données projet'!$A$88,$BA$205^A57,IF(A57='Données projet'!$A$88,'Données projet'!$B$88,BD56+BC57-BL56)))</f>
        <v>224.39999999999972</v>
      </c>
      <c r="BE57" s="13">
        <f>BD57*VLOOKUP('Données projet'!$B$11,Paramètres!$A$1:$I$89,3,0)*VLOOKUP('Données projet'!$B$11,Paramètres!$A$1:$I$89,5,0)</f>
        <v>182.03327999999979</v>
      </c>
      <c r="BF57" s="13">
        <f t="shared" si="37"/>
        <v>45.774257349740196</v>
      </c>
      <c r="BG57" s="20">
        <f t="shared" si="7"/>
        <v>396.76479421746376</v>
      </c>
      <c r="BH57" s="59">
        <f t="shared" si="8"/>
        <v>690.09812755079702</v>
      </c>
      <c r="BI57" s="59">
        <f ca="1">AVERAGE(OFFSET($BH$3,0,0,'Données projet'!$E$11+1,1))-AVERAGE(OFFSET($H$3,0,0,'Données projet'!$E$11+1,1))</f>
        <v>230.68538392491388</v>
      </c>
      <c r="BJ57" s="59">
        <f t="shared" si="38"/>
        <v>267.97457956620724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4.3727615913030951</v>
      </c>
      <c r="BR57" s="21">
        <f>EXP(-LN(2)/2)*BR56+(1-EXP(-LN(2)/2))/(LN(2)/2)*BL57*BO57*VLOOKUP('Données projet'!$B$11,Paramètres!$A$1:$I$89,3,0)*0.475*44/12</f>
        <v>2.6788499370378163E-3</v>
      </c>
      <c r="BS57" s="22">
        <f t="shared" si="9"/>
        <v>4.3754404412401326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5.5</v>
      </c>
      <c r="BY57" s="12">
        <f>IF('Données projet'!$A$114&gt;35,BY56+BX57-CG56,IF(A57&lt;'Données projet'!$A$114,$BV$205^A57,IF(A57='Données projet'!$A$114,'Données projet'!$B$114,BY56+BX57-CG56)))</f>
        <v>128.99999999999997</v>
      </c>
      <c r="BZ57" s="13">
        <f>BY57*VLOOKUP('Données projet'!$B$12,Paramètres!$A$1:$I$89,3,0)*VLOOKUP('Données projet'!$B$12,Paramètres!$A$1:$I$89,5,0)</f>
        <v>146.90519999999995</v>
      </c>
      <c r="CA57" s="13">
        <f t="shared" si="39"/>
        <v>37.874430144259527</v>
      </c>
      <c r="CB57" s="20">
        <f t="shared" si="10"/>
        <v>321.82452250125192</v>
      </c>
      <c r="CC57" s="59">
        <f t="shared" si="11"/>
        <v>615.15785583458523</v>
      </c>
      <c r="CD57" s="59">
        <f ca="1">AVERAGE(OFFSET($CC$3,0,0,'Données projet'!$E$12+1,1))-AVERAGE(OFFSET($H$3,0,0,'Données projet'!$E$12+1,1))</f>
        <v>242.1473060698724</v>
      </c>
      <c r="CE57" s="59">
        <f t="shared" si="40"/>
        <v>96.127995920458659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0</v>
      </c>
      <c r="CZ57" s="59">
        <f t="shared" si="42"/>
        <v>0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>
        <f>DO57*VLOOKUP('Données projet'!$B$14,Paramètres!$A$1:$I$89,3,0)*VLOOKUP('Données projet'!$B$14,Paramètres!$A$1:$I$89,5,0)</f>
        <v>0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0</v>
      </c>
      <c r="DU57" s="59">
        <f t="shared" si="44"/>
        <v>0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1.3596945791505279E-13</v>
      </c>
      <c r="P58" s="13">
        <f t="shared" si="33"/>
        <v>1.9708830566360721E-12</v>
      </c>
      <c r="Q58" s="20">
        <f t="shared" si="53"/>
        <v>3.669434796176543E-12</v>
      </c>
      <c r="R58" s="59">
        <f t="shared" si="0"/>
        <v>293.33333333333701</v>
      </c>
      <c r="S58" s="59">
        <f ca="1">AVERAGE(OFFSET($R$3,0,0,'Données projet'!$E$9+1,1))-AVERAGE(OFFSET($H$3,0,0,'Données projet'!$E$9+1,1))</f>
        <v>212.98969326021802</v>
      </c>
      <c r="T58" s="59">
        <f t="shared" si="34"/>
        <v>422.91218020922895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45.42704748535548</v>
      </c>
      <c r="AA58" s="21">
        <f>EXP(-LN(2)/25)*AA57+(1-EXP(-LN(2)/25))/(LN(2)/25)*Calculateur!V58*Calculateur!X58*VLOOKUP('Données projet'!$B$9,Paramètres!$A$1:$I$89,3,0)*0.475*44/12</f>
        <v>33.772441744419879</v>
      </c>
      <c r="AB58" s="21">
        <f>EXP(-LN(2)/2)*AB57+(1-EXP(-LN(2)/2))/(LN(2)/2)*V58*Y58*VLOOKUP('Données projet'!$B$9,Paramètres!$A$1:$I$89,3,0)*0.475*44/12</f>
        <v>8.8584829262068815E-2</v>
      </c>
      <c r="AC58" s="22">
        <f t="shared" si="3"/>
        <v>79.288074059037442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16.7</v>
      </c>
      <c r="AI58" s="13">
        <f>IF('Données projet'!$A$62&gt;35,AI57+AH58-AQ57,IF(A58&lt;'Données projet'!$A$62,$AF$205^A58,IF(A58='Données projet'!$A$62,'Données projet'!$B$62,AI57+AH58-AQ57)))</f>
        <v>420.49999999999966</v>
      </c>
      <c r="AJ58" s="13">
        <f>AI58*VLOOKUP('Données projet'!$B$10,Paramètres!$A$1:$I$89,3,0)*VLOOKUP('Données projet'!$B$10,Paramètres!$A$1:$I$89,5,0)</f>
        <v>251.45899999999983</v>
      </c>
      <c r="AK58" s="13">
        <f t="shared" si="35"/>
        <v>60.898257857135299</v>
      </c>
      <c r="AL58" s="20">
        <f t="shared" si="4"/>
        <v>544.02222410117713</v>
      </c>
      <c r="AM58" s="59">
        <f t="shared" si="5"/>
        <v>837.3555574345105</v>
      </c>
      <c r="AN58" s="59">
        <f ca="1">AVERAGE(OFFSET($AM$3,0,0,'Données projet'!$E$10+1,1))-AVERAGE(OFFSET($H$3,0,0,'Données projet'!$E$10+1,1))</f>
        <v>318.09371753144256</v>
      </c>
      <c r="AO58" s="59">
        <f t="shared" si="36"/>
        <v>298.61479562586919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2.1322921320993697</v>
      </c>
      <c r="AV58" s="21">
        <f>EXP(-LN(2)/25)*AV57+(1-EXP(-LN(2)/25))/(LN(2)/25)*Calculateur!AQ58*Calculateur!AS58*VLOOKUP('Données projet'!$B$10,Paramètres!$A$1:$I$89,3,0)*0.475*44/12</f>
        <v>10.333016725604066</v>
      </c>
      <c r="AW58" s="21">
        <f>EXP(-LN(2)/2)*AW57+(1-EXP(-LN(2)/2))/(LN(2)/2)*AQ58*AT58*VLOOKUP('Données projet'!$B$10,Paramètres!$A$1:$I$89,3,0)*0.475*44/12</f>
        <v>5.2222386689593642E-3</v>
      </c>
      <c r="AX58" s="21">
        <f t="shared" si="6"/>
        <v>12.470531096372396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5.6</v>
      </c>
      <c r="BD58" s="12">
        <f>IF('Données projet'!$A$88&gt;35,BD57+BC58-BL57,IF(A58&lt;'Données projet'!$A$88,$BA$205^A58,IF(A58='Données projet'!$A$88,'Données projet'!$B$88,BD57+BC58-BL57)))</f>
        <v>229.99999999999972</v>
      </c>
      <c r="BE58" s="13">
        <f>BD58*VLOOKUP('Données projet'!$B$11,Paramètres!$A$1:$I$89,3,0)*VLOOKUP('Données projet'!$B$11,Paramètres!$A$1:$I$89,5,0)</f>
        <v>186.57599999999977</v>
      </c>
      <c r="BF58" s="13">
        <f t="shared" si="37"/>
        <v>46.782155731694232</v>
      </c>
      <c r="BG58" s="20">
        <f t="shared" si="7"/>
        <v>406.43212123270035</v>
      </c>
      <c r="BH58" s="59">
        <f t="shared" si="8"/>
        <v>699.76545456603367</v>
      </c>
      <c r="BI58" s="59">
        <f ca="1">AVERAGE(OFFSET($BH$3,0,0,'Données projet'!$E$11+1,1))-AVERAGE(OFFSET($H$3,0,0,'Données projet'!$E$11+1,1))</f>
        <v>230.68538392491388</v>
      </c>
      <c r="BJ58" s="59">
        <f t="shared" si="38"/>
        <v>267.97457956620724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4.2531881956353743</v>
      </c>
      <c r="BR58" s="21">
        <f>EXP(-LN(2)/2)*BR57+(1-EXP(-LN(2)/2))/(LN(2)/2)*BL58*BO58*VLOOKUP('Données projet'!$B$11,Paramètres!$A$1:$I$89,3,0)*0.475*44/12</f>
        <v>1.8942329562605959E-3</v>
      </c>
      <c r="BS58" s="22">
        <f t="shared" si="9"/>
        <v>4.2550824285916349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5.5</v>
      </c>
      <c r="BY58" s="12">
        <f>IF('Données projet'!$A$114&gt;35,BY57+BX58-CG57,IF(A58&lt;'Données projet'!$A$114,$BV$205^A58,IF(A58='Données projet'!$A$114,'Données projet'!$B$114,BY57+BX58-CG57)))</f>
        <v>134.49999999999997</v>
      </c>
      <c r="BZ58" s="13">
        <f>BY58*VLOOKUP('Données projet'!$B$12,Paramètres!$A$1:$I$89,3,0)*VLOOKUP('Données projet'!$B$12,Paramètres!$A$1:$I$89,5,0)</f>
        <v>153.16859999999997</v>
      </c>
      <c r="CA58" s="13">
        <f t="shared" si="39"/>
        <v>39.297782950069234</v>
      </c>
      <c r="CB58" s="20">
        <f t="shared" si="10"/>
        <v>335.21228363803715</v>
      </c>
      <c r="CC58" s="59">
        <f t="shared" si="11"/>
        <v>628.54561697137046</v>
      </c>
      <c r="CD58" s="59">
        <f ca="1">AVERAGE(OFFSET($CC$3,0,0,'Données projet'!$E$12+1,1))-AVERAGE(OFFSET($H$3,0,0,'Données projet'!$E$12+1,1))</f>
        <v>242.1473060698724</v>
      </c>
      <c r="CE58" s="59">
        <f t="shared" si="40"/>
        <v>96.127995920458659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0</v>
      </c>
      <c r="CZ58" s="59">
        <f t="shared" si="42"/>
        <v>0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>
        <f>DO58*VLOOKUP('Données projet'!$B$14,Paramètres!$A$1:$I$89,3,0)*VLOOKUP('Données projet'!$B$14,Paramètres!$A$1:$I$89,5,0)</f>
        <v>0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0</v>
      </c>
      <c r="DU58" s="59">
        <f t="shared" si="44"/>
        <v>0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1.3596945791505279E-13</v>
      </c>
      <c r="P59" s="13">
        <f t="shared" si="33"/>
        <v>1.9708830566360721E-12</v>
      </c>
      <c r="Q59" s="20">
        <f t="shared" si="53"/>
        <v>3.669434796176543E-12</v>
      </c>
      <c r="R59" s="59">
        <f t="shared" si="0"/>
        <v>293.33333333333701</v>
      </c>
      <c r="S59" s="59">
        <f ca="1">AVERAGE(OFFSET($R$3,0,0,'Données projet'!$E$9+1,1))-AVERAGE(OFFSET($H$3,0,0,'Données projet'!$E$9+1,1))</f>
        <v>212.98969326021802</v>
      </c>
      <c r="T59" s="59">
        <f t="shared" si="34"/>
        <v>422.91218020922895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44.536250791930712</v>
      </c>
      <c r="AA59" s="21">
        <f>EXP(-LN(2)/25)*AA58+(1-EXP(-LN(2)/25))/(LN(2)/25)*Calculateur!V59*Calculateur!X59*VLOOKUP('Données projet'!$B$9,Paramètres!$A$1:$I$89,3,0)*0.475*44/12</f>
        <v>32.848932548903193</v>
      </c>
      <c r="AB59" s="21">
        <f>EXP(-LN(2)/2)*AB58+(1-EXP(-LN(2)/2))/(LN(2)/2)*V59*Y59*VLOOKUP('Données projet'!$B$9,Paramètres!$A$1:$I$89,3,0)*0.475*44/12</f>
        <v>6.2638933481461365E-2</v>
      </c>
      <c r="AC59" s="22">
        <f t="shared" si="3"/>
        <v>77.447822274315371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16.7</v>
      </c>
      <c r="AI59" s="13">
        <f>IF('Données projet'!$A$62&gt;35,AI58+AH59-AQ58,IF(A59&lt;'Données projet'!$A$62,$AF$205^A59,IF(A59='Données projet'!$A$62,'Données projet'!$B$62,AI58+AH59-AQ58)))</f>
        <v>437.19999999999965</v>
      </c>
      <c r="AJ59" s="13">
        <f>AI59*VLOOKUP('Données projet'!$B$10,Paramètres!$A$1:$I$89,3,0)*VLOOKUP('Données projet'!$B$10,Paramètres!$A$1:$I$89,5,0)</f>
        <v>261.44559999999984</v>
      </c>
      <c r="AK59" s="13">
        <f t="shared" si="35"/>
        <v>63.030421951078615</v>
      </c>
      <c r="AL59" s="20">
        <f t="shared" si="4"/>
        <v>565.12907156479503</v>
      </c>
      <c r="AM59" s="59">
        <f t="shared" si="5"/>
        <v>858.4624048981284</v>
      </c>
      <c r="AN59" s="59">
        <f ca="1">AVERAGE(OFFSET($AM$3,0,0,'Données projet'!$E$10+1,1))-AVERAGE(OFFSET($H$3,0,0,'Données projet'!$E$10+1,1))</f>
        <v>318.09371753144256</v>
      </c>
      <c r="AO59" s="59">
        <f t="shared" si="36"/>
        <v>298.61479562586919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2.0904791839586809</v>
      </c>
      <c r="AV59" s="21">
        <f>EXP(-LN(2)/25)*AV58+(1-EXP(-LN(2)/25))/(LN(2)/25)*Calculateur!AQ59*Calculateur!AS59*VLOOKUP('Données projet'!$B$10,Paramètres!$A$1:$I$89,3,0)*0.475*44/12</f>
        <v>10.050459839852691</v>
      </c>
      <c r="AW59" s="21">
        <f>EXP(-LN(2)/2)*AW58+(1-EXP(-LN(2)/2))/(LN(2)/2)*AQ59*AT59*VLOOKUP('Données projet'!$B$10,Paramètres!$A$1:$I$89,3,0)*0.475*44/12</f>
        <v>3.6926803757957767E-3</v>
      </c>
      <c r="AX59" s="21">
        <f t="shared" si="6"/>
        <v>12.144631704187168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5.6</v>
      </c>
      <c r="BD59" s="12">
        <f>IF('Données projet'!$A$88&gt;35,BD58+BC59-BL58,IF(A59&lt;'Données projet'!$A$88,$BA$205^A59,IF(A59='Données projet'!$A$88,'Données projet'!$B$88,BD58+BC59-BL58)))</f>
        <v>235.59999999999971</v>
      </c>
      <c r="BE59" s="13">
        <f>BD59*VLOOKUP('Données projet'!$B$11,Paramètres!$A$1:$I$89,3,0)*VLOOKUP('Données projet'!$B$11,Paramètres!$A$1:$I$89,5,0)</f>
        <v>191.1187199999998</v>
      </c>
      <c r="BF59" s="13">
        <f t="shared" si="37"/>
        <v>47.787201388032102</v>
      </c>
      <c r="BG59" s="20">
        <f t="shared" si="7"/>
        <v>416.09447975082225</v>
      </c>
      <c r="BH59" s="59">
        <f t="shared" si="8"/>
        <v>709.42781308415556</v>
      </c>
      <c r="BI59" s="59">
        <f ca="1">AVERAGE(OFFSET($BH$3,0,0,'Données projet'!$E$11+1,1))-AVERAGE(OFFSET($H$3,0,0,'Données projet'!$E$11+1,1))</f>
        <v>230.68538392491388</v>
      </c>
      <c r="BJ59" s="59">
        <f t="shared" si="38"/>
        <v>267.97457956620724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4.1368845407602786</v>
      </c>
      <c r="BR59" s="21">
        <f>EXP(-LN(2)/2)*BR58+(1-EXP(-LN(2)/2))/(LN(2)/2)*BL59*BO59*VLOOKUP('Données projet'!$B$11,Paramètres!$A$1:$I$89,3,0)*0.475*44/12</f>
        <v>1.3394249685189084E-3</v>
      </c>
      <c r="BS59" s="22">
        <f t="shared" si="9"/>
        <v>4.1382239657287974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5.5</v>
      </c>
      <c r="BY59" s="12">
        <f>IF('Données projet'!$A$114&gt;35,BY58+BX59-CG58,IF(A59&lt;'Données projet'!$A$114,$BV$205^A59,IF(A59='Données projet'!$A$114,'Données projet'!$B$114,BY58+BX59-CG58)))</f>
        <v>139.99999999999997</v>
      </c>
      <c r="BZ59" s="13">
        <f>BY59*VLOOKUP('Données projet'!$B$12,Paramètres!$A$1:$I$89,3,0)*VLOOKUP('Données projet'!$B$12,Paramètres!$A$1:$I$89,5,0)</f>
        <v>159.43199999999996</v>
      </c>
      <c r="CA59" s="13">
        <f t="shared" si="39"/>
        <v>40.714374916553687</v>
      </c>
      <c r="CB59" s="20">
        <f t="shared" si="10"/>
        <v>348.5882696463309</v>
      </c>
      <c r="CC59" s="59">
        <f t="shared" si="11"/>
        <v>641.92160297966416</v>
      </c>
      <c r="CD59" s="59">
        <f ca="1">AVERAGE(OFFSET($CC$3,0,0,'Données projet'!$E$12+1,1))-AVERAGE(OFFSET($H$3,0,0,'Données projet'!$E$12+1,1))</f>
        <v>242.1473060698724</v>
      </c>
      <c r="CE59" s="59">
        <f t="shared" si="40"/>
        <v>96.127995920458659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0</v>
      </c>
      <c r="CZ59" s="59">
        <f t="shared" si="42"/>
        <v>0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>
        <f>DO59*VLOOKUP('Données projet'!$B$14,Paramètres!$A$1:$I$89,3,0)*VLOOKUP('Données projet'!$B$14,Paramètres!$A$1:$I$89,5,0)</f>
        <v>0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0</v>
      </c>
      <c r="DU59" s="59">
        <f t="shared" si="44"/>
        <v>0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1.3596945791505279E-13</v>
      </c>
      <c r="P60" s="13">
        <f t="shared" si="33"/>
        <v>1.9708830566360721E-12</v>
      </c>
      <c r="Q60" s="20">
        <f t="shared" si="53"/>
        <v>3.669434796176543E-12</v>
      </c>
      <c r="R60" s="59">
        <f t="shared" si="0"/>
        <v>293.33333333333701</v>
      </c>
      <c r="S60" s="59">
        <f ca="1">AVERAGE(OFFSET($R$3,0,0,'Données projet'!$E$9+1,1))-AVERAGE(OFFSET($H$3,0,0,'Données projet'!$E$9+1,1))</f>
        <v>212.98969326021802</v>
      </c>
      <c r="T60" s="59">
        <f t="shared" si="34"/>
        <v>422.91218020922895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43.662922078331668</v>
      </c>
      <c r="AA60" s="21">
        <f>EXP(-LN(2)/25)*AA59+(1-EXP(-LN(2)/25))/(LN(2)/25)*Calculateur!V60*Calculateur!X60*VLOOKUP('Données projet'!$B$9,Paramètres!$A$1:$I$89,3,0)*0.475*44/12</f>
        <v>31.95067676090315</v>
      </c>
      <c r="AB60" s="21">
        <f>EXP(-LN(2)/2)*AB59+(1-EXP(-LN(2)/2))/(LN(2)/2)*V60*Y60*VLOOKUP('Données projet'!$B$9,Paramètres!$A$1:$I$89,3,0)*0.475*44/12</f>
        <v>4.4292414631034407E-2</v>
      </c>
      <c r="AC60" s="22">
        <f t="shared" si="3"/>
        <v>75.657891253865841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16.7</v>
      </c>
      <c r="AI60" s="13">
        <f>IF('Données projet'!$A$62&gt;35,AI59+AH60-AQ59,IF(A60&lt;'Données projet'!$A$62,$AF$205^A60,IF(A60='Données projet'!$A$62,'Données projet'!$B$62,AI59+AH60-AQ59)))</f>
        <v>453.89999999999964</v>
      </c>
      <c r="AJ60" s="13">
        <f>AI60*VLOOKUP('Données projet'!$B$10,Paramètres!$A$1:$I$89,3,0)*VLOOKUP('Données projet'!$B$10,Paramètres!$A$1:$I$89,5,0)</f>
        <v>271.4321999999998</v>
      </c>
      <c r="AK60" s="13">
        <f t="shared" si="35"/>
        <v>65.153124624123208</v>
      </c>
      <c r="AL60" s="20">
        <f t="shared" si="4"/>
        <v>586.21944038701417</v>
      </c>
      <c r="AM60" s="59">
        <f t="shared" si="5"/>
        <v>879.55277372034743</v>
      </c>
      <c r="AN60" s="59">
        <f ca="1">AVERAGE(OFFSET($AM$3,0,0,'Données projet'!$E$10+1,1))-AVERAGE(OFFSET($H$3,0,0,'Données projet'!$E$10+1,1))</f>
        <v>318.09371753144256</v>
      </c>
      <c r="AO60" s="59">
        <f t="shared" si="36"/>
        <v>298.61479562586919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2.0494861622276512</v>
      </c>
      <c r="AV60" s="21">
        <f>EXP(-LN(2)/25)*AV59+(1-EXP(-LN(2)/25))/(LN(2)/25)*Calculateur!AQ60*Calculateur!AS60*VLOOKUP('Données projet'!$B$10,Paramètres!$A$1:$I$89,3,0)*0.475*44/12</f>
        <v>9.7756294870012059</v>
      </c>
      <c r="AW60" s="21">
        <f>EXP(-LN(2)/2)*AW59+(1-EXP(-LN(2)/2))/(LN(2)/2)*AQ60*AT60*VLOOKUP('Données projet'!$B$10,Paramètres!$A$1:$I$89,3,0)*0.475*44/12</f>
        <v>2.6111193344796825E-3</v>
      </c>
      <c r="AX60" s="21">
        <f t="shared" si="6"/>
        <v>11.827726768563338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5.6</v>
      </c>
      <c r="BD60" s="12">
        <f>IF('Données projet'!$A$88&gt;35,BD59+BC60-BL59,IF(A60&lt;'Données projet'!$A$88,$BA$205^A60,IF(A60='Données projet'!$A$88,'Données projet'!$B$88,BD59+BC60-BL59)))</f>
        <v>241.1999999999997</v>
      </c>
      <c r="BE60" s="13">
        <f>BD60*VLOOKUP('Données projet'!$B$11,Paramètres!$A$1:$I$89,3,0)*VLOOKUP('Données projet'!$B$11,Paramètres!$A$1:$I$89,5,0)</f>
        <v>195.66143999999977</v>
      </c>
      <c r="BF60" s="13">
        <f t="shared" si="37"/>
        <v>48.789469927948474</v>
      </c>
      <c r="BG60" s="20">
        <f t="shared" si="7"/>
        <v>425.75200145784316</v>
      </c>
      <c r="BH60" s="59">
        <f t="shared" si="8"/>
        <v>719.08533479117648</v>
      </c>
      <c r="BI60" s="59">
        <f ca="1">AVERAGE(OFFSET($BH$3,0,0,'Données projet'!$E$11+1,1))-AVERAGE(OFFSET($H$3,0,0,'Données projet'!$E$11+1,1))</f>
        <v>230.68538392491388</v>
      </c>
      <c r="BJ60" s="59">
        <f t="shared" si="38"/>
        <v>267.97457956620724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4.0237612154438853</v>
      </c>
      <c r="BR60" s="21">
        <f>EXP(-LN(2)/2)*BR59+(1-EXP(-LN(2)/2))/(LN(2)/2)*BL60*BO60*VLOOKUP('Données projet'!$B$11,Paramètres!$A$1:$I$89,3,0)*0.475*44/12</f>
        <v>9.4711647813029817E-4</v>
      </c>
      <c r="BS60" s="22">
        <f t="shared" si="9"/>
        <v>4.0247083319220156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5.5</v>
      </c>
      <c r="BY60" s="12">
        <f>IF('Données projet'!$A$114&gt;35,BY59+BX60-CG59,IF(A60&lt;'Données projet'!$A$114,$BV$205^A60,IF(A60='Données projet'!$A$114,'Données projet'!$B$114,BY59+BX60-CG59)))</f>
        <v>145.49999999999997</v>
      </c>
      <c r="BZ60" s="13">
        <f>BY60*VLOOKUP('Données projet'!$B$12,Paramètres!$A$1:$I$89,3,0)*VLOOKUP('Données projet'!$B$12,Paramètres!$A$1:$I$89,5,0)</f>
        <v>165.69539999999998</v>
      </c>
      <c r="CA60" s="13">
        <f t="shared" si="39"/>
        <v>42.124502042631192</v>
      </c>
      <c r="CB60" s="20">
        <f t="shared" si="10"/>
        <v>361.9529960575826</v>
      </c>
      <c r="CC60" s="59">
        <f t="shared" si="11"/>
        <v>655.28632939091585</v>
      </c>
      <c r="CD60" s="59">
        <f ca="1">AVERAGE(OFFSET($CC$3,0,0,'Données projet'!$E$12+1,1))-AVERAGE(OFFSET($H$3,0,0,'Données projet'!$E$12+1,1))</f>
        <v>242.1473060698724</v>
      </c>
      <c r="CE60" s="59">
        <f t="shared" si="40"/>
        <v>96.127995920458659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0</v>
      </c>
      <c r="CZ60" s="59">
        <f t="shared" si="42"/>
        <v>0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>
        <f>DO60*VLOOKUP('Données projet'!$B$14,Paramètres!$A$1:$I$89,3,0)*VLOOKUP('Données projet'!$B$14,Paramètres!$A$1:$I$89,5,0)</f>
        <v>0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0</v>
      </c>
      <c r="DU60" s="59">
        <f t="shared" si="44"/>
        <v>0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1.3596945791505279E-13</v>
      </c>
      <c r="P61" s="13">
        <f t="shared" si="33"/>
        <v>1.9708830566360721E-12</v>
      </c>
      <c r="Q61" s="20">
        <f t="shared" si="53"/>
        <v>3.669434796176543E-12</v>
      </c>
      <c r="R61" s="59">
        <f t="shared" si="0"/>
        <v>293.33333333333701</v>
      </c>
      <c r="S61" s="59">
        <f ca="1">AVERAGE(OFFSET($R$3,0,0,'Données projet'!$E$9+1,1))-AVERAGE(OFFSET($H$3,0,0,'Données projet'!$E$9+1,1))</f>
        <v>212.98969326021802</v>
      </c>
      <c r="T61" s="59">
        <f t="shared" si="34"/>
        <v>422.91218020922895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42.806718808128387</v>
      </c>
      <c r="AA61" s="21">
        <f>EXP(-LN(2)/25)*AA60+(1-EXP(-LN(2)/25))/(LN(2)/25)*Calculateur!V61*Calculateur!X61*VLOOKUP('Données projet'!$B$9,Paramètres!$A$1:$I$89,3,0)*0.475*44/12</f>
        <v>31.076983824663188</v>
      </c>
      <c r="AB61" s="21">
        <f>EXP(-LN(2)/2)*AB60+(1-EXP(-LN(2)/2))/(LN(2)/2)*V61*Y61*VLOOKUP('Données projet'!$B$9,Paramètres!$A$1:$I$89,3,0)*0.475*44/12</f>
        <v>3.1319466740730682E-2</v>
      </c>
      <c r="AC61" s="22">
        <f t="shared" si="3"/>
        <v>73.915022099532294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16.7</v>
      </c>
      <c r="AI61" s="13">
        <f>IF('Données projet'!$A$62&gt;35,AI60+AH61-AQ60,IF(A61&lt;'Données projet'!$A$62,$AF$205^A61,IF(A61='Données projet'!$A$62,'Données projet'!$B$62,AI60+AH61-AQ60)))</f>
        <v>470.59999999999962</v>
      </c>
      <c r="AJ61" s="13">
        <f>AI61*VLOOKUP('Données projet'!$B$10,Paramètres!$A$1:$I$89,3,0)*VLOOKUP('Données projet'!$B$10,Paramètres!$A$1:$I$89,5,0)</f>
        <v>281.41879999999981</v>
      </c>
      <c r="AK61" s="13">
        <f t="shared" si="35"/>
        <v>67.266753849939221</v>
      </c>
      <c r="AL61" s="20">
        <f t="shared" si="4"/>
        <v>607.2940062886438</v>
      </c>
      <c r="AM61" s="59">
        <f t="shared" si="5"/>
        <v>900.62733962197717</v>
      </c>
      <c r="AN61" s="59">
        <f ca="1">AVERAGE(OFFSET($AM$3,0,0,'Données projet'!$E$10+1,1))-AVERAGE(OFFSET($H$3,0,0,'Données projet'!$E$10+1,1))</f>
        <v>318.09371753144256</v>
      </c>
      <c r="AO61" s="59">
        <f t="shared" si="36"/>
        <v>298.61479562586919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2.0092969886494925</v>
      </c>
      <c r="AV61" s="21">
        <f>EXP(-LN(2)/25)*AV60+(1-EXP(-LN(2)/25))/(LN(2)/25)*Calculateur!AQ61*Calculateur!AS61*VLOOKUP('Données projet'!$B$10,Paramètres!$A$1:$I$89,3,0)*0.475*44/12</f>
        <v>9.508314384601146</v>
      </c>
      <c r="AW61" s="21">
        <f>EXP(-LN(2)/2)*AW60+(1-EXP(-LN(2)/2))/(LN(2)/2)*AQ61*AT61*VLOOKUP('Données projet'!$B$10,Paramètres!$A$1:$I$89,3,0)*0.475*44/12</f>
        <v>1.8463401878978886E-3</v>
      </c>
      <c r="AX61" s="21">
        <f t="shared" si="6"/>
        <v>11.519457713438536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5.6</v>
      </c>
      <c r="BD61" s="12">
        <f>IF('Données projet'!$A$88&gt;35,BD60+BC61-BL60,IF(A61&lt;'Données projet'!$A$88,$BA$205^A61,IF(A61='Données projet'!$A$88,'Données projet'!$B$88,BD60+BC61-BL60)))</f>
        <v>246.7999999999997</v>
      </c>
      <c r="BE61" s="13">
        <f>BD61*VLOOKUP('Données projet'!$B$11,Paramètres!$A$1:$I$89,3,0)*VLOOKUP('Données projet'!$B$11,Paramètres!$A$1:$I$89,5,0)</f>
        <v>200.20415999999977</v>
      </c>
      <c r="BF61" s="13">
        <f t="shared" si="37"/>
        <v>49.789033249442454</v>
      </c>
      <c r="BG61" s="20">
        <f t="shared" si="7"/>
        <v>435.40481157611185</v>
      </c>
      <c r="BH61" s="59">
        <f t="shared" si="8"/>
        <v>728.73814490944517</v>
      </c>
      <c r="BI61" s="59">
        <f ca="1">AVERAGE(OFFSET($BH$3,0,0,'Données projet'!$E$11+1,1))-AVERAGE(OFFSET($H$3,0,0,'Données projet'!$E$11+1,1))</f>
        <v>230.68538392491388</v>
      </c>
      <c r="BJ61" s="59">
        <f t="shared" si="38"/>
        <v>267.97457956620724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3.9137312534071662</v>
      </c>
      <c r="BR61" s="21">
        <f>EXP(-LN(2)/2)*BR60+(1-EXP(-LN(2)/2))/(LN(2)/2)*BL61*BO61*VLOOKUP('Données projet'!$B$11,Paramètres!$A$1:$I$89,3,0)*0.475*44/12</f>
        <v>6.697124842594543E-4</v>
      </c>
      <c r="BS61" s="22">
        <f t="shared" si="9"/>
        <v>3.9144009658914256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5.5</v>
      </c>
      <c r="BY61" s="12">
        <f>IF('Données projet'!$A$114&gt;35,BY60+BX61-CG60,IF(A61&lt;'Données projet'!$A$114,$BV$205^A61,IF(A61='Données projet'!$A$114,'Données projet'!$B$114,BY60+BX61-CG60)))</f>
        <v>150.99999999999997</v>
      </c>
      <c r="BZ61" s="13">
        <f>BY61*VLOOKUP('Données projet'!$B$12,Paramètres!$A$1:$I$89,3,0)*VLOOKUP('Données projet'!$B$12,Paramètres!$A$1:$I$89,5,0)</f>
        <v>171.95879999999997</v>
      </c>
      <c r="CA61" s="13">
        <f t="shared" si="39"/>
        <v>43.528436681715618</v>
      </c>
      <c r="CB61" s="20">
        <f t="shared" si="10"/>
        <v>375.30693722065462</v>
      </c>
      <c r="CC61" s="59">
        <f t="shared" si="11"/>
        <v>668.64027055398788</v>
      </c>
      <c r="CD61" s="59">
        <f ca="1">AVERAGE(OFFSET($CC$3,0,0,'Données projet'!$E$12+1,1))-AVERAGE(OFFSET($H$3,0,0,'Données projet'!$E$12+1,1))</f>
        <v>242.1473060698724</v>
      </c>
      <c r="CE61" s="59">
        <f t="shared" si="40"/>
        <v>96.127995920458659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0</v>
      </c>
      <c r="CZ61" s="59">
        <f t="shared" si="42"/>
        <v>0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>
        <f>DO61*VLOOKUP('Données projet'!$B$14,Paramètres!$A$1:$I$89,3,0)*VLOOKUP('Données projet'!$B$14,Paramètres!$A$1:$I$89,5,0)</f>
        <v>0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0</v>
      </c>
      <c r="DU61" s="59">
        <f t="shared" si="44"/>
        <v>0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1.3596945791505279E-13</v>
      </c>
      <c r="P62" s="13">
        <f t="shared" si="33"/>
        <v>1.9708830566360721E-12</v>
      </c>
      <c r="Q62" s="20">
        <f t="shared" si="53"/>
        <v>3.669434796176543E-12</v>
      </c>
      <c r="R62" s="59">
        <f t="shared" si="0"/>
        <v>293.33333333333701</v>
      </c>
      <c r="S62" s="59">
        <f ca="1">AVERAGE(OFFSET($R$3,0,0,'Données projet'!$E$9+1,1))-AVERAGE(OFFSET($H$3,0,0,'Données projet'!$E$9+1,1))</f>
        <v>212.98969326021802</v>
      </c>
      <c r="T62" s="59">
        <f t="shared" si="34"/>
        <v>422.91218020922895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41.967305161821365</v>
      </c>
      <c r="AA62" s="21">
        <f>EXP(-LN(2)/25)*AA61+(1-EXP(-LN(2)/25))/(LN(2)/25)*Calculateur!V62*Calculateur!X62*VLOOKUP('Données projet'!$B$9,Paramètres!$A$1:$I$89,3,0)*0.475*44/12</f>
        <v>30.227182067710221</v>
      </c>
      <c r="AB62" s="21">
        <f>EXP(-LN(2)/2)*AB61+(1-EXP(-LN(2)/2))/(LN(2)/2)*V62*Y62*VLOOKUP('Données projet'!$B$9,Paramètres!$A$1:$I$89,3,0)*0.475*44/12</f>
        <v>2.2146207315517204E-2</v>
      </c>
      <c r="AC62" s="22">
        <f t="shared" si="3"/>
        <v>72.216633436847104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16.7</v>
      </c>
      <c r="AI62" s="13">
        <f>IF('Données projet'!$A$62&gt;35,AI61+AH62-AQ61,IF(A62&lt;'Données projet'!$A$62,$AF$205^A62,IF(A62='Données projet'!$A$62,'Données projet'!$B$62,AI61+AH62-AQ61)))</f>
        <v>487.29999999999961</v>
      </c>
      <c r="AJ62" s="13">
        <f>AI62*VLOOKUP('Données projet'!$B$10,Paramètres!$A$1:$I$89,3,0)*VLOOKUP('Données projet'!$B$10,Paramètres!$A$1:$I$89,5,0)</f>
        <v>291.40539999999982</v>
      </c>
      <c r="AK62" s="13">
        <f t="shared" si="35"/>
        <v>69.371668505358471</v>
      </c>
      <c r="AL62" s="20">
        <f t="shared" si="4"/>
        <v>628.35339431349905</v>
      </c>
      <c r="AM62" s="59">
        <f t="shared" si="5"/>
        <v>921.68672764683242</v>
      </c>
      <c r="AN62" s="59">
        <f ca="1">AVERAGE(OFFSET($AM$3,0,0,'Données projet'!$E$10+1,1))-AVERAGE(OFFSET($H$3,0,0,'Données projet'!$E$10+1,1))</f>
        <v>318.09371753144256</v>
      </c>
      <c r="AO62" s="59">
        <f t="shared" si="36"/>
        <v>298.61479562586919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1.9698959002522261</v>
      </c>
      <c r="AV62" s="21">
        <f>EXP(-LN(2)/25)*AV61+(1-EXP(-LN(2)/25))/(LN(2)/25)*Calculateur!AQ62*Calculateur!AS62*VLOOKUP('Données projet'!$B$10,Paramètres!$A$1:$I$89,3,0)*0.475*44/12</f>
        <v>9.2483090277337059</v>
      </c>
      <c r="AW62" s="21">
        <f>EXP(-LN(2)/2)*AW61+(1-EXP(-LN(2)/2))/(LN(2)/2)*AQ62*AT62*VLOOKUP('Données projet'!$B$10,Paramètres!$A$1:$I$89,3,0)*0.475*44/12</f>
        <v>1.3055596672398415E-3</v>
      </c>
      <c r="AX62" s="21">
        <f t="shared" si="6"/>
        <v>11.219510487653171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5.6</v>
      </c>
      <c r="BD62" s="12">
        <f>IF('Données projet'!$A$88&gt;35,BD61+BC62-BL61,IF(A62&lt;'Données projet'!$A$88,$BA$205^A62,IF(A62='Données projet'!$A$88,'Données projet'!$B$88,BD61+BC62-BL61)))</f>
        <v>252.39999999999969</v>
      </c>
      <c r="BE62" s="13">
        <f>BD62*VLOOKUP('Données projet'!$B$11,Paramètres!$A$1:$I$89,3,0)*VLOOKUP('Données projet'!$B$11,Paramètres!$A$1:$I$89,5,0)</f>
        <v>204.74687999999978</v>
      </c>
      <c r="BF62" s="13">
        <f t="shared" si="37"/>
        <v>50.785959801489938</v>
      </c>
      <c r="BG62" s="20">
        <f t="shared" si="7"/>
        <v>445.05302932092792</v>
      </c>
      <c r="BH62" s="59">
        <f t="shared" si="8"/>
        <v>738.38636265426123</v>
      </c>
      <c r="BI62" s="59">
        <f ca="1">AVERAGE(OFFSET($BH$3,0,0,'Données projet'!$E$11+1,1))-AVERAGE(OFFSET($H$3,0,0,'Données projet'!$E$11+1,1))</f>
        <v>230.68538392491388</v>
      </c>
      <c r="BJ62" s="59">
        <f t="shared" si="38"/>
        <v>267.97457956620724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3.8067100664685656</v>
      </c>
      <c r="BR62" s="21">
        <f>EXP(-LN(2)/2)*BR61+(1-EXP(-LN(2)/2))/(LN(2)/2)*BL62*BO62*VLOOKUP('Données projet'!$B$11,Paramètres!$A$1:$I$89,3,0)*0.475*44/12</f>
        <v>4.7355823906514914E-4</v>
      </c>
      <c r="BS62" s="22">
        <f t="shared" si="9"/>
        <v>3.8071836247076307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5.5</v>
      </c>
      <c r="BY62" s="12">
        <f>IF('Données projet'!$A$114&gt;35,BY61+BX62-CG61,IF(A62&lt;'Données projet'!$A$114,$BV$205^A62,IF(A62='Données projet'!$A$114,'Données projet'!$B$114,BY61+BX62-CG61)))</f>
        <v>156.49999999999997</v>
      </c>
      <c r="BZ62" s="13">
        <f>BY62*VLOOKUP('Données projet'!$B$12,Paramètres!$A$1:$I$89,3,0)*VLOOKUP('Données projet'!$B$12,Paramètres!$A$1:$I$89,5,0)</f>
        <v>178.22219999999996</v>
      </c>
      <c r="CA62" s="13">
        <f t="shared" si="39"/>
        <v>44.926430222501445</v>
      </c>
      <c r="CB62" s="20">
        <f t="shared" si="10"/>
        <v>388.65053097085661</v>
      </c>
      <c r="CC62" s="59">
        <f t="shared" si="11"/>
        <v>681.98386430418986</v>
      </c>
      <c r="CD62" s="59">
        <f ca="1">AVERAGE(OFFSET($CC$3,0,0,'Données projet'!$E$12+1,1))-AVERAGE(OFFSET($H$3,0,0,'Données projet'!$E$12+1,1))</f>
        <v>242.1473060698724</v>
      </c>
      <c r="CE62" s="59">
        <f t="shared" si="40"/>
        <v>96.127995920458659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0</v>
      </c>
      <c r="CZ62" s="59">
        <f t="shared" si="42"/>
        <v>0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>
        <f>DO62*VLOOKUP('Données projet'!$B$14,Paramètres!$A$1:$I$89,3,0)*VLOOKUP('Données projet'!$B$14,Paramètres!$A$1:$I$89,5,0)</f>
        <v>0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0</v>
      </c>
      <c r="DU62" s="59">
        <f t="shared" si="44"/>
        <v>0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1.3596945791505279E-13</v>
      </c>
      <c r="P63" s="13">
        <f t="shared" si="33"/>
        <v>1.9708830566360721E-12</v>
      </c>
      <c r="Q63" s="20">
        <f t="shared" si="53"/>
        <v>3.669434796176543E-12</v>
      </c>
      <c r="R63" s="59">
        <f t="shared" si="0"/>
        <v>293.33333333333701</v>
      </c>
      <c r="S63" s="59">
        <f ca="1">AVERAGE(OFFSET($R$3,0,0,'Données projet'!$E$9+1,1))-AVERAGE(OFFSET($H$3,0,0,'Données projet'!$E$9+1,1))</f>
        <v>212.98969326021802</v>
      </c>
      <c r="T63" s="59">
        <f t="shared" si="34"/>
        <v>422.91218020922895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41.144351905126648</v>
      </c>
      <c r="AA63" s="21">
        <f>EXP(-LN(2)/25)*AA62+(1-EXP(-LN(2)/25))/(LN(2)/25)*Calculateur!V63*Calculateur!X63*VLOOKUP('Données projet'!$B$9,Paramètres!$A$1:$I$89,3,0)*0.475*44/12</f>
        <v>29.400618184490266</v>
      </c>
      <c r="AB63" s="21">
        <f>EXP(-LN(2)/2)*AB62+(1-EXP(-LN(2)/2))/(LN(2)/2)*V63*Y63*VLOOKUP('Données projet'!$B$9,Paramètres!$A$1:$I$89,3,0)*0.475*44/12</f>
        <v>1.5659733370365341E-2</v>
      </c>
      <c r="AC63" s="22">
        <f t="shared" si="3"/>
        <v>70.560629822987281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504</v>
      </c>
      <c r="AG63" s="12">
        <f>VLOOKUP(A63,'Données projet'!$A$61:$I$81,9,0)</f>
        <v>16.7</v>
      </c>
      <c r="AH63" s="12">
        <f t="array" ref="AH63">INDEX(AG:AG,MIN(IF(ISNUMBER(AG63:AG259),ROW(AG63:AG259),"")))</f>
        <v>16.7</v>
      </c>
      <c r="AI63" s="13">
        <f>IF('Données projet'!$A$62&gt;35,AI62+AH63-AQ62,IF(A63&lt;'Données projet'!$A$62,$AF$205^A63,IF(A63='Données projet'!$A$62,'Données projet'!$B$62,AI62+AH63-AQ62)))</f>
        <v>503.9999999999996</v>
      </c>
      <c r="AJ63" s="13">
        <f>AI63*VLOOKUP('Données projet'!$B$10,Paramètres!$A$1:$I$89,3,0)*VLOOKUP('Données projet'!$B$10,Paramètres!$A$1:$I$89,5,0)</f>
        <v>301.39199999999977</v>
      </c>
      <c r="AK63" s="13">
        <f t="shared" si="35"/>
        <v>71.468201474229218</v>
      </c>
      <c r="AL63" s="20">
        <f t="shared" si="4"/>
        <v>649.3981842342821</v>
      </c>
      <c r="AM63" s="59">
        <f t="shared" si="5"/>
        <v>942.73151756761536</v>
      </c>
      <c r="AN63" s="59">
        <f ca="1">AVERAGE(OFFSET($AM$3,0,0,'Données projet'!$E$10+1,1))-AVERAGE(OFFSET($H$3,0,0,'Données projet'!$E$10+1,1))</f>
        <v>318.09371753144256</v>
      </c>
      <c r="AO63" s="59">
        <f t="shared" si="36"/>
        <v>298.61479562586919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90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1.931267443166139</v>
      </c>
      <c r="AV63" s="21">
        <f>EXP(-LN(2)/25)*AV62+(1-EXP(-LN(2)/25))/(LN(2)/25)*Calculateur!AQ63*Calculateur!AS63*VLOOKUP('Données projet'!$B$10,Paramètres!$A$1:$I$89,3,0)*0.475*44/12</f>
        <v>8.9954135310228924</v>
      </c>
      <c r="AW63" s="21">
        <f>EXP(-LN(2)/2)*AW62+(1-EXP(-LN(2)/2))/(LN(2)/2)*AQ63*AT63*VLOOKUP('Données projet'!$B$10,Paramètres!$A$1:$I$89,3,0)*0.475*44/12</f>
        <v>9.231700939489445E-4</v>
      </c>
      <c r="AX63" s="21">
        <f t="shared" si="6"/>
        <v>10.927604144282981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258</v>
      </c>
      <c r="BB63" s="12">
        <f>VLOOKUP(A63,'Données projet'!$A$87:$I$107,9,0)</f>
        <v>5.6</v>
      </c>
      <c r="BC63" s="12">
        <f t="array" ref="BC63">INDEX(BB:BB,MIN(IF(ISNUMBER(BB63:BB259),ROW(BB63:BB259),"")))</f>
        <v>5.6</v>
      </c>
      <c r="BD63" s="12">
        <f>IF('Données projet'!$A$88&gt;35,BD62+BC63-BL62,IF(A63&lt;'Données projet'!$A$88,$BA$205^A63,IF(A63='Données projet'!$A$88,'Données projet'!$B$88,BD62+BC63-BL62)))</f>
        <v>257.99999999999972</v>
      </c>
      <c r="BE63" s="13">
        <f>BD63*VLOOKUP('Données projet'!$B$11,Paramètres!$A$1:$I$89,3,0)*VLOOKUP('Données projet'!$B$11,Paramètres!$A$1:$I$89,5,0)</f>
        <v>209.28959999999978</v>
      </c>
      <c r="BF63" s="13">
        <f t="shared" si="37"/>
        <v>51.780314822292119</v>
      </c>
      <c r="BG63" s="20">
        <f t="shared" si="7"/>
        <v>454.69676831549168</v>
      </c>
      <c r="BH63" s="59">
        <f t="shared" si="8"/>
        <v>748.03010164882494</v>
      </c>
      <c r="BI63" s="59">
        <f ca="1">AVERAGE(OFFSET($BH$3,0,0,'Données projet'!$E$11+1,1))-AVERAGE(OFFSET($H$3,0,0,'Données projet'!$E$11+1,1))</f>
        <v>230.68538392491388</v>
      </c>
      <c r="BJ63" s="59">
        <f t="shared" si="38"/>
        <v>267.97457956620724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25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3.7026153795148007</v>
      </c>
      <c r="BR63" s="21">
        <f>EXP(-LN(2)/2)*BR62+(1-EXP(-LN(2)/2))/(LN(2)/2)*BL63*BO63*VLOOKUP('Données projet'!$B$11,Paramètres!$A$1:$I$89,3,0)*0.475*44/12</f>
        <v>3.348562421297272E-4</v>
      </c>
      <c r="BS63" s="22">
        <f t="shared" si="9"/>
        <v>3.7029502357569304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162</v>
      </c>
      <c r="BW63" s="12">
        <f>VLOOKUP(A63,'Données projet'!$A$113:$I$133,9,0)</f>
        <v>5.5</v>
      </c>
      <c r="BX63" s="12">
        <f t="array" ref="BX63">INDEX(BW:BW,MIN(IF(ISNUMBER(BW63:BW259),ROW(BW63:BW259),"")))</f>
        <v>5.5</v>
      </c>
      <c r="BY63" s="12">
        <f>IF('Données projet'!$A$114&gt;35,BY62+BX63-CG62,IF(A63&lt;'Données projet'!$A$114,$BV$205^A63,IF(A63='Données projet'!$A$114,'Données projet'!$B$114,BY62+BX63-CG62)))</f>
        <v>161.99999999999997</v>
      </c>
      <c r="BZ63" s="13">
        <f>BY63*VLOOKUP('Données projet'!$B$12,Paramètres!$A$1:$I$89,3,0)*VLOOKUP('Données projet'!$B$12,Paramètres!$A$1:$I$89,5,0)</f>
        <v>184.48559999999998</v>
      </c>
      <c r="CA63" s="13">
        <f t="shared" si="39"/>
        <v>46.318715382308191</v>
      </c>
      <c r="CB63" s="20">
        <f t="shared" si="10"/>
        <v>401.98418262418676</v>
      </c>
      <c r="CC63" s="59">
        <f t="shared" si="11"/>
        <v>695.31751595752007</v>
      </c>
      <c r="CD63" s="59">
        <f ca="1">AVERAGE(OFFSET($CC$3,0,0,'Données projet'!$E$12+1,1))-AVERAGE(OFFSET($H$3,0,0,'Données projet'!$E$12+1,1))</f>
        <v>242.1473060698724</v>
      </c>
      <c r="CE63" s="59">
        <f t="shared" si="40"/>
        <v>96.127995920458659</v>
      </c>
      <c r="CF63" s="15">
        <f>IF(ISNA(VLOOKUP(A63,'Données projet'!$A$113:$I$133,3,0)),0,VLOOKUP(A63,'Données projet'!$A$113:$I$133,3,0))</f>
        <v>3</v>
      </c>
      <c r="CG63" s="15">
        <f>IF(ISNA(VLOOKUP(A63,'Données projet'!$A$113:$I$133,4,0)),0,VLOOKUP(A63,'Données projet'!$A$113:$I$133,4,0))</f>
        <v>28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0</v>
      </c>
      <c r="CZ63" s="59">
        <f t="shared" si="42"/>
        <v>0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>
        <f>DO63*VLOOKUP('Données projet'!$B$14,Paramètres!$A$1:$I$89,3,0)*VLOOKUP('Données projet'!$B$14,Paramètres!$A$1:$I$89,5,0)</f>
        <v>0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0</v>
      </c>
      <c r="DU63" s="59">
        <f t="shared" si="44"/>
        <v>0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1.3596945791505279E-13</v>
      </c>
      <c r="P64" s="13">
        <f t="shared" si="33"/>
        <v>1.9708830566360721E-12</v>
      </c>
      <c r="Q64" s="20">
        <f t="shared" si="53"/>
        <v>3.669434796176543E-12</v>
      </c>
      <c r="R64" s="59">
        <f t="shared" si="0"/>
        <v>293.33333333333701</v>
      </c>
      <c r="S64" s="59">
        <f ca="1">AVERAGE(OFFSET($R$3,0,0,'Données projet'!$E$9+1,1))-AVERAGE(OFFSET($H$3,0,0,'Données projet'!$E$9+1,1))</f>
        <v>212.98969326021802</v>
      </c>
      <c r="T64" s="59">
        <f t="shared" si="34"/>
        <v>422.91218020922895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40.337536259843795</v>
      </c>
      <c r="AA64" s="21">
        <f>EXP(-LN(2)/25)*AA63+(1-EXP(-LN(2)/25))/(LN(2)/25)*Calculateur!V64*Calculateur!X64*VLOOKUP('Données projet'!$B$9,Paramètres!$A$1:$I$89,3,0)*0.475*44/12</f>
        <v>28.596656734124064</v>
      </c>
      <c r="AB64" s="21">
        <f>EXP(-LN(2)/2)*AB63+(1-EXP(-LN(2)/2))/(LN(2)/2)*V64*Y64*VLOOKUP('Données projet'!$B$9,Paramètres!$A$1:$I$89,3,0)*0.475*44/12</f>
        <v>1.1073103657758602E-2</v>
      </c>
      <c r="AC64" s="22">
        <f t="shared" si="3"/>
        <v>68.94526609762562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14.3</v>
      </c>
      <c r="AI64" s="13">
        <f>IF('Données projet'!$A$62&gt;35,AI63+AH64-AQ63,IF(A64&lt;'Données projet'!$A$62,$AF$205^A64,IF(A64='Données projet'!$A$62,'Données projet'!$B$62,AI63+AH64-AQ63)))</f>
        <v>428.29999999999961</v>
      </c>
      <c r="AJ64" s="13">
        <f>AI64*VLOOKUP('Données projet'!$B$10,Paramètres!$A$1:$I$89,3,0)*VLOOKUP('Données projet'!$B$10,Paramètres!$A$1:$I$89,5,0)</f>
        <v>256.12339999999978</v>
      </c>
      <c r="AK64" s="13">
        <f t="shared" si="35"/>
        <v>61.89532242116605</v>
      </c>
      <c r="AL64" s="20">
        <f t="shared" si="4"/>
        <v>553.88260821686379</v>
      </c>
      <c r="AM64" s="59">
        <f t="shared" si="5"/>
        <v>847.21594155019716</v>
      </c>
      <c r="AN64" s="59">
        <f ca="1">AVERAGE(OFFSET($AM$3,0,0,'Données projet'!$E$10+1,1))-AVERAGE(OFFSET($H$3,0,0,'Données projet'!$E$10+1,1))</f>
        <v>318.09371753144256</v>
      </c>
      <c r="AO64" s="59">
        <f t="shared" si="36"/>
        <v>298.61479562586919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1.8933964665624778</v>
      </c>
      <c r="AV64" s="21">
        <f>EXP(-LN(2)/25)*AV63+(1-EXP(-LN(2)/25))/(LN(2)/25)*Calculateur!AQ64*Calculateur!AS64*VLOOKUP('Données projet'!$B$10,Paramètres!$A$1:$I$89,3,0)*0.475*44/12</f>
        <v>8.7494334749688338</v>
      </c>
      <c r="AW64" s="21">
        <f>EXP(-LN(2)/2)*AW63+(1-EXP(-LN(2)/2))/(LN(2)/2)*AQ64*AT64*VLOOKUP('Données projet'!$B$10,Paramètres!$A$1:$I$89,3,0)*0.475*44/12</f>
        <v>6.5277983361992085E-4</v>
      </c>
      <c r="AX64" s="21">
        <f t="shared" si="6"/>
        <v>10.643482721364933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4.0999999999999996</v>
      </c>
      <c r="BD64" s="12">
        <f>IF('Données projet'!$A$88&gt;35,BD63+BC64-BL63,IF(A64&lt;'Données projet'!$A$88,$BA$205^A64,IF(A64='Données projet'!$A$88,'Données projet'!$B$88,BD63+BC64-BL63)))</f>
        <v>237.09999999999974</v>
      </c>
      <c r="BE64" s="13">
        <f>BD64*VLOOKUP('Données projet'!$B$11,Paramètres!$A$1:$I$89,3,0)*VLOOKUP('Données projet'!$B$11,Paramètres!$A$1:$I$89,5,0)</f>
        <v>192.3355199999998</v>
      </c>
      <c r="BF64" s="13">
        <f t="shared" si="37"/>
        <v>48.055935441424452</v>
      </c>
      <c r="BG64" s="20">
        <f t="shared" si="7"/>
        <v>418.68178489381393</v>
      </c>
      <c r="BH64" s="59">
        <f t="shared" si="8"/>
        <v>712.01511822714724</v>
      </c>
      <c r="BI64" s="59">
        <f ca="1">AVERAGE(OFFSET($BH$3,0,0,'Données projet'!$E$11+1,1))-AVERAGE(OFFSET($H$3,0,0,'Données projet'!$E$11+1,1))</f>
        <v>230.68538392491388</v>
      </c>
      <c r="BJ64" s="59">
        <f t="shared" si="38"/>
        <v>267.97457956620724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3.6013671672498879</v>
      </c>
      <c r="BR64" s="21">
        <f>EXP(-LN(2)/2)*BR63+(1-EXP(-LN(2)/2))/(LN(2)/2)*BL64*BO64*VLOOKUP('Données projet'!$B$11,Paramètres!$A$1:$I$89,3,0)*0.475*44/12</f>
        <v>2.367791195325746E-4</v>
      </c>
      <c r="BS64" s="22">
        <f t="shared" si="9"/>
        <v>3.6016039463694205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139.19999999999996</v>
      </c>
      <c r="BZ64" s="13">
        <f>BY64*VLOOKUP('Données projet'!$B$12,Paramètres!$A$1:$I$89,3,0)*VLOOKUP('Données projet'!$B$12,Paramètres!$A$1:$I$89,5,0)</f>
        <v>158.52095999999997</v>
      </c>
      <c r="CA64" s="13">
        <f t="shared" si="39"/>
        <v>40.508733707832626</v>
      </c>
      <c r="CB64" s="20">
        <f t="shared" si="10"/>
        <v>346.64338320780843</v>
      </c>
      <c r="CC64" s="59">
        <f t="shared" si="11"/>
        <v>639.97671654114174</v>
      </c>
      <c r="CD64" s="59">
        <f ca="1">AVERAGE(OFFSET($CC$3,0,0,'Données projet'!$E$12+1,1))-AVERAGE(OFFSET($H$3,0,0,'Données projet'!$E$12+1,1))</f>
        <v>242.1473060698724</v>
      </c>
      <c r="CE64" s="59">
        <f t="shared" si="40"/>
        <v>96.127995920458659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0</v>
      </c>
      <c r="CZ64" s="59">
        <f t="shared" si="42"/>
        <v>0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>
        <f>DO64*VLOOKUP('Données projet'!$B$14,Paramètres!$A$1:$I$89,3,0)*VLOOKUP('Données projet'!$B$14,Paramètres!$A$1:$I$89,5,0)</f>
        <v>0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0</v>
      </c>
      <c r="DU64" s="59">
        <f t="shared" si="44"/>
        <v>0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1.3596945791505279E-13</v>
      </c>
      <c r="P65" s="13">
        <f t="shared" si="33"/>
        <v>1.9708830566360721E-12</v>
      </c>
      <c r="Q65" s="20">
        <f t="shared" si="53"/>
        <v>3.669434796176543E-12</v>
      </c>
      <c r="R65" s="59">
        <f t="shared" si="0"/>
        <v>293.33333333333701</v>
      </c>
      <c r="S65" s="59">
        <f ca="1">AVERAGE(OFFSET($R$3,0,0,'Données projet'!$E$9+1,1))-AVERAGE(OFFSET($H$3,0,0,'Données projet'!$E$9+1,1))</f>
        <v>212.98969326021802</v>
      </c>
      <c r="T65" s="59">
        <f t="shared" si="34"/>
        <v>422.91218020922895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39.546541777255989</v>
      </c>
      <c r="AA65" s="21">
        <f>EXP(-LN(2)/25)*AA64+(1-EXP(-LN(2)/25))/(LN(2)/25)*Calculateur!V65*Calculateur!X65*VLOOKUP('Données projet'!$B$9,Paramètres!$A$1:$I$89,3,0)*0.475*44/12</f>
        <v>27.814679651896622</v>
      </c>
      <c r="AB65" s="21">
        <f>EXP(-LN(2)/2)*AB64+(1-EXP(-LN(2)/2))/(LN(2)/2)*V65*Y65*VLOOKUP('Données projet'!$B$9,Paramètres!$A$1:$I$89,3,0)*0.475*44/12</f>
        <v>7.8298666851826706E-3</v>
      </c>
      <c r="AC65" s="22">
        <f t="shared" si="3"/>
        <v>67.369051295837792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14.3</v>
      </c>
      <c r="AI65" s="13">
        <f>IF('Données projet'!$A$62&gt;35,AI64+AH65-AQ64,IF(A65&lt;'Données projet'!$A$62,$AF$205^A65,IF(A65='Données projet'!$A$62,'Données projet'!$B$62,AI64+AH65-AQ64)))</f>
        <v>442.59999999999962</v>
      </c>
      <c r="AJ65" s="13">
        <f>AI65*VLOOKUP('Données projet'!$B$10,Paramètres!$A$1:$I$89,3,0)*VLOOKUP('Données projet'!$B$10,Paramètres!$A$1:$I$89,5,0)</f>
        <v>264.67479999999978</v>
      </c>
      <c r="AK65" s="13">
        <f t="shared" si="35"/>
        <v>63.717820563659302</v>
      </c>
      <c r="AL65" s="20">
        <f t="shared" si="4"/>
        <v>571.95048081503955</v>
      </c>
      <c r="AM65" s="59">
        <f t="shared" si="5"/>
        <v>865.28381414837281</v>
      </c>
      <c r="AN65" s="59">
        <f ca="1">AVERAGE(OFFSET($AM$3,0,0,'Données projet'!$E$10+1,1))-AVERAGE(OFFSET($H$3,0,0,'Données projet'!$E$10+1,1))</f>
        <v>318.09371753144256</v>
      </c>
      <c r="AO65" s="59">
        <f t="shared" si="36"/>
        <v>298.61479562586919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1.8562681167109996</v>
      </c>
      <c r="AV65" s="21">
        <f>EXP(-LN(2)/25)*AV64+(1-EXP(-LN(2)/25))/(LN(2)/25)*Calculateur!AQ65*Calculateur!AS65*VLOOKUP('Données projet'!$B$10,Paramètres!$A$1:$I$89,3,0)*0.475*44/12</f>
        <v>8.510179756483101</v>
      </c>
      <c r="AW65" s="21">
        <f>EXP(-LN(2)/2)*AW64+(1-EXP(-LN(2)/2))/(LN(2)/2)*AQ65*AT65*VLOOKUP('Données projet'!$B$10,Paramètres!$A$1:$I$89,3,0)*0.475*44/12</f>
        <v>4.6158504697447231E-4</v>
      </c>
      <c r="AX65" s="21">
        <f t="shared" si="6"/>
        <v>10.366909458241075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4.0999999999999996</v>
      </c>
      <c r="BD65" s="12">
        <f>IF('Données projet'!$A$88&gt;35,BD64+BC65-BL64,IF(A65&lt;'Données projet'!$A$88,$BA$205^A65,IF(A65='Données projet'!$A$88,'Données projet'!$B$88,BD64+BC65-BL64)))</f>
        <v>241.19999999999973</v>
      </c>
      <c r="BE65" s="13">
        <f>BD65*VLOOKUP('Données projet'!$B$11,Paramètres!$A$1:$I$89,3,0)*VLOOKUP('Données projet'!$B$11,Paramètres!$A$1:$I$89,5,0)</f>
        <v>195.6614399999998</v>
      </c>
      <c r="BF65" s="13">
        <f t="shared" si="37"/>
        <v>48.789469927948474</v>
      </c>
      <c r="BG65" s="20">
        <f t="shared" si="7"/>
        <v>425.75200145784316</v>
      </c>
      <c r="BH65" s="59">
        <f t="shared" si="8"/>
        <v>719.08533479117648</v>
      </c>
      <c r="BI65" s="59">
        <f ca="1">AVERAGE(OFFSET($BH$3,0,0,'Données projet'!$E$11+1,1))-AVERAGE(OFFSET($H$3,0,0,'Données projet'!$E$11+1,1))</f>
        <v>230.68538392491388</v>
      </c>
      <c r="BJ65" s="59">
        <f t="shared" si="38"/>
        <v>267.97457956620724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3.5028875926737713</v>
      </c>
      <c r="BR65" s="21">
        <f>EXP(-LN(2)/2)*BR64+(1-EXP(-LN(2)/2))/(LN(2)/2)*BL65*BO65*VLOOKUP('Données projet'!$B$11,Paramètres!$A$1:$I$89,3,0)*0.475*44/12</f>
        <v>1.6742812106486363E-4</v>
      </c>
      <c r="BS65" s="22">
        <f t="shared" si="9"/>
        <v>3.5030550207948363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144.39999999999995</v>
      </c>
      <c r="BZ65" s="13">
        <f>BY65*VLOOKUP('Données projet'!$B$12,Paramètres!$A$1:$I$89,3,0)*VLOOKUP('Données projet'!$B$12,Paramètres!$A$1:$I$89,5,0)</f>
        <v>164.44271999999995</v>
      </c>
      <c r="CA65" s="13">
        <f t="shared" si="39"/>
        <v>41.842980414054516</v>
      </c>
      <c r="CB65" s="20">
        <f t="shared" si="10"/>
        <v>359.2809282211449</v>
      </c>
      <c r="CC65" s="59">
        <f t="shared" si="11"/>
        <v>652.61426155447816</v>
      </c>
      <c r="CD65" s="59">
        <f ca="1">AVERAGE(OFFSET($CC$3,0,0,'Données projet'!$E$12+1,1))-AVERAGE(OFFSET($H$3,0,0,'Données projet'!$E$12+1,1))</f>
        <v>242.1473060698724</v>
      </c>
      <c r="CE65" s="59">
        <f t="shared" si="40"/>
        <v>96.127995920458659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0</v>
      </c>
      <c r="CZ65" s="59">
        <f t="shared" si="42"/>
        <v>0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>
        <f>DO65*VLOOKUP('Données projet'!$B$14,Paramètres!$A$1:$I$89,3,0)*VLOOKUP('Données projet'!$B$14,Paramètres!$A$1:$I$89,5,0)</f>
        <v>0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0</v>
      </c>
      <c r="DU65" s="59">
        <f t="shared" si="44"/>
        <v>0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1.3596945791505279E-13</v>
      </c>
      <c r="P66" s="13">
        <f t="shared" si="33"/>
        <v>1.9708830566360721E-12</v>
      </c>
      <c r="Q66" s="20">
        <f t="shared" si="53"/>
        <v>3.669434796176543E-12</v>
      </c>
      <c r="R66" s="59">
        <f t="shared" si="0"/>
        <v>293.33333333333701</v>
      </c>
      <c r="S66" s="59">
        <f ca="1">AVERAGE(OFFSET($R$3,0,0,'Données projet'!$E$9+1,1))-AVERAGE(OFFSET($H$3,0,0,'Données projet'!$E$9+1,1))</f>
        <v>212.98969326021802</v>
      </c>
      <c r="T66" s="59">
        <f t="shared" si="34"/>
        <v>422.91218020922895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38.771058214012733</v>
      </c>
      <c r="AA66" s="21">
        <f>EXP(-LN(2)/25)*AA65+(1-EXP(-LN(2)/25))/(LN(2)/25)*Calculateur!V66*Calculateur!X66*VLOOKUP('Données projet'!$B$9,Paramètres!$A$1:$I$89,3,0)*0.475*44/12</f>
        <v>27.054085774105076</v>
      </c>
      <c r="AB66" s="21">
        <f>EXP(-LN(2)/2)*AB65+(1-EXP(-LN(2)/2))/(LN(2)/2)*V66*Y66*VLOOKUP('Données projet'!$B$9,Paramètres!$A$1:$I$89,3,0)*0.475*44/12</f>
        <v>5.5365518288793009E-3</v>
      </c>
      <c r="AC66" s="22">
        <f t="shared" si="3"/>
        <v>65.830680539946698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14.3</v>
      </c>
      <c r="AI66" s="13">
        <f>IF('Données projet'!$A$62&gt;35,AI65+AH66-AQ65,IF(A66&lt;'Données projet'!$A$62,$AF$205^A66,IF(A66='Données projet'!$A$62,'Données projet'!$B$62,AI65+AH66-AQ65)))</f>
        <v>456.89999999999964</v>
      </c>
      <c r="AJ66" s="13">
        <f>AI66*VLOOKUP('Données projet'!$B$10,Paramètres!$A$1:$I$89,3,0)*VLOOKUP('Données projet'!$B$10,Paramètres!$A$1:$I$89,5,0)</f>
        <v>273.22619999999978</v>
      </c>
      <c r="AK66" s="13">
        <f t="shared" si="35"/>
        <v>65.53347631103415</v>
      </c>
      <c r="AL66" s="20">
        <f t="shared" si="4"/>
        <v>590.00643624171732</v>
      </c>
      <c r="AM66" s="59">
        <f t="shared" si="5"/>
        <v>883.3397695750507</v>
      </c>
      <c r="AN66" s="59">
        <f ca="1">AVERAGE(OFFSET($AM$3,0,0,'Données projet'!$E$10+1,1))-AVERAGE(OFFSET($H$3,0,0,'Données projet'!$E$10+1,1))</f>
        <v>318.09371753144256</v>
      </c>
      <c r="AO66" s="59">
        <f t="shared" si="36"/>
        <v>298.61479562586919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1.8198678311540515</v>
      </c>
      <c r="AV66" s="21">
        <f>EXP(-LN(2)/25)*AV65+(1-EXP(-LN(2)/25))/(LN(2)/25)*Calculateur!AQ66*Calculateur!AS66*VLOOKUP('Données projet'!$B$10,Paramètres!$A$1:$I$89,3,0)*0.475*44/12</f>
        <v>8.2774684435111681</v>
      </c>
      <c r="AW66" s="21">
        <f>EXP(-LN(2)/2)*AW65+(1-EXP(-LN(2)/2))/(LN(2)/2)*AQ66*AT66*VLOOKUP('Données projet'!$B$10,Paramètres!$A$1:$I$89,3,0)*0.475*44/12</f>
        <v>3.2638991680996048E-4</v>
      </c>
      <c r="AX66" s="21">
        <f t="shared" si="6"/>
        <v>10.097662664582028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4.0999999999999996</v>
      </c>
      <c r="BD66" s="12">
        <f>IF('Données projet'!$A$88&gt;35,BD65+BC66-BL65,IF(A66&lt;'Données projet'!$A$88,$BA$205^A66,IF(A66='Données projet'!$A$88,'Données projet'!$B$88,BD65+BC66-BL65)))</f>
        <v>245.29999999999973</v>
      </c>
      <c r="BE66" s="13">
        <f>BD66*VLOOKUP('Données projet'!$B$11,Paramètres!$A$1:$I$89,3,0)*VLOOKUP('Données projet'!$B$11,Paramètres!$A$1:$I$89,5,0)</f>
        <v>198.9873599999998</v>
      </c>
      <c r="BF66" s="13">
        <f t="shared" si="37"/>
        <v>49.521554399108588</v>
      </c>
      <c r="BG66" s="20">
        <f t="shared" si="7"/>
        <v>432.81969257844707</v>
      </c>
      <c r="BH66" s="59">
        <f t="shared" si="8"/>
        <v>726.15302591178033</v>
      </c>
      <c r="BI66" s="59">
        <f ca="1">AVERAGE(OFFSET($BH$3,0,0,'Données projet'!$E$11+1,1))-AVERAGE(OFFSET($H$3,0,0,'Données projet'!$E$11+1,1))</f>
        <v>230.68538392491388</v>
      </c>
      <c r="BJ66" s="59">
        <f t="shared" si="38"/>
        <v>267.97457956620724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3.4071009472432543</v>
      </c>
      <c r="BR66" s="21">
        <f>EXP(-LN(2)/2)*BR65+(1-EXP(-LN(2)/2))/(LN(2)/2)*BL66*BO66*VLOOKUP('Données projet'!$B$11,Paramètres!$A$1:$I$89,3,0)*0.475*44/12</f>
        <v>1.1838955976628733E-4</v>
      </c>
      <c r="BS66" s="22">
        <f t="shared" si="9"/>
        <v>3.4072193368030206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149.59999999999994</v>
      </c>
      <c r="BZ66" s="13">
        <f>BY66*VLOOKUP('Données projet'!$B$12,Paramètres!$A$1:$I$89,3,0)*VLOOKUP('Données projet'!$B$12,Paramètres!$A$1:$I$89,5,0)</f>
        <v>170.36447999999993</v>
      </c>
      <c r="CA66" s="13">
        <f t="shared" si="39"/>
        <v>43.171644802735969</v>
      </c>
      <c r="CB66" s="20">
        <f t="shared" si="10"/>
        <v>371.90875069809834</v>
      </c>
      <c r="CC66" s="59">
        <f t="shared" si="11"/>
        <v>665.24208403143166</v>
      </c>
      <c r="CD66" s="59">
        <f ca="1">AVERAGE(OFFSET($CC$3,0,0,'Données projet'!$E$12+1,1))-AVERAGE(OFFSET($H$3,0,0,'Données projet'!$E$12+1,1))</f>
        <v>242.1473060698724</v>
      </c>
      <c r="CE66" s="59">
        <f t="shared" si="40"/>
        <v>96.127995920458659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0</v>
      </c>
      <c r="CZ66" s="59">
        <f t="shared" si="42"/>
        <v>0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>
        <f>DO66*VLOOKUP('Données projet'!$B$14,Paramètres!$A$1:$I$89,3,0)*VLOOKUP('Données projet'!$B$14,Paramètres!$A$1:$I$89,5,0)</f>
        <v>0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0</v>
      </c>
      <c r="DU66" s="59">
        <f t="shared" si="44"/>
        <v>0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1.3596945791505279E-13</v>
      </c>
      <c r="P67" s="13">
        <f t="shared" si="33"/>
        <v>1.9708830566360721E-12</v>
      </c>
      <c r="Q67" s="20">
        <f t="shared" ref="Q67:Q98" si="54">(O67+P67)*0.475*44/12</f>
        <v>3.669434796176543E-12</v>
      </c>
      <c r="R67" s="59">
        <f t="shared" ref="R67:R130" si="55">Q67+(I67+J67)*44/12</f>
        <v>293.33333333333701</v>
      </c>
      <c r="S67" s="59">
        <f ca="1">AVERAGE(OFFSET($R$3,0,0,'Données projet'!$E$9+1,1))-AVERAGE(OFFSET($H$3,0,0,'Données projet'!$E$9+1,1))</f>
        <v>212.98969326021802</v>
      </c>
      <c r="T67" s="59">
        <f t="shared" si="34"/>
        <v>422.91218020922895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38.010781410446405</v>
      </c>
      <c r="AA67" s="21">
        <f>EXP(-LN(2)/25)*AA66+(1-EXP(-LN(2)/25))/(LN(2)/25)*Calculateur!V67*Calculateur!X67*VLOOKUP('Données projet'!$B$9,Paramètres!$A$1:$I$89,3,0)*0.475*44/12</f>
        <v>26.314290375899635</v>
      </c>
      <c r="AB67" s="21">
        <f>EXP(-LN(2)/2)*AB66+(1-EXP(-LN(2)/2))/(LN(2)/2)*V67*Y67*VLOOKUP('Données projet'!$B$9,Paramètres!$A$1:$I$89,3,0)*0.475*44/12</f>
        <v>3.9149333425913353E-3</v>
      </c>
      <c r="AC67" s="22">
        <f t="shared" si="3"/>
        <v>64.328986719688629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14.3</v>
      </c>
      <c r="AI67" s="13">
        <f>IF('Données projet'!$A$62&gt;35,AI66+AH67-AQ66,IF(A67&lt;'Données projet'!$A$62,$AF$205^A67,IF(A67='Données projet'!$A$62,'Données projet'!$B$62,AI66+AH67-AQ66)))</f>
        <v>471.19999999999965</v>
      </c>
      <c r="AJ67" s="13">
        <f>AI67*VLOOKUP('Données projet'!$B$10,Paramètres!$A$1:$I$89,3,0)*VLOOKUP('Données projet'!$B$10,Paramètres!$A$1:$I$89,5,0)</f>
        <v>281.77759999999978</v>
      </c>
      <c r="AK67" s="13">
        <f t="shared" si="35"/>
        <v>67.342528387195131</v>
      </c>
      <c r="AL67" s="20">
        <f t="shared" si="4"/>
        <v>608.05089027436441</v>
      </c>
      <c r="AM67" s="59">
        <f t="shared" si="5"/>
        <v>901.38422360769778</v>
      </c>
      <c r="AN67" s="59">
        <f ca="1">AVERAGE(OFFSET($AM$3,0,0,'Données projet'!$E$10+1,1))-AVERAGE(OFFSET($H$3,0,0,'Données projet'!$E$10+1,1))</f>
        <v>318.09371753144256</v>
      </c>
      <c r="AO67" s="59">
        <f t="shared" si="36"/>
        <v>298.61479562586919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1.7841813329948932</v>
      </c>
      <c r="AV67" s="21">
        <f>EXP(-LN(2)/25)*AV66+(1-EXP(-LN(2)/25))/(LN(2)/25)*Calculateur!AQ67*Calculateur!AS67*VLOOKUP('Données projet'!$B$10,Paramètres!$A$1:$I$89,3,0)*0.475*44/12</f>
        <v>8.0511206336302088</v>
      </c>
      <c r="AW67" s="21">
        <f>EXP(-LN(2)/2)*AW66+(1-EXP(-LN(2)/2))/(LN(2)/2)*AQ67*AT67*VLOOKUP('Données projet'!$B$10,Paramètres!$A$1:$I$89,3,0)*0.475*44/12</f>
        <v>2.3079252348723618E-4</v>
      </c>
      <c r="AX67" s="21">
        <f t="shared" si="6"/>
        <v>9.8355327591485899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4.0999999999999996</v>
      </c>
      <c r="BD67" s="12">
        <f>IF('Données projet'!$A$88&gt;35,BD66+BC67-BL66,IF(A67&lt;'Données projet'!$A$88,$BA$205^A67,IF(A67='Données projet'!$A$88,'Données projet'!$B$88,BD66+BC67-BL66)))</f>
        <v>249.39999999999972</v>
      </c>
      <c r="BE67" s="13">
        <f>BD67*VLOOKUP('Données projet'!$B$11,Paramètres!$A$1:$I$89,3,0)*VLOOKUP('Données projet'!$B$11,Paramètres!$A$1:$I$89,5,0)</f>
        <v>202.31327999999976</v>
      </c>
      <c r="BF67" s="13">
        <f t="shared" si="37"/>
        <v>50.252215888082027</v>
      </c>
      <c r="BG67" s="20">
        <f t="shared" si="7"/>
        <v>439.88490533840906</v>
      </c>
      <c r="BH67" s="59">
        <f t="shared" si="8"/>
        <v>733.21823867174237</v>
      </c>
      <c r="BI67" s="59">
        <f ca="1">AVERAGE(OFFSET($BH$3,0,0,'Données projet'!$E$11+1,1))-AVERAGE(OFFSET($H$3,0,0,'Données projet'!$E$11+1,1))</f>
        <v>230.68538392491388</v>
      </c>
      <c r="BJ67" s="59">
        <f t="shared" si="38"/>
        <v>267.97457956620724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3.3139335926692359</v>
      </c>
      <c r="BR67" s="21">
        <f>EXP(-LN(2)/2)*BR66+(1-EXP(-LN(2)/2))/(LN(2)/2)*BL67*BO67*VLOOKUP('Données projet'!$B$11,Paramètres!$A$1:$I$89,3,0)*0.475*44/12</f>
        <v>8.3714060532431828E-5</v>
      </c>
      <c r="BS67" s="22">
        <f t="shared" si="9"/>
        <v>3.3140173067297685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154.79999999999993</v>
      </c>
      <c r="BZ67" s="13">
        <f>BY67*VLOOKUP('Données projet'!$B$12,Paramètres!$A$1:$I$89,3,0)*VLOOKUP('Données projet'!$B$12,Paramètres!$A$1:$I$89,5,0)</f>
        <v>176.28623999999994</v>
      </c>
      <c r="CA67" s="13">
        <f t="shared" si="39"/>
        <v>44.494943148531895</v>
      </c>
      <c r="CB67" s="20">
        <f t="shared" si="10"/>
        <v>384.52722731702625</v>
      </c>
      <c r="CC67" s="59">
        <f t="shared" si="11"/>
        <v>677.8605606503595</v>
      </c>
      <c r="CD67" s="59">
        <f ca="1">AVERAGE(OFFSET($CC$3,0,0,'Données projet'!$E$12+1,1))-AVERAGE(OFFSET($H$3,0,0,'Données projet'!$E$12+1,1))</f>
        <v>242.1473060698724</v>
      </c>
      <c r="CE67" s="59">
        <f t="shared" si="40"/>
        <v>96.127995920458659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0</v>
      </c>
      <c r="CZ67" s="59">
        <f t="shared" si="42"/>
        <v>0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>
        <f>DO67*VLOOKUP('Données projet'!$B$14,Paramètres!$A$1:$I$89,3,0)*VLOOKUP('Données projet'!$B$14,Paramètres!$A$1:$I$89,5,0)</f>
        <v>0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0</v>
      </c>
      <c r="DU67" s="59">
        <f t="shared" si="44"/>
        <v>0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1.3596945791505279E-13</v>
      </c>
      <c r="P68" s="13">
        <f t="shared" si="33"/>
        <v>1.9708830566360721E-12</v>
      </c>
      <c r="Q68" s="20">
        <f t="shared" si="54"/>
        <v>3.669434796176543E-12</v>
      </c>
      <c r="R68" s="59">
        <f t="shared" si="55"/>
        <v>293.33333333333701</v>
      </c>
      <c r="S68" s="59">
        <f ca="1">AVERAGE(OFFSET($R$3,0,0,'Données projet'!$E$9+1,1))-AVERAGE(OFFSET($H$3,0,0,'Données projet'!$E$9+1,1))</f>
        <v>212.98969326021802</v>
      </c>
      <c r="T68" s="59">
        <f t="shared" si="34"/>
        <v>422.91218020922895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37.26541317127495</v>
      </c>
      <c r="AA68" s="21">
        <f>EXP(-LN(2)/25)*AA67+(1-EXP(-LN(2)/25))/(LN(2)/25)*Calculateur!V68*Calculateur!X68*VLOOKUP('Données projet'!$B$9,Paramètres!$A$1:$I$89,3,0)*0.475*44/12</f>
        <v>25.594724721762269</v>
      </c>
      <c r="AB68" s="21">
        <f>EXP(-LN(2)/2)*AB67+(1-EXP(-LN(2)/2))/(LN(2)/2)*V68*Y68*VLOOKUP('Données projet'!$B$9,Paramètres!$A$1:$I$89,3,0)*0.475*44/12</f>
        <v>2.7682759144396505E-3</v>
      </c>
      <c r="AC68" s="22">
        <f t="shared" ref="AC68:AC131" si="57">SUM(Z68:AB68)</f>
        <v>62.86290616895166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14.3</v>
      </c>
      <c r="AI68" s="13">
        <f>IF('Données projet'!$A$62&gt;35,AI67+AH68-AQ67,IF(A68&lt;'Données projet'!$A$62,$AF$205^A68,IF(A68='Données projet'!$A$62,'Données projet'!$B$62,AI67+AH68-AQ67)))</f>
        <v>485.49999999999966</v>
      </c>
      <c r="AJ68" s="13">
        <f>AI68*VLOOKUP('Données projet'!$B$10,Paramètres!$A$1:$I$89,3,0)*VLOOKUP('Données projet'!$B$10,Paramètres!$A$1:$I$89,5,0)</f>
        <v>290.32899999999978</v>
      </c>
      <c r="AK68" s="13">
        <f t="shared" si="35"/>
        <v>69.145200203067617</v>
      </c>
      <c r="AL68" s="20">
        <f t="shared" ref="AL68:AL131" si="58">(AJ68+AK68)*0.475*44/12</f>
        <v>626.08423202034237</v>
      </c>
      <c r="AM68" s="59">
        <f t="shared" ref="AM68:AM131" si="59">AL68+(AD68+AE68)*44/12</f>
        <v>919.41756535367563</v>
      </c>
      <c r="AN68" s="59">
        <f ca="1">AVERAGE(OFFSET($AM$3,0,0,'Données projet'!$E$10+1,1))-AVERAGE(OFFSET($H$3,0,0,'Données projet'!$E$10+1,1))</f>
        <v>318.09371753144256</v>
      </c>
      <c r="AO68" s="59">
        <f t="shared" si="36"/>
        <v>298.61479562586919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1.7491946252980215</v>
      </c>
      <c r="AV68" s="21">
        <f>EXP(-LN(2)/25)*AV67+(1-EXP(-LN(2)/25))/(LN(2)/25)*Calculateur!AQ68*Calculateur!AS68*VLOOKUP('Données projet'!$B$10,Paramètres!$A$1:$I$89,3,0)*0.475*44/12</f>
        <v>7.830962316513558</v>
      </c>
      <c r="AW68" s="21">
        <f>EXP(-LN(2)/2)*AW67+(1-EXP(-LN(2)/2))/(LN(2)/2)*AQ68*AT68*VLOOKUP('Données projet'!$B$10,Paramètres!$A$1:$I$89,3,0)*0.475*44/12</f>
        <v>1.6319495840498027E-4</v>
      </c>
      <c r="AX68" s="21">
        <f t="shared" ref="AX68:AX131" si="60">SUM(AU68:AW68)</f>
        <v>9.580320136769986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4.0999999999999996</v>
      </c>
      <c r="BD68" s="12">
        <f>IF('Données projet'!$A$88&gt;35,BD67+BC68-BL67,IF(A68&lt;'Données projet'!$A$88,$BA$205^A68,IF(A68='Données projet'!$A$88,'Données projet'!$B$88,BD67+BC68-BL67)))</f>
        <v>253.49999999999972</v>
      </c>
      <c r="BE68" s="13">
        <f>BD68*VLOOKUP('Données projet'!$B$11,Paramètres!$A$1:$I$89,3,0)*VLOOKUP('Données projet'!$B$11,Paramètres!$A$1:$I$89,5,0)</f>
        <v>205.63919999999976</v>
      </c>
      <c r="BF68" s="13">
        <f t="shared" si="37"/>
        <v>50.981480488268076</v>
      </c>
      <c r="BG68" s="20">
        <f t="shared" ref="BG68:BG131" si="61">(BE68+BF68)*0.475*44/12</f>
        <v>446.94768518373309</v>
      </c>
      <c r="BH68" s="59">
        <f t="shared" ref="BH68:BH131" si="62">BG68+(AY68+AZ68)*44/12</f>
        <v>740.2810185170664</v>
      </c>
      <c r="BI68" s="59">
        <f ca="1">AVERAGE(OFFSET($BH$3,0,0,'Données projet'!$E$11+1,1))-AVERAGE(OFFSET($H$3,0,0,'Données projet'!$E$11+1,1))</f>
        <v>230.68538392491388</v>
      </c>
      <c r="BJ68" s="59">
        <f t="shared" si="38"/>
        <v>267.97457956620724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3.2233139043055021</v>
      </c>
      <c r="BR68" s="21">
        <f>EXP(-LN(2)/2)*BR67+(1-EXP(-LN(2)/2))/(LN(2)/2)*BL68*BO68*VLOOKUP('Données projet'!$B$11,Paramètres!$A$1:$I$89,3,0)*0.475*44/12</f>
        <v>5.919477988314367E-5</v>
      </c>
      <c r="BS68" s="22">
        <f t="shared" ref="BS68:BS131" si="63">SUM(BP68:BR68)</f>
        <v>3.2233730990853853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159.99999999999991</v>
      </c>
      <c r="BZ68" s="13">
        <f>BY68*VLOOKUP('Données projet'!$B$12,Paramètres!$A$1:$I$89,3,0)*VLOOKUP('Données projet'!$B$12,Paramètres!$A$1:$I$89,5,0)</f>
        <v>182.20799999999991</v>
      </c>
      <c r="CA68" s="13">
        <f t="shared" si="39"/>
        <v>45.813076371604105</v>
      </c>
      <c r="CB68" s="20">
        <f t="shared" ref="CB68:CB131" si="64">(BZ68+CA68)*0.475*44/12</f>
        <v>397.13670801387701</v>
      </c>
      <c r="CC68" s="59">
        <f t="shared" ref="CC68:CC131" si="65">CB68+(BT68+BU68)*44/12</f>
        <v>690.47004134721033</v>
      </c>
      <c r="CD68" s="59">
        <f ca="1">AVERAGE(OFFSET($CC$3,0,0,'Données projet'!$E$12+1,1))-AVERAGE(OFFSET($H$3,0,0,'Données projet'!$E$12+1,1))</f>
        <v>242.1473060698724</v>
      </c>
      <c r="CE68" s="59">
        <f t="shared" si="40"/>
        <v>96.127995920458659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0</v>
      </c>
      <c r="CZ68" s="59">
        <f t="shared" si="42"/>
        <v>0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>
        <f>DO68*VLOOKUP('Données projet'!$B$14,Paramètres!$A$1:$I$89,3,0)*VLOOKUP('Données projet'!$B$14,Paramètres!$A$1:$I$89,5,0)</f>
        <v>0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0</v>
      </c>
      <c r="DU68" s="59">
        <f t="shared" si="44"/>
        <v>0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1.3596945791505279E-13</v>
      </c>
      <c r="P69" s="13">
        <f t="shared" ref="P69:P132" si="87">EXP(-1.0587+0.8836*LN(O69)+0.284)</f>
        <v>1.9708830566360721E-12</v>
      </c>
      <c r="Q69" s="20">
        <f t="shared" si="54"/>
        <v>3.669434796176543E-12</v>
      </c>
      <c r="R69" s="59">
        <f t="shared" si="55"/>
        <v>293.33333333333701</v>
      </c>
      <c r="S69" s="59">
        <f ca="1">AVERAGE(OFFSET($R$3,0,0,'Données projet'!$E$9+1,1))-AVERAGE(OFFSET($H$3,0,0,'Données projet'!$E$9+1,1))</f>
        <v>212.98969326021802</v>
      </c>
      <c r="T69" s="59">
        <f t="shared" ref="T69:T132" si="88">$T$3</f>
        <v>422.91218020922895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36.534661148643913</v>
      </c>
      <c r="AA69" s="21">
        <f>EXP(-LN(2)/25)*AA68+(1-EXP(-LN(2)/25))/(LN(2)/25)*Calculateur!V69*Calculateur!X69*VLOOKUP('Données projet'!$B$9,Paramètres!$A$1:$I$89,3,0)*0.475*44/12</f>
        <v>24.894835628277605</v>
      </c>
      <c r="AB69" s="21">
        <f>EXP(-LN(2)/2)*AB68+(1-EXP(-LN(2)/2))/(LN(2)/2)*V69*Y69*VLOOKUP('Données projet'!$B$9,Paramètres!$A$1:$I$89,3,0)*0.475*44/12</f>
        <v>1.9574666712956676E-3</v>
      </c>
      <c r="AC69" s="22">
        <f t="shared" si="57"/>
        <v>61.43145424359281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14.3</v>
      </c>
      <c r="AI69" s="13">
        <f>IF('Données projet'!$A$62&gt;35,AI68+AH69-AQ68,IF(A69&lt;'Données projet'!$A$62,$AF$205^A69,IF(A69='Données projet'!$A$62,'Données projet'!$B$62,AI68+AH69-AQ68)))</f>
        <v>499.79999999999967</v>
      </c>
      <c r="AJ69" s="13">
        <f>AI69*VLOOKUP('Données projet'!$B$10,Paramètres!$A$1:$I$89,3,0)*VLOOKUP('Données projet'!$B$10,Paramètres!$A$1:$I$89,5,0)</f>
        <v>298.88039999999978</v>
      </c>
      <c r="AK69" s="13">
        <f t="shared" ref="AK69:AK132" si="89">EXP(-1.0587+0.8836*LN(AJ69)+0.284)</f>
        <v>70.941701260608696</v>
      </c>
      <c r="AL69" s="20">
        <f t="shared" si="58"/>
        <v>644.10682636222634</v>
      </c>
      <c r="AM69" s="59">
        <f t="shared" si="59"/>
        <v>937.44015969555971</v>
      </c>
      <c r="AN69" s="59">
        <f ca="1">AVERAGE(OFFSET($AM$3,0,0,'Données projet'!$E$10+1,1))-AVERAGE(OFFSET($H$3,0,0,'Données projet'!$E$10+1,1))</f>
        <v>318.09371753144256</v>
      </c>
      <c r="AO69" s="59">
        <f t="shared" ref="AO69:AO132" si="90">$AO$3</f>
        <v>298.61479562586919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1.7148939855993008</v>
      </c>
      <c r="AV69" s="21">
        <f>EXP(-LN(2)/25)*AV68+(1-EXP(-LN(2)/25))/(LN(2)/25)*Calculateur!AQ69*Calculateur!AS69*VLOOKUP('Données projet'!$B$10,Paramètres!$A$1:$I$89,3,0)*0.475*44/12</f>
        <v>7.6168242401560846</v>
      </c>
      <c r="AW69" s="21">
        <f>EXP(-LN(2)/2)*AW68+(1-EXP(-LN(2)/2))/(LN(2)/2)*AQ69*AT69*VLOOKUP('Données projet'!$B$10,Paramètres!$A$1:$I$89,3,0)*0.475*44/12</f>
        <v>1.1539626174361812E-4</v>
      </c>
      <c r="AX69" s="21">
        <f t="shared" si="60"/>
        <v>9.331833622017129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4.0999999999999996</v>
      </c>
      <c r="BD69" s="12">
        <f>IF('Données projet'!$A$88&gt;35,BD68+BC69-BL68,IF(A69&lt;'Données projet'!$A$88,$BA$205^A69,IF(A69='Données projet'!$A$88,'Données projet'!$B$88,BD68+BC69-BL68)))</f>
        <v>257.59999999999974</v>
      </c>
      <c r="BE69" s="13">
        <f>BD69*VLOOKUP('Données projet'!$B$11,Paramètres!$A$1:$I$89,3,0)*VLOOKUP('Données projet'!$B$11,Paramètres!$A$1:$I$89,5,0)</f>
        <v>208.96511999999979</v>
      </c>
      <c r="BF69" s="13">
        <f t="shared" ref="BF69:BF132" si="91">EXP(-1.0587+0.8836*LN(BE69)+0.284)</f>
        <v>51.709373400619548</v>
      </c>
      <c r="BG69" s="20">
        <f t="shared" si="61"/>
        <v>454.00807600607862</v>
      </c>
      <c r="BH69" s="59">
        <f t="shared" si="62"/>
        <v>747.34140933941194</v>
      </c>
      <c r="BI69" s="59">
        <f ca="1">AVERAGE(OFFSET($BH$3,0,0,'Données projet'!$E$11+1,1))-AVERAGE(OFFSET($H$3,0,0,'Données projet'!$E$11+1,1))</f>
        <v>230.68538392491388</v>
      </c>
      <c r="BJ69" s="59">
        <f t="shared" ref="BJ69:BJ132" si="92">$BJ$3</f>
        <v>267.97457956620724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3.1351722160855569</v>
      </c>
      <c r="BR69" s="21">
        <f>EXP(-LN(2)/2)*BR68+(1-EXP(-LN(2)/2))/(LN(2)/2)*BL69*BO69*VLOOKUP('Données projet'!$B$11,Paramètres!$A$1:$I$89,3,0)*0.475*44/12</f>
        <v>4.1857030266215921E-5</v>
      </c>
      <c r="BS69" s="22">
        <f t="shared" si="63"/>
        <v>3.1352140731158231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165.1999999999999</v>
      </c>
      <c r="BZ69" s="13">
        <f>BY69*VLOOKUP('Données projet'!$B$12,Paramètres!$A$1:$I$89,3,0)*VLOOKUP('Données projet'!$B$12,Paramètres!$A$1:$I$89,5,0)</f>
        <v>188.12975999999989</v>
      </c>
      <c r="CA69" s="13">
        <f t="shared" ref="CA69:CA132" si="93">EXP(-1.0587+0.8836*LN(BZ69)+0.284)</f>
        <v>47.126231590948933</v>
      </c>
      <c r="CB69" s="20">
        <f t="shared" si="64"/>
        <v>409.73751868756921</v>
      </c>
      <c r="CC69" s="59">
        <f t="shared" si="65"/>
        <v>703.07085202090252</v>
      </c>
      <c r="CD69" s="59">
        <f ca="1">AVERAGE(OFFSET($CC$3,0,0,'Données projet'!$E$12+1,1))-AVERAGE(OFFSET($H$3,0,0,'Données projet'!$E$12+1,1))</f>
        <v>242.1473060698724</v>
      </c>
      <c r="CE69" s="59">
        <f t="shared" ref="CE69:CE132" si="94">$CE$3</f>
        <v>96.127995920458659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0</v>
      </c>
      <c r="CZ69" s="59">
        <f t="shared" ref="CZ69:CZ132" si="96">$CZ$3</f>
        <v>0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>
        <f>DO69*VLOOKUP('Données projet'!$B$14,Paramètres!$A$1:$I$89,3,0)*VLOOKUP('Données projet'!$B$14,Paramètres!$A$1:$I$89,5,0)</f>
        <v>0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0</v>
      </c>
      <c r="DU69" s="59">
        <f t="shared" ref="DU69:DU132" si="98">$DU$3</f>
        <v>0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1.3596945791505279E-13</v>
      </c>
      <c r="P70" s="13">
        <f t="shared" si="87"/>
        <v>1.9708830566360721E-12</v>
      </c>
      <c r="Q70" s="20">
        <f t="shared" si="54"/>
        <v>3.669434796176543E-12</v>
      </c>
      <c r="R70" s="59">
        <f t="shared" si="55"/>
        <v>293.33333333333701</v>
      </c>
      <c r="S70" s="59">
        <f ca="1">AVERAGE(OFFSET($R$3,0,0,'Données projet'!$E$9+1,1))-AVERAGE(OFFSET($H$3,0,0,'Données projet'!$E$9+1,1))</f>
        <v>212.98969326021802</v>
      </c>
      <c r="T70" s="59">
        <f t="shared" si="88"/>
        <v>422.91218020922895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35.818238727461953</v>
      </c>
      <c r="AA70" s="21">
        <f>EXP(-LN(2)/25)*AA69+(1-EXP(-LN(2)/25))/(LN(2)/25)*Calculateur!V70*Calculateur!X70*VLOOKUP('Données projet'!$B$9,Paramètres!$A$1:$I$89,3,0)*0.475*44/12</f>
        <v>24.214085038859846</v>
      </c>
      <c r="AB70" s="21">
        <f>EXP(-LN(2)/2)*AB69+(1-EXP(-LN(2)/2))/(LN(2)/2)*V70*Y70*VLOOKUP('Données projet'!$B$9,Paramètres!$A$1:$I$89,3,0)*0.475*44/12</f>
        <v>1.3841379572198252E-3</v>
      </c>
      <c r="AC70" s="22">
        <f t="shared" si="57"/>
        <v>60.033707904279012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14.3</v>
      </c>
      <c r="AI70" s="13">
        <f>IF('Données projet'!$A$62&gt;35,AI69+AH70-AQ69,IF(A70&lt;'Données projet'!$A$62,$AF$205^A70,IF(A70='Données projet'!$A$62,'Données projet'!$B$62,AI69+AH70-AQ69)))</f>
        <v>514.09999999999968</v>
      </c>
      <c r="AJ70" s="13">
        <f>AI70*VLOOKUP('Données projet'!$B$10,Paramètres!$A$1:$I$89,3,0)*VLOOKUP('Données projet'!$B$10,Paramètres!$A$1:$I$89,5,0)</f>
        <v>307.43179999999984</v>
      </c>
      <c r="AK70" s="13">
        <f t="shared" si="89"/>
        <v>72.732228391618918</v>
      </c>
      <c r="AL70" s="20">
        <f t="shared" si="58"/>
        <v>662.1190161154027</v>
      </c>
      <c r="AM70" s="59">
        <f t="shared" si="59"/>
        <v>955.45234944873596</v>
      </c>
      <c r="AN70" s="59">
        <f ca="1">AVERAGE(OFFSET($AM$3,0,0,'Données projet'!$E$10+1,1))-AVERAGE(OFFSET($H$3,0,0,'Données projet'!$E$10+1,1))</f>
        <v>318.09371753144256</v>
      </c>
      <c r="AO70" s="59">
        <f t="shared" si="90"/>
        <v>298.61479562586919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1.6812659605237477</v>
      </c>
      <c r="AV70" s="21">
        <f>EXP(-LN(2)/25)*AV69+(1-EXP(-LN(2)/25))/(LN(2)/25)*Calculateur!AQ70*Calculateur!AS70*VLOOKUP('Données projet'!$B$10,Paramètres!$A$1:$I$89,3,0)*0.475*44/12</f>
        <v>7.4085417807576386</v>
      </c>
      <c r="AW70" s="21">
        <f>EXP(-LN(2)/2)*AW69+(1-EXP(-LN(2)/2))/(LN(2)/2)*AQ70*AT70*VLOOKUP('Données projet'!$B$10,Paramètres!$A$1:$I$89,3,0)*0.475*44/12</f>
        <v>8.1597479202490146E-5</v>
      </c>
      <c r="AX70" s="21">
        <f t="shared" si="60"/>
        <v>9.0898893387605888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4.0999999999999996</v>
      </c>
      <c r="BD70" s="12">
        <f>IF('Données projet'!$A$88&gt;35,BD69+BC70-BL69,IF(A70&lt;'Données projet'!$A$88,$BA$205^A70,IF(A70='Données projet'!$A$88,'Données projet'!$B$88,BD69+BC70-BL69)))</f>
        <v>261.69999999999976</v>
      </c>
      <c r="BE70" s="13">
        <f>BD70*VLOOKUP('Données projet'!$B$11,Paramètres!$A$1:$I$89,3,0)*VLOOKUP('Données projet'!$B$11,Paramètres!$A$1:$I$89,5,0)</f>
        <v>212.29103999999984</v>
      </c>
      <c r="BF70" s="13">
        <f t="shared" si="91"/>
        <v>52.435918977875581</v>
      </c>
      <c r="BG70" s="20">
        <f t="shared" si="61"/>
        <v>461.06612021979964</v>
      </c>
      <c r="BH70" s="59">
        <f t="shared" si="62"/>
        <v>754.39945355313296</v>
      </c>
      <c r="BI70" s="59">
        <f ca="1">AVERAGE(OFFSET($BH$3,0,0,'Données projet'!$E$11+1,1))-AVERAGE(OFFSET($H$3,0,0,'Données projet'!$E$11+1,1))</f>
        <v>230.68538392491388</v>
      </c>
      <c r="BJ70" s="59">
        <f t="shared" si="92"/>
        <v>267.97457956620724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3.049440766965156</v>
      </c>
      <c r="BR70" s="21">
        <f>EXP(-LN(2)/2)*BR69+(1-EXP(-LN(2)/2))/(LN(2)/2)*BL70*BO70*VLOOKUP('Données projet'!$B$11,Paramètres!$A$1:$I$89,3,0)*0.475*44/12</f>
        <v>2.9597389941571842E-5</v>
      </c>
      <c r="BS70" s="22">
        <f t="shared" si="63"/>
        <v>3.0494703643550976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170.39999999999989</v>
      </c>
      <c r="BZ70" s="13">
        <f>BY70*VLOOKUP('Données projet'!$B$12,Paramètres!$A$1:$I$89,3,0)*VLOOKUP('Données projet'!$B$12,Paramètres!$A$1:$I$89,5,0)</f>
        <v>194.0515199999999</v>
      </c>
      <c r="CA70" s="13">
        <f t="shared" si="93"/>
        <v>48.434583476654296</v>
      </c>
      <c r="CB70" s="20">
        <f t="shared" si="64"/>
        <v>422.32996355517275</v>
      </c>
      <c r="CC70" s="59">
        <f t="shared" si="65"/>
        <v>715.66329688850601</v>
      </c>
      <c r="CD70" s="59">
        <f ca="1">AVERAGE(OFFSET($CC$3,0,0,'Données projet'!$E$12+1,1))-AVERAGE(OFFSET($H$3,0,0,'Données projet'!$E$12+1,1))</f>
        <v>242.1473060698724</v>
      </c>
      <c r="CE70" s="59">
        <f t="shared" si="94"/>
        <v>96.127995920458659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0</v>
      </c>
      <c r="CZ70" s="59">
        <f t="shared" si="96"/>
        <v>0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>
        <f>DO70*VLOOKUP('Données projet'!$B$14,Paramètres!$A$1:$I$89,3,0)*VLOOKUP('Données projet'!$B$14,Paramètres!$A$1:$I$89,5,0)</f>
        <v>0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0</v>
      </c>
      <c r="DU70" s="59">
        <f t="shared" si="98"/>
        <v>0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1.3596945791505279E-13</v>
      </c>
      <c r="P71" s="13">
        <f t="shared" si="87"/>
        <v>1.9708830566360721E-12</v>
      </c>
      <c r="Q71" s="20">
        <f t="shared" si="54"/>
        <v>3.669434796176543E-12</v>
      </c>
      <c r="R71" s="59">
        <f t="shared" si="55"/>
        <v>293.33333333333701</v>
      </c>
      <c r="S71" s="59">
        <f ca="1">AVERAGE(OFFSET($R$3,0,0,'Données projet'!$E$9+1,1))-AVERAGE(OFFSET($H$3,0,0,'Données projet'!$E$9+1,1))</f>
        <v>212.98969326021802</v>
      </c>
      <c r="T71" s="59">
        <f t="shared" si="88"/>
        <v>422.91218020922895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35.11586491298484</v>
      </c>
      <c r="AA71" s="21">
        <f>EXP(-LN(2)/25)*AA70+(1-EXP(-LN(2)/25))/(LN(2)/25)*Calculateur!V71*Calculateur!X71*VLOOKUP('Données projet'!$B$9,Paramètres!$A$1:$I$89,3,0)*0.475*44/12</f>
        <v>23.551949610108831</v>
      </c>
      <c r="AB71" s="21">
        <f>EXP(-LN(2)/2)*AB70+(1-EXP(-LN(2)/2))/(LN(2)/2)*V71*Y71*VLOOKUP('Données projet'!$B$9,Paramètres!$A$1:$I$89,3,0)*0.475*44/12</f>
        <v>9.7873333564783382E-4</v>
      </c>
      <c r="AC71" s="22">
        <f t="shared" si="57"/>
        <v>58.668793256429318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14.3</v>
      </c>
      <c r="AI71" s="13">
        <f>IF('Données projet'!$A$62&gt;35,AI70+AH71-AQ70,IF(A71&lt;'Données projet'!$A$62,$AF$205^A71,IF(A71='Données projet'!$A$62,'Données projet'!$B$62,AI70+AH71-AQ70)))</f>
        <v>528.39999999999964</v>
      </c>
      <c r="AJ71" s="13">
        <f>AI71*VLOOKUP('Données projet'!$B$10,Paramètres!$A$1:$I$89,3,0)*VLOOKUP('Données projet'!$B$10,Paramètres!$A$1:$I$89,5,0)</f>
        <v>315.98319999999984</v>
      </c>
      <c r="AK71" s="13">
        <f t="shared" si="89"/>
        <v>74.516966854846643</v>
      </c>
      <c r="AL71" s="20">
        <f t="shared" si="58"/>
        <v>680.12112393885764</v>
      </c>
      <c r="AM71" s="59">
        <f t="shared" si="59"/>
        <v>973.45445727219089</v>
      </c>
      <c r="AN71" s="59">
        <f ca="1">AVERAGE(OFFSET($AM$3,0,0,'Données projet'!$E$10+1,1))-AVERAGE(OFFSET($H$3,0,0,'Données projet'!$E$10+1,1))</f>
        <v>318.09371753144256</v>
      </c>
      <c r="AO71" s="59">
        <f t="shared" si="90"/>
        <v>298.61479562586919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1.648297360508856</v>
      </c>
      <c r="AV71" s="21">
        <f>EXP(-LN(2)/25)*AV70+(1-EXP(-LN(2)/25))/(LN(2)/25)*Calculateur!AQ71*Calculateur!AS71*VLOOKUP('Données projet'!$B$10,Paramètres!$A$1:$I$89,3,0)*0.475*44/12</f>
        <v>7.2059548161645415</v>
      </c>
      <c r="AW71" s="21">
        <f>EXP(-LN(2)/2)*AW70+(1-EXP(-LN(2)/2))/(LN(2)/2)*AQ71*AT71*VLOOKUP('Données projet'!$B$10,Paramètres!$A$1:$I$89,3,0)*0.475*44/12</f>
        <v>5.7698130871809065E-5</v>
      </c>
      <c r="AX71" s="21">
        <f t="shared" si="60"/>
        <v>8.8543098748042706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4.0999999999999996</v>
      </c>
      <c r="BD71" s="12">
        <f>IF('Données projet'!$A$88&gt;35,BD70+BC71-BL70,IF(A71&lt;'Données projet'!$A$88,$BA$205^A71,IF(A71='Données projet'!$A$88,'Données projet'!$B$88,BD70+BC71-BL70)))</f>
        <v>265.79999999999978</v>
      </c>
      <c r="BE71" s="13">
        <f>BD71*VLOOKUP('Données projet'!$B$11,Paramètres!$A$1:$I$89,3,0)*VLOOKUP('Données projet'!$B$11,Paramètres!$A$1:$I$89,5,0)</f>
        <v>215.61695999999984</v>
      </c>
      <c r="BF71" s="13">
        <f t="shared" si="91"/>
        <v>53.161140765943969</v>
      </c>
      <c r="BG71" s="20">
        <f t="shared" si="61"/>
        <v>468.12185883401872</v>
      </c>
      <c r="BH71" s="59">
        <f t="shared" si="62"/>
        <v>761.45519216735204</v>
      </c>
      <c r="BI71" s="59">
        <f ca="1">AVERAGE(OFFSET($BH$3,0,0,'Données projet'!$E$11+1,1))-AVERAGE(OFFSET($H$3,0,0,'Données projet'!$E$11+1,1))</f>
        <v>230.68538392491388</v>
      </c>
      <c r="BJ71" s="59">
        <f t="shared" si="92"/>
        <v>267.97457956620724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2.9660536488293734</v>
      </c>
      <c r="BR71" s="21">
        <f>EXP(-LN(2)/2)*BR70+(1-EXP(-LN(2)/2))/(LN(2)/2)*BL71*BO71*VLOOKUP('Données projet'!$B$11,Paramètres!$A$1:$I$89,3,0)*0.475*44/12</f>
        <v>2.0928515133107964E-5</v>
      </c>
      <c r="BS71" s="22">
        <f t="shared" si="63"/>
        <v>2.9660745773445063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175.59999999999988</v>
      </c>
      <c r="BZ71" s="13">
        <f>BY71*VLOOKUP('Données projet'!$B$12,Paramètres!$A$1:$I$89,3,0)*VLOOKUP('Données projet'!$B$12,Paramètres!$A$1:$I$89,5,0)</f>
        <v>199.97327999999985</v>
      </c>
      <c r="CA71" s="13">
        <f t="shared" si="93"/>
        <v>49.73829543245504</v>
      </c>
      <c r="CB71" s="20">
        <f t="shared" si="64"/>
        <v>434.91432721152552</v>
      </c>
      <c r="CC71" s="59">
        <f t="shared" si="65"/>
        <v>728.24766054485883</v>
      </c>
      <c r="CD71" s="59">
        <f ca="1">AVERAGE(OFFSET($CC$3,0,0,'Données projet'!$E$12+1,1))-AVERAGE(OFFSET($H$3,0,0,'Données projet'!$E$12+1,1))</f>
        <v>242.1473060698724</v>
      </c>
      <c r="CE71" s="59">
        <f t="shared" si="94"/>
        <v>96.127995920458659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0</v>
      </c>
      <c r="CZ71" s="59">
        <f t="shared" si="96"/>
        <v>0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>
        <f>DO71*VLOOKUP('Données projet'!$B$14,Paramètres!$A$1:$I$89,3,0)*VLOOKUP('Données projet'!$B$14,Paramètres!$A$1:$I$89,5,0)</f>
        <v>0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0</v>
      </c>
      <c r="DU71" s="59">
        <f t="shared" si="98"/>
        <v>0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1.3596945791505279E-13</v>
      </c>
      <c r="P72" s="13">
        <f t="shared" si="87"/>
        <v>1.9708830566360721E-12</v>
      </c>
      <c r="Q72" s="20">
        <f t="shared" si="54"/>
        <v>3.669434796176543E-12</v>
      </c>
      <c r="R72" s="59">
        <f t="shared" si="55"/>
        <v>293.33333333333701</v>
      </c>
      <c r="S72" s="59">
        <f ca="1">AVERAGE(OFFSET($R$3,0,0,'Données projet'!$E$9+1,1))-AVERAGE(OFFSET($H$3,0,0,'Données projet'!$E$9+1,1))</f>
        <v>212.98969326021802</v>
      </c>
      <c r="T72" s="59">
        <f t="shared" si="88"/>
        <v>422.91218020922895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34.427264220603895</v>
      </c>
      <c r="AA72" s="21">
        <f>EXP(-LN(2)/25)*AA71+(1-EXP(-LN(2)/25))/(LN(2)/25)*Calculateur!V72*Calculateur!X72*VLOOKUP('Données projet'!$B$9,Paramètres!$A$1:$I$89,3,0)*0.475*44/12</f>
        <v>22.907920309477205</v>
      </c>
      <c r="AB72" s="21">
        <f>EXP(-LN(2)/2)*AB71+(1-EXP(-LN(2)/2))/(LN(2)/2)*V72*Y72*VLOOKUP('Données projet'!$B$9,Paramètres!$A$1:$I$89,3,0)*0.475*44/12</f>
        <v>6.9206897860991262E-4</v>
      </c>
      <c r="AC72" s="22">
        <f t="shared" si="57"/>
        <v>57.335876599059709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14.3</v>
      </c>
      <c r="AI72" s="13">
        <f>IF('Données projet'!$A$62&gt;35,AI71+AH72-AQ71,IF(A72&lt;'Données projet'!$A$62,$AF$205^A72,IF(A72='Données projet'!$A$62,'Données projet'!$B$62,AI71+AH72-AQ71)))</f>
        <v>542.69999999999959</v>
      </c>
      <c r="AJ72" s="13">
        <f>AI72*VLOOKUP('Données projet'!$B$10,Paramètres!$A$1:$I$89,3,0)*VLOOKUP('Données projet'!$B$10,Paramètres!$A$1:$I$89,5,0)</f>
        <v>324.53459999999978</v>
      </c>
      <c r="AK72" s="13">
        <f t="shared" si="89"/>
        <v>76.29609131098816</v>
      </c>
      <c r="AL72" s="20">
        <f t="shared" si="58"/>
        <v>698.11345403330404</v>
      </c>
      <c r="AM72" s="59">
        <f t="shared" si="59"/>
        <v>991.44678736663741</v>
      </c>
      <c r="AN72" s="59">
        <f ca="1">AVERAGE(OFFSET($AM$3,0,0,'Données projet'!$E$10+1,1))-AVERAGE(OFFSET($H$3,0,0,'Données projet'!$E$10+1,1))</f>
        <v>318.09371753144256</v>
      </c>
      <c r="AO72" s="59">
        <f t="shared" si="90"/>
        <v>298.61479562586919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1.6159752546313959</v>
      </c>
      <c r="AV72" s="21">
        <f>EXP(-LN(2)/25)*AV71+(1-EXP(-LN(2)/25))/(LN(2)/25)*Calculateur!AQ72*Calculateur!AS72*VLOOKUP('Données projet'!$B$10,Paramètres!$A$1:$I$89,3,0)*0.475*44/12</f>
        <v>7.0089076027718278</v>
      </c>
      <c r="AW72" s="21">
        <f>EXP(-LN(2)/2)*AW71+(1-EXP(-LN(2)/2))/(LN(2)/2)*AQ72*AT72*VLOOKUP('Données projet'!$B$10,Paramètres!$A$1:$I$89,3,0)*0.475*44/12</f>
        <v>4.079873960124508E-5</v>
      </c>
      <c r="AX72" s="21">
        <f t="shared" si="60"/>
        <v>8.6249236561428244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4.0999999999999996</v>
      </c>
      <c r="BD72" s="12">
        <f>IF('Données projet'!$A$88&gt;35,BD71+BC72-BL71,IF(A72&lt;'Données projet'!$A$88,$BA$205^A72,IF(A72='Données projet'!$A$88,'Données projet'!$B$88,BD71+BC72-BL71)))</f>
        <v>269.89999999999981</v>
      </c>
      <c r="BE72" s="13">
        <f>BD72*VLOOKUP('Données projet'!$B$11,Paramètres!$A$1:$I$89,3,0)*VLOOKUP('Données projet'!$B$11,Paramètres!$A$1:$I$89,5,0)</f>
        <v>218.94287999999986</v>
      </c>
      <c r="BF72" s="13">
        <f t="shared" si="91"/>
        <v>53.885061542657262</v>
      </c>
      <c r="BG72" s="20">
        <f t="shared" si="61"/>
        <v>475.17533152012783</v>
      </c>
      <c r="BH72" s="59">
        <f t="shared" si="62"/>
        <v>768.50866485346114</v>
      </c>
      <c r="BI72" s="59">
        <f ca="1">AVERAGE(OFFSET($BH$3,0,0,'Données projet'!$E$11+1,1))-AVERAGE(OFFSET($H$3,0,0,'Données projet'!$E$11+1,1))</f>
        <v>230.68538392491388</v>
      </c>
      <c r="BJ72" s="59">
        <f t="shared" si="92"/>
        <v>267.97457956620724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2.8849467558241519</v>
      </c>
      <c r="BR72" s="21">
        <f>EXP(-LN(2)/2)*BR71+(1-EXP(-LN(2)/2))/(LN(2)/2)*BL72*BO72*VLOOKUP('Données projet'!$B$11,Paramètres!$A$1:$I$89,3,0)*0.475*44/12</f>
        <v>1.4798694970785923E-5</v>
      </c>
      <c r="BS72" s="22">
        <f t="shared" si="63"/>
        <v>2.8849615545191227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180.79999999999987</v>
      </c>
      <c r="BZ72" s="13">
        <f>BY72*VLOOKUP('Données projet'!$B$12,Paramètres!$A$1:$I$89,3,0)*VLOOKUP('Données projet'!$B$12,Paramètres!$A$1:$I$89,5,0)</f>
        <v>205.89503999999985</v>
      </c>
      <c r="CA72" s="13">
        <f t="shared" si="93"/>
        <v>51.037520634277406</v>
      </c>
      <c r="CB72" s="20">
        <f t="shared" si="64"/>
        <v>447.4908764380329</v>
      </c>
      <c r="CC72" s="59">
        <f t="shared" si="65"/>
        <v>740.82420977136621</v>
      </c>
      <c r="CD72" s="59">
        <f ca="1">AVERAGE(OFFSET($CC$3,0,0,'Données projet'!$E$12+1,1))-AVERAGE(OFFSET($H$3,0,0,'Données projet'!$E$12+1,1))</f>
        <v>242.1473060698724</v>
      </c>
      <c r="CE72" s="59">
        <f t="shared" si="94"/>
        <v>96.127995920458659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0</v>
      </c>
      <c r="CZ72" s="59">
        <f t="shared" si="96"/>
        <v>0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>
        <f>DO72*VLOOKUP('Données projet'!$B$14,Paramètres!$A$1:$I$89,3,0)*VLOOKUP('Données projet'!$B$14,Paramètres!$A$1:$I$89,5,0)</f>
        <v>0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0</v>
      </c>
      <c r="DU72" s="59">
        <f t="shared" si="98"/>
        <v>0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1.3596945791505279E-13</v>
      </c>
      <c r="P73" s="13">
        <f t="shared" si="87"/>
        <v>1.9708830566360721E-12</v>
      </c>
      <c r="Q73" s="20">
        <f t="shared" si="54"/>
        <v>3.669434796176543E-12</v>
      </c>
      <c r="R73" s="59">
        <f t="shared" si="55"/>
        <v>293.33333333333701</v>
      </c>
      <c r="S73" s="59">
        <f ca="1">AVERAGE(OFFSET($R$3,0,0,'Données projet'!$E$9+1,1))-AVERAGE(OFFSET($H$3,0,0,'Données projet'!$E$9+1,1))</f>
        <v>212.98969326021802</v>
      </c>
      <c r="T73" s="59">
        <f t="shared" si="88"/>
        <v>422.91218020922895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33.752166567795591</v>
      </c>
      <c r="AA73" s="21">
        <f>EXP(-LN(2)/25)*AA72+(1-EXP(-LN(2)/25))/(LN(2)/25)*Calculateur!V73*Calculateur!X73*VLOOKUP('Données projet'!$B$9,Paramètres!$A$1:$I$89,3,0)*0.475*44/12</f>
        <v>22.281502023939378</v>
      </c>
      <c r="AB73" s="21">
        <f>EXP(-LN(2)/2)*AB72+(1-EXP(-LN(2)/2))/(LN(2)/2)*V73*Y73*VLOOKUP('Données projet'!$B$9,Paramètres!$A$1:$I$89,3,0)*0.475*44/12</f>
        <v>4.8936666782391691E-4</v>
      </c>
      <c r="AC73" s="22">
        <f t="shared" si="57"/>
        <v>56.034157958402787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557</v>
      </c>
      <c r="AG73" s="12">
        <f>VLOOKUP(A73,'Données projet'!$A$61:$I$81,9,0)</f>
        <v>14.3</v>
      </c>
      <c r="AH73" s="12">
        <f t="array" ref="AH73">INDEX(AG:AG,MIN(IF(ISNUMBER(AG73:AG269),ROW(AG73:AG269),"")))</f>
        <v>14.3</v>
      </c>
      <c r="AI73" s="13">
        <f>IF('Données projet'!$A$62&gt;35,AI72+AH73-AQ72,IF(A73&lt;'Données projet'!$A$62,$AF$205^A73,IF(A73='Données projet'!$A$62,'Données projet'!$B$62,AI72+AH73-AQ72)))</f>
        <v>556.99999999999955</v>
      </c>
      <c r="AJ73" s="13">
        <f>AI73*VLOOKUP('Données projet'!$B$10,Paramètres!$A$1:$I$89,3,0)*VLOOKUP('Données projet'!$B$10,Paramètres!$A$1:$I$89,5,0)</f>
        <v>333.08599999999973</v>
      </c>
      <c r="AK73" s="13">
        <f t="shared" si="89"/>
        <v>78.069766692034491</v>
      </c>
      <c r="AL73" s="20">
        <f t="shared" si="58"/>
        <v>716.09629365529281</v>
      </c>
      <c r="AM73" s="59">
        <f t="shared" si="59"/>
        <v>1009.4296269886261</v>
      </c>
      <c r="AN73" s="59">
        <f ca="1">AVERAGE(OFFSET($AM$3,0,0,'Données projet'!$E$10+1,1))-AVERAGE(OFFSET($H$3,0,0,'Données projet'!$E$10+1,1))</f>
        <v>318.09371753144256</v>
      </c>
      <c r="AO73" s="59">
        <f t="shared" si="90"/>
        <v>298.61479562586919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76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1.5842869655356548</v>
      </c>
      <c r="AV73" s="21">
        <f>EXP(-LN(2)/25)*AV72+(1-EXP(-LN(2)/25))/(LN(2)/25)*Calculateur!AQ73*Calculateur!AS73*VLOOKUP('Données projet'!$B$10,Paramètres!$A$1:$I$89,3,0)*0.475*44/12</f>
        <v>6.8172486557916008</v>
      </c>
      <c r="AW73" s="21">
        <f>EXP(-LN(2)/2)*AW72+(1-EXP(-LN(2)/2))/(LN(2)/2)*AQ73*AT73*VLOOKUP('Données projet'!$B$10,Paramètres!$A$1:$I$89,3,0)*0.475*44/12</f>
        <v>2.8849065435904539E-5</v>
      </c>
      <c r="AX73" s="21">
        <f t="shared" si="60"/>
        <v>8.4015644703926906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274</v>
      </c>
      <c r="BB73" s="12">
        <f>VLOOKUP(A73,'Données projet'!$A$87:$I$107,9,0)</f>
        <v>4.0999999999999996</v>
      </c>
      <c r="BC73" s="12">
        <f t="array" ref="BC73">INDEX(BB:BB,MIN(IF(ISNUMBER(BB73:BB269),ROW(BB73:BB269),"")))</f>
        <v>4.0999999999999996</v>
      </c>
      <c r="BD73" s="12">
        <f>IF('Données projet'!$A$88&gt;35,BD72+BC73-BL72,IF(A73&lt;'Données projet'!$A$88,$BA$205^A73,IF(A73='Données projet'!$A$88,'Données projet'!$B$88,BD72+BC73-BL72)))</f>
        <v>273.99999999999983</v>
      </c>
      <c r="BE73" s="13">
        <f>BD73*VLOOKUP('Données projet'!$B$11,Paramètres!$A$1:$I$89,3,0)*VLOOKUP('Données projet'!$B$11,Paramètres!$A$1:$I$89,5,0)</f>
        <v>222.26879999999986</v>
      </c>
      <c r="BF73" s="13">
        <f t="shared" si="91"/>
        <v>54.607703354107656</v>
      </c>
      <c r="BG73" s="20">
        <f t="shared" si="61"/>
        <v>482.22657667507048</v>
      </c>
      <c r="BH73" s="59">
        <f t="shared" si="62"/>
        <v>775.55991000840379</v>
      </c>
      <c r="BI73" s="59">
        <f ca="1">AVERAGE(OFFSET($BH$3,0,0,'Données projet'!$E$11+1,1))-AVERAGE(OFFSET($H$3,0,0,'Données projet'!$E$11+1,1))</f>
        <v>230.68538392491388</v>
      </c>
      <c r="BJ73" s="59">
        <f t="shared" si="92"/>
        <v>267.97457956620724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21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2.8060577350733844</v>
      </c>
      <c r="BR73" s="21">
        <f>EXP(-LN(2)/2)*BR72+(1-EXP(-LN(2)/2))/(LN(2)/2)*BL73*BO73*VLOOKUP('Données projet'!$B$11,Paramètres!$A$1:$I$89,3,0)*0.475*44/12</f>
        <v>1.0464257566553984E-5</v>
      </c>
      <c r="BS73" s="22">
        <f t="shared" si="63"/>
        <v>2.8060681993309511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186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185.99999999999986</v>
      </c>
      <c r="BZ73" s="13">
        <f>BY73*VLOOKUP('Données projet'!$B$12,Paramètres!$A$1:$I$89,3,0)*VLOOKUP('Données projet'!$B$12,Paramètres!$A$1:$I$89,5,0)</f>
        <v>211.81679999999983</v>
      </c>
      <c r="CA73" s="13">
        <f t="shared" si="93"/>
        <v>52.332402945946782</v>
      </c>
      <c r="CB73" s="20">
        <f t="shared" si="64"/>
        <v>460.05986179752364</v>
      </c>
      <c r="CC73" s="59">
        <f t="shared" si="65"/>
        <v>753.39319513085695</v>
      </c>
      <c r="CD73" s="59">
        <f ca="1">AVERAGE(OFFSET($CC$3,0,0,'Données projet'!$E$12+1,1))-AVERAGE(OFFSET($H$3,0,0,'Données projet'!$E$12+1,1))</f>
        <v>242.1473060698724</v>
      </c>
      <c r="CE73" s="59">
        <f t="shared" si="94"/>
        <v>96.127995920458659</v>
      </c>
      <c r="CF73" s="15">
        <f>IF(ISNA(VLOOKUP(A73,'Données projet'!$A$113:$I$133,3,0)),0,VLOOKUP(A73,'Données projet'!$A$113:$I$133,3,0))</f>
        <v>4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0</v>
      </c>
      <c r="CZ73" s="59">
        <f t="shared" si="96"/>
        <v>0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>
        <f>DO73*VLOOKUP('Données projet'!$B$14,Paramètres!$A$1:$I$89,3,0)*VLOOKUP('Données projet'!$B$14,Paramètres!$A$1:$I$89,5,0)</f>
        <v>0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0</v>
      </c>
      <c r="DU73" s="59">
        <f t="shared" si="98"/>
        <v>0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1.3596945791505279E-13</v>
      </c>
      <c r="P74" s="13">
        <f t="shared" si="87"/>
        <v>1.9708830566360721E-12</v>
      </c>
      <c r="Q74" s="20">
        <f t="shared" si="54"/>
        <v>3.669434796176543E-12</v>
      </c>
      <c r="R74" s="59">
        <f t="shared" si="55"/>
        <v>293.33333333333701</v>
      </c>
      <c r="S74" s="59">
        <f ca="1">AVERAGE(OFFSET($R$3,0,0,'Données projet'!$E$9+1,1))-AVERAGE(OFFSET($H$3,0,0,'Données projet'!$E$9+1,1))</f>
        <v>212.98969326021802</v>
      </c>
      <c r="T74" s="59">
        <f t="shared" si="88"/>
        <v>422.91218020922895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33.090307168189952</v>
      </c>
      <c r="AA74" s="21">
        <f>EXP(-LN(2)/25)*AA73+(1-EXP(-LN(2)/25))/(LN(2)/25)*Calculateur!V74*Calculateur!X74*VLOOKUP('Données projet'!$B$9,Paramètres!$A$1:$I$89,3,0)*0.475*44/12</f>
        <v>21.672213179361488</v>
      </c>
      <c r="AB74" s="21">
        <f>EXP(-LN(2)/2)*AB73+(1-EXP(-LN(2)/2))/(LN(2)/2)*V74*Y74*VLOOKUP('Données projet'!$B$9,Paramètres!$A$1:$I$89,3,0)*0.475*44/12</f>
        <v>3.4603448930495631E-4</v>
      </c>
      <c r="AC74" s="22">
        <f t="shared" si="57"/>
        <v>54.762866382040748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11.8</v>
      </c>
      <c r="AI74" s="13">
        <f>IF('Données projet'!$A$62&gt;35,AI73+AH74-AQ73,IF(A74&lt;'Données projet'!$A$62,$AF$205^A74,IF(A74='Données projet'!$A$62,'Données projet'!$B$62,AI73+AH74-AQ73)))</f>
        <v>492.7999999999995</v>
      </c>
      <c r="AJ74" s="13">
        <f>AI74*VLOOKUP('Données projet'!$B$10,Paramètres!$A$1:$I$89,3,0)*VLOOKUP('Données projet'!$B$10,Paramètres!$A$1:$I$89,5,0)</f>
        <v>294.69439999999975</v>
      </c>
      <c r="AK74" s="13">
        <f t="shared" si="89"/>
        <v>70.063053488002708</v>
      </c>
      <c r="AL74" s="20">
        <f t="shared" si="58"/>
        <v>635.28589815827092</v>
      </c>
      <c r="AM74" s="59">
        <f t="shared" si="59"/>
        <v>928.6192314916043</v>
      </c>
      <c r="AN74" s="59">
        <f ca="1">AVERAGE(OFFSET($AM$3,0,0,'Données projet'!$E$10+1,1))-AVERAGE(OFFSET($H$3,0,0,'Données projet'!$E$10+1,1))</f>
        <v>318.09371753144256</v>
      </c>
      <c r="AO74" s="59">
        <f t="shared" si="90"/>
        <v>298.61479562586919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1.5532200644611336</v>
      </c>
      <c r="AV74" s="21">
        <f>EXP(-LN(2)/25)*AV73+(1-EXP(-LN(2)/25))/(LN(2)/25)*Calculateur!AQ74*Calculateur!AS74*VLOOKUP('Données projet'!$B$10,Paramètres!$A$1:$I$89,3,0)*0.475*44/12</f>
        <v>6.6308306327954538</v>
      </c>
      <c r="AW74" s="21">
        <f>EXP(-LN(2)/2)*AW73+(1-EXP(-LN(2)/2))/(LN(2)/2)*AQ74*AT74*VLOOKUP('Données projet'!$B$10,Paramètres!$A$1:$I$89,3,0)*0.475*44/12</f>
        <v>2.0399369800622543E-5</v>
      </c>
      <c r="AX74" s="21">
        <f t="shared" si="60"/>
        <v>8.1840710966263881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3.1</v>
      </c>
      <c r="BD74" s="12">
        <f>IF('Données projet'!$A$88&gt;35,BD73+BC74-BL73,IF(A74&lt;'Données projet'!$A$88,$BA$205^A74,IF(A74='Données projet'!$A$88,'Données projet'!$B$88,BD73+BC74-BL73)))</f>
        <v>256.09999999999985</v>
      </c>
      <c r="BE74" s="13">
        <f>BD74*VLOOKUP('Données projet'!$B$11,Paramètres!$A$1:$I$89,3,0)*VLOOKUP('Données projet'!$B$11,Paramètres!$A$1:$I$89,5,0)</f>
        <v>207.74831999999992</v>
      </c>
      <c r="BF74" s="13">
        <f t="shared" si="91"/>
        <v>51.443228678039006</v>
      </c>
      <c r="BG74" s="20">
        <f t="shared" si="61"/>
        <v>451.42528061425111</v>
      </c>
      <c r="BH74" s="59">
        <f t="shared" si="62"/>
        <v>744.75861394758442</v>
      </c>
      <c r="BI74" s="59">
        <f ca="1">AVERAGE(OFFSET($BH$3,0,0,'Données projet'!$E$11+1,1))-AVERAGE(OFFSET($H$3,0,0,'Données projet'!$E$11+1,1))</f>
        <v>230.68538392491388</v>
      </c>
      <c r="BJ74" s="59">
        <f t="shared" si="92"/>
        <v>267.97457956620724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2.7293259387436399</v>
      </c>
      <c r="BR74" s="21">
        <f>EXP(-LN(2)/2)*BR73+(1-EXP(-LN(2)/2))/(LN(2)/2)*BL74*BO74*VLOOKUP('Données projet'!$B$11,Paramètres!$A$1:$I$89,3,0)*0.475*44/12</f>
        <v>7.3993474853929621E-6</v>
      </c>
      <c r="BS74" s="22">
        <f t="shared" si="63"/>
        <v>2.7293333380911253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162.79999999999987</v>
      </c>
      <c r="BZ74" s="13">
        <f>BY74*VLOOKUP('Données projet'!$B$12,Paramètres!$A$1:$I$89,3,0)*VLOOKUP('Données projet'!$B$12,Paramètres!$A$1:$I$89,5,0)</f>
        <v>185.39663999999985</v>
      </c>
      <c r="CA74" s="13">
        <f t="shared" si="93"/>
        <v>46.520767114093928</v>
      </c>
      <c r="CB74" s="20">
        <f t="shared" si="64"/>
        <v>403.92281739037998</v>
      </c>
      <c r="CC74" s="59">
        <f t="shared" si="65"/>
        <v>697.25615072371329</v>
      </c>
      <c r="CD74" s="59">
        <f ca="1">AVERAGE(OFFSET($CC$3,0,0,'Données projet'!$E$12+1,1))-AVERAGE(OFFSET($H$3,0,0,'Données projet'!$E$12+1,1))</f>
        <v>242.1473060698724</v>
      </c>
      <c r="CE74" s="59">
        <f t="shared" si="94"/>
        <v>96.127995920458659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0</v>
      </c>
      <c r="CZ74" s="59">
        <f t="shared" si="96"/>
        <v>0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>
        <f>DO74*VLOOKUP('Données projet'!$B$14,Paramètres!$A$1:$I$89,3,0)*VLOOKUP('Données projet'!$B$14,Paramètres!$A$1:$I$89,5,0)</f>
        <v>0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0</v>
      </c>
      <c r="DU74" s="59">
        <f t="shared" si="98"/>
        <v>0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1.3596945791505279E-13</v>
      </c>
      <c r="P75" s="13">
        <f t="shared" si="87"/>
        <v>1.9708830566360721E-12</v>
      </c>
      <c r="Q75" s="20">
        <f t="shared" si="54"/>
        <v>3.669434796176543E-12</v>
      </c>
      <c r="R75" s="59">
        <f t="shared" si="55"/>
        <v>293.33333333333701</v>
      </c>
      <c r="S75" s="59">
        <f ca="1">AVERAGE(OFFSET($R$3,0,0,'Données projet'!$E$9+1,1))-AVERAGE(OFFSET($H$3,0,0,'Données projet'!$E$9+1,1))</f>
        <v>212.98969326021802</v>
      </c>
      <c r="T75" s="59">
        <f t="shared" si="88"/>
        <v>422.91218020922895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32.441426427716202</v>
      </c>
      <c r="AA75" s="21">
        <f>EXP(-LN(2)/25)*AA74+(1-EXP(-LN(2)/25))/(LN(2)/25)*Calculateur!V75*Calculateur!X75*VLOOKUP('Données projet'!$B$9,Paramètres!$A$1:$I$89,3,0)*0.475*44/12</f>
        <v>21.079585370279691</v>
      </c>
      <c r="AB75" s="21">
        <f>EXP(-LN(2)/2)*AB74+(1-EXP(-LN(2)/2))/(LN(2)/2)*V75*Y75*VLOOKUP('Données projet'!$B$9,Paramètres!$A$1:$I$89,3,0)*0.475*44/12</f>
        <v>2.4468333391195846E-4</v>
      </c>
      <c r="AC75" s="22">
        <f t="shared" si="57"/>
        <v>53.521256481329807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11.8</v>
      </c>
      <c r="AI75" s="13">
        <f>IF('Données projet'!$A$62&gt;35,AI74+AH75-AQ74,IF(A75&lt;'Données projet'!$A$62,$AF$205^A75,IF(A75='Données projet'!$A$62,'Données projet'!$B$62,AI74+AH75-AQ74)))</f>
        <v>504.59999999999951</v>
      </c>
      <c r="AJ75" s="13">
        <f>AI75*VLOOKUP('Données projet'!$B$10,Paramètres!$A$1:$I$89,3,0)*VLOOKUP('Données projet'!$B$10,Paramètres!$A$1:$I$89,5,0)</f>
        <v>301.75079999999974</v>
      </c>
      <c r="AK75" s="13">
        <f t="shared" si="89"/>
        <v>71.54337400924733</v>
      </c>
      <c r="AL75" s="20">
        <f t="shared" si="58"/>
        <v>650.15401973277187</v>
      </c>
      <c r="AM75" s="59">
        <f t="shared" si="59"/>
        <v>943.48735306610524</v>
      </c>
      <c r="AN75" s="59">
        <f ca="1">AVERAGE(OFFSET($AM$3,0,0,'Données projet'!$E$10+1,1))-AVERAGE(OFFSET($H$3,0,0,'Données projet'!$E$10+1,1))</f>
        <v>318.09371753144256</v>
      </c>
      <c r="AO75" s="59">
        <f t="shared" si="90"/>
        <v>298.61479562586919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1.522762366367745</v>
      </c>
      <c r="AV75" s="21">
        <f>EXP(-LN(2)/25)*AV74+(1-EXP(-LN(2)/25))/(LN(2)/25)*Calculateur!AQ75*Calculateur!AS75*VLOOKUP('Données projet'!$B$10,Paramètres!$A$1:$I$89,3,0)*0.475*44/12</f>
        <v>6.4495102204414341</v>
      </c>
      <c r="AW75" s="21">
        <f>EXP(-LN(2)/2)*AW74+(1-EXP(-LN(2)/2))/(LN(2)/2)*AQ75*AT75*VLOOKUP('Données projet'!$B$10,Paramètres!$A$1:$I$89,3,0)*0.475*44/12</f>
        <v>1.4424532717952271E-5</v>
      </c>
      <c r="AX75" s="21">
        <f t="shared" si="60"/>
        <v>7.9722870113418969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3.1</v>
      </c>
      <c r="BD75" s="12">
        <f>IF('Données projet'!$A$88&gt;35,BD74+BC75-BL74,IF(A75&lt;'Données projet'!$A$88,$BA$205^A75,IF(A75='Données projet'!$A$88,'Données projet'!$B$88,BD74+BC75-BL74)))</f>
        <v>259.19999999999987</v>
      </c>
      <c r="BE75" s="13">
        <f>BD75*VLOOKUP('Données projet'!$B$11,Paramètres!$A$1:$I$89,3,0)*VLOOKUP('Données projet'!$B$11,Paramètres!$A$1:$I$89,5,0)</f>
        <v>210.2630399999999</v>
      </c>
      <c r="BF75" s="13">
        <f t="shared" si="91"/>
        <v>51.993062367907982</v>
      </c>
      <c r="BG75" s="20">
        <f t="shared" si="61"/>
        <v>456.7627116241062</v>
      </c>
      <c r="BH75" s="59">
        <f t="shared" si="62"/>
        <v>750.09604495743952</v>
      </c>
      <c r="BI75" s="59">
        <f ca="1">AVERAGE(OFFSET($BH$3,0,0,'Données projet'!$E$11+1,1))-AVERAGE(OFFSET($H$3,0,0,'Données projet'!$E$11+1,1))</f>
        <v>230.68538392491388</v>
      </c>
      <c r="BJ75" s="59">
        <f t="shared" si="92"/>
        <v>267.97457956620724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2.654692377419682</v>
      </c>
      <c r="BR75" s="21">
        <f>EXP(-LN(2)/2)*BR74+(1-EXP(-LN(2)/2))/(LN(2)/2)*BL75*BO75*VLOOKUP('Données projet'!$B$11,Paramètres!$A$1:$I$89,3,0)*0.475*44/12</f>
        <v>5.2321287832769927E-6</v>
      </c>
      <c r="BS75" s="22">
        <f t="shared" si="63"/>
        <v>2.6546976095484651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167.59999999999988</v>
      </c>
      <c r="BZ75" s="13">
        <f>BY75*VLOOKUP('Données projet'!$B$12,Paramètres!$A$1:$I$89,3,0)*VLOOKUP('Données projet'!$B$12,Paramètres!$A$1:$I$89,5,0)</f>
        <v>190.86287999999988</v>
      </c>
      <c r="CA75" s="13">
        <f t="shared" si="93"/>
        <v>47.730673029611843</v>
      </c>
      <c r="CB75" s="20">
        <f t="shared" si="64"/>
        <v>415.55043819324038</v>
      </c>
      <c r="CC75" s="59">
        <f t="shared" si="65"/>
        <v>708.8837715265737</v>
      </c>
      <c r="CD75" s="59">
        <f ca="1">AVERAGE(OFFSET($CC$3,0,0,'Données projet'!$E$12+1,1))-AVERAGE(OFFSET($H$3,0,0,'Données projet'!$E$12+1,1))</f>
        <v>242.1473060698724</v>
      </c>
      <c r="CE75" s="59">
        <f t="shared" si="94"/>
        <v>96.127995920458659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0</v>
      </c>
      <c r="CZ75" s="59">
        <f t="shared" si="96"/>
        <v>0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>
        <f>DO75*VLOOKUP('Données projet'!$B$14,Paramètres!$A$1:$I$89,3,0)*VLOOKUP('Données projet'!$B$14,Paramètres!$A$1:$I$89,5,0)</f>
        <v>0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0</v>
      </c>
      <c r="DU75" s="59">
        <f t="shared" si="98"/>
        <v>0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1.3596945791505279E-13</v>
      </c>
      <c r="P76" s="13">
        <f t="shared" si="87"/>
        <v>1.9708830566360721E-12</v>
      </c>
      <c r="Q76" s="20">
        <f t="shared" si="54"/>
        <v>3.669434796176543E-12</v>
      </c>
      <c r="R76" s="59">
        <f t="shared" si="55"/>
        <v>293.33333333333701</v>
      </c>
      <c r="S76" s="59">
        <f ca="1">AVERAGE(OFFSET($R$3,0,0,'Données projet'!$E$9+1,1))-AVERAGE(OFFSET($H$3,0,0,'Données projet'!$E$9+1,1))</f>
        <v>212.98969326021802</v>
      </c>
      <c r="T76" s="59">
        <f t="shared" si="88"/>
        <v>422.91218020922895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31.805269842784973</v>
      </c>
      <c r="AA76" s="21">
        <f>EXP(-LN(2)/25)*AA75+(1-EXP(-LN(2)/25))/(LN(2)/25)*Calculateur!V76*Calculateur!X76*VLOOKUP('Données projet'!$B$9,Paramètres!$A$1:$I$89,3,0)*0.475*44/12</f>
        <v>20.503162999802175</v>
      </c>
      <c r="AB76" s="21">
        <f>EXP(-LN(2)/2)*AB75+(1-EXP(-LN(2)/2))/(LN(2)/2)*V76*Y76*VLOOKUP('Données projet'!$B$9,Paramètres!$A$1:$I$89,3,0)*0.475*44/12</f>
        <v>1.7301724465247815E-4</v>
      </c>
      <c r="AC76" s="22">
        <f t="shared" si="57"/>
        <v>52.308605859831808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11.8</v>
      </c>
      <c r="AI76" s="13">
        <f>IF('Données projet'!$A$62&gt;35,AI75+AH76-AQ75,IF(A76&lt;'Données projet'!$A$62,$AF$205^A76,IF(A76='Données projet'!$A$62,'Données projet'!$B$62,AI75+AH76-AQ75)))</f>
        <v>516.39999999999952</v>
      </c>
      <c r="AJ76" s="13">
        <f>AI76*VLOOKUP('Données projet'!$B$10,Paramètres!$A$1:$I$89,3,0)*VLOOKUP('Données projet'!$B$10,Paramètres!$A$1:$I$89,5,0)</f>
        <v>308.80719999999974</v>
      </c>
      <c r="AK76" s="13">
        <f t="shared" si="89"/>
        <v>73.019670192972768</v>
      </c>
      <c r="AL76" s="20">
        <f t="shared" si="58"/>
        <v>665.01513225276028</v>
      </c>
      <c r="AM76" s="59">
        <f t="shared" si="59"/>
        <v>958.34846558609365</v>
      </c>
      <c r="AN76" s="59">
        <f ca="1">AVERAGE(OFFSET($AM$3,0,0,'Données projet'!$E$10+1,1))-AVERAGE(OFFSET($H$3,0,0,'Données projet'!$E$10+1,1))</f>
        <v>318.09371753144256</v>
      </c>
      <c r="AO76" s="59">
        <f t="shared" si="90"/>
        <v>298.61479562586919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1.4929019251566062</v>
      </c>
      <c r="AV76" s="21">
        <f>EXP(-LN(2)/25)*AV75+(1-EXP(-LN(2)/25))/(LN(2)/25)*Calculateur!AQ76*Calculateur!AS76*VLOOKUP('Données projet'!$B$10,Paramètres!$A$1:$I$89,3,0)*0.475*44/12</f>
        <v>6.273148024298461</v>
      </c>
      <c r="AW76" s="21">
        <f>EXP(-LN(2)/2)*AW75+(1-EXP(-LN(2)/2))/(LN(2)/2)*AQ76*AT76*VLOOKUP('Données projet'!$B$10,Paramètres!$A$1:$I$89,3,0)*0.475*44/12</f>
        <v>1.0199684900311273E-5</v>
      </c>
      <c r="AX76" s="21">
        <f t="shared" si="60"/>
        <v>7.7660601491399675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3.1</v>
      </c>
      <c r="BD76" s="12">
        <f>IF('Données projet'!$A$88&gt;35,BD75+BC76-BL75,IF(A76&lt;'Données projet'!$A$88,$BA$205^A76,IF(A76='Données projet'!$A$88,'Données projet'!$B$88,BD75+BC76-BL75)))</f>
        <v>262.2999999999999</v>
      </c>
      <c r="BE76" s="13">
        <f>BD76*VLOOKUP('Données projet'!$B$11,Paramètres!$A$1:$I$89,3,0)*VLOOKUP('Données projet'!$B$11,Paramètres!$A$1:$I$89,5,0)</f>
        <v>212.77775999999994</v>
      </c>
      <c r="BF76" s="13">
        <f t="shared" si="91"/>
        <v>52.542131131270303</v>
      </c>
      <c r="BG76" s="20">
        <f t="shared" si="61"/>
        <v>462.09881038696238</v>
      </c>
      <c r="BH76" s="59">
        <f t="shared" si="62"/>
        <v>755.4321437202957</v>
      </c>
      <c r="BI76" s="59">
        <f ca="1">AVERAGE(OFFSET($BH$3,0,0,'Données projet'!$E$11+1,1))-AVERAGE(OFFSET($H$3,0,0,'Données projet'!$E$11+1,1))</f>
        <v>230.68538392491388</v>
      </c>
      <c r="BJ76" s="59">
        <f t="shared" si="92"/>
        <v>267.97457956620724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2.5820996747549358</v>
      </c>
      <c r="BR76" s="21">
        <f>EXP(-LN(2)/2)*BR75+(1-EXP(-LN(2)/2))/(LN(2)/2)*BL76*BO76*VLOOKUP('Données projet'!$B$11,Paramètres!$A$1:$I$89,3,0)*0.475*44/12</f>
        <v>3.6996737426964819E-6</v>
      </c>
      <c r="BS76" s="22">
        <f t="shared" si="63"/>
        <v>2.5821033744286783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172.39999999999989</v>
      </c>
      <c r="BZ76" s="13">
        <f>BY76*VLOOKUP('Données projet'!$B$12,Paramètres!$A$1:$I$89,3,0)*VLOOKUP('Données projet'!$B$12,Paramètres!$A$1:$I$89,5,0)</f>
        <v>196.32911999999988</v>
      </c>
      <c r="CA76" s="13">
        <f t="shared" si="93"/>
        <v>48.936551674182525</v>
      </c>
      <c r="CB76" s="20">
        <f t="shared" si="64"/>
        <v>427.17104483253434</v>
      </c>
      <c r="CC76" s="59">
        <f t="shared" si="65"/>
        <v>720.50437816586759</v>
      </c>
      <c r="CD76" s="59">
        <f ca="1">AVERAGE(OFFSET($CC$3,0,0,'Données projet'!$E$12+1,1))-AVERAGE(OFFSET($H$3,0,0,'Données projet'!$E$12+1,1))</f>
        <v>242.1473060698724</v>
      </c>
      <c r="CE76" s="59">
        <f t="shared" si="94"/>
        <v>96.127995920458659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0</v>
      </c>
      <c r="CZ76" s="59">
        <f t="shared" si="96"/>
        <v>0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>
        <f>DO76*VLOOKUP('Données projet'!$B$14,Paramètres!$A$1:$I$89,3,0)*VLOOKUP('Données projet'!$B$14,Paramètres!$A$1:$I$89,5,0)</f>
        <v>0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0</v>
      </c>
      <c r="DU76" s="59">
        <f t="shared" si="98"/>
        <v>0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1.3596945791505279E-13</v>
      </c>
      <c r="P77" s="13">
        <f t="shared" si="87"/>
        <v>1.9708830566360721E-12</v>
      </c>
      <c r="Q77" s="20">
        <f t="shared" si="54"/>
        <v>3.669434796176543E-12</v>
      </c>
      <c r="R77" s="59">
        <f t="shared" si="55"/>
        <v>293.33333333333701</v>
      </c>
      <c r="S77" s="59">
        <f ca="1">AVERAGE(OFFSET($R$3,0,0,'Données projet'!$E$9+1,1))-AVERAGE(OFFSET($H$3,0,0,'Données projet'!$E$9+1,1))</f>
        <v>212.98969326021802</v>
      </c>
      <c r="T77" s="59">
        <f t="shared" si="88"/>
        <v>422.91218020922895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31.181587900467044</v>
      </c>
      <c r="AA77" s="21">
        <f>EXP(-LN(2)/25)*AA76+(1-EXP(-LN(2)/25))/(LN(2)/25)*Calculateur!V77*Calculateur!X77*VLOOKUP('Données projet'!$B$9,Paramètres!$A$1:$I$89,3,0)*0.475*44/12</f>
        <v>19.942502929358103</v>
      </c>
      <c r="AB77" s="21">
        <f>EXP(-LN(2)/2)*AB76+(1-EXP(-LN(2)/2))/(LN(2)/2)*V77*Y77*VLOOKUP('Données projet'!$B$9,Paramètres!$A$1:$I$89,3,0)*0.475*44/12</f>
        <v>1.2234166695597923E-4</v>
      </c>
      <c r="AC77" s="22">
        <f t="shared" si="57"/>
        <v>51.124213171492109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11.8</v>
      </c>
      <c r="AI77" s="13">
        <f>IF('Données projet'!$A$62&gt;35,AI76+AH77-AQ76,IF(A77&lt;'Données projet'!$A$62,$AF$205^A77,IF(A77='Données projet'!$A$62,'Données projet'!$B$62,AI76+AH77-AQ76)))</f>
        <v>528.19999999999948</v>
      </c>
      <c r="AJ77" s="13">
        <f>AI77*VLOOKUP('Données projet'!$B$10,Paramètres!$A$1:$I$89,3,0)*VLOOKUP('Données projet'!$B$10,Paramètres!$A$1:$I$89,5,0)</f>
        <v>315.86359999999974</v>
      </c>
      <c r="AK77" s="13">
        <f t="shared" si="89"/>
        <v>74.492044582870264</v>
      </c>
      <c r="AL77" s="20">
        <f t="shared" si="58"/>
        <v>679.86941431516527</v>
      </c>
      <c r="AM77" s="59">
        <f t="shared" si="59"/>
        <v>973.20274764849864</v>
      </c>
      <c r="AN77" s="59">
        <f ca="1">AVERAGE(OFFSET($AM$3,0,0,'Données projet'!$E$10+1,1))-AVERAGE(OFFSET($H$3,0,0,'Données projet'!$E$10+1,1))</f>
        <v>318.09371753144256</v>
      </c>
      <c r="AO77" s="59">
        <f t="shared" si="90"/>
        <v>298.61479562586919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1.4636270289845472</v>
      </c>
      <c r="AV77" s="21">
        <f>EXP(-LN(2)/25)*AV76+(1-EXP(-LN(2)/25))/(LN(2)/25)*Calculateur!AQ77*Calculateur!AS77*VLOOKUP('Données projet'!$B$10,Paramètres!$A$1:$I$89,3,0)*0.475*44/12</f>
        <v>6.1016084616835027</v>
      </c>
      <c r="AW77" s="21">
        <f>EXP(-LN(2)/2)*AW76+(1-EXP(-LN(2)/2))/(LN(2)/2)*AQ77*AT77*VLOOKUP('Données projet'!$B$10,Paramètres!$A$1:$I$89,3,0)*0.475*44/12</f>
        <v>7.2122663589761365E-6</v>
      </c>
      <c r="AX77" s="21">
        <f t="shared" si="60"/>
        <v>7.5652427029344089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3.1</v>
      </c>
      <c r="BD77" s="12">
        <f>IF('Données projet'!$A$88&gt;35,BD76+BC77-BL76,IF(A77&lt;'Données projet'!$A$88,$BA$205^A77,IF(A77='Données projet'!$A$88,'Données projet'!$B$88,BD76+BC77-BL76)))</f>
        <v>265.39999999999992</v>
      </c>
      <c r="BE77" s="13">
        <f>BD77*VLOOKUP('Données projet'!$B$11,Paramètres!$A$1:$I$89,3,0)*VLOOKUP('Données projet'!$B$11,Paramètres!$A$1:$I$89,5,0)</f>
        <v>215.29247999999993</v>
      </c>
      <c r="BF77" s="13">
        <f t="shared" si="91"/>
        <v>53.090445054256215</v>
      </c>
      <c r="BG77" s="20">
        <f t="shared" si="61"/>
        <v>467.43359446949609</v>
      </c>
      <c r="BH77" s="59">
        <f t="shared" si="62"/>
        <v>760.7669278028294</v>
      </c>
      <c r="BI77" s="59">
        <f ca="1">AVERAGE(OFFSET($BH$3,0,0,'Données projet'!$E$11+1,1))-AVERAGE(OFFSET($H$3,0,0,'Données projet'!$E$11+1,1))</f>
        <v>230.68538392491388</v>
      </c>
      <c r="BJ77" s="59">
        <f t="shared" si="92"/>
        <v>267.97457956620724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2.5114920233620417</v>
      </c>
      <c r="BR77" s="21">
        <f>EXP(-LN(2)/2)*BR76+(1-EXP(-LN(2)/2))/(LN(2)/2)*BL77*BO77*VLOOKUP('Données projet'!$B$11,Paramètres!$A$1:$I$89,3,0)*0.475*44/12</f>
        <v>2.6160643916384968E-6</v>
      </c>
      <c r="BS77" s="22">
        <f t="shared" si="63"/>
        <v>2.5114946394264335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177.1999999999999</v>
      </c>
      <c r="BZ77" s="13">
        <f>BY77*VLOOKUP('Données projet'!$B$12,Paramètres!$A$1:$I$89,3,0)*VLOOKUP('Données projet'!$B$12,Paramètres!$A$1:$I$89,5,0)</f>
        <v>201.7953599999999</v>
      </c>
      <c r="CA77" s="13">
        <f t="shared" si="93"/>
        <v>50.13852805781471</v>
      </c>
      <c r="CB77" s="20">
        <f t="shared" si="64"/>
        <v>438.78485503402709</v>
      </c>
      <c r="CC77" s="59">
        <f t="shared" si="65"/>
        <v>732.1181883673604</v>
      </c>
      <c r="CD77" s="59">
        <f ca="1">AVERAGE(OFFSET($CC$3,0,0,'Données projet'!$E$12+1,1))-AVERAGE(OFFSET($H$3,0,0,'Données projet'!$E$12+1,1))</f>
        <v>242.1473060698724</v>
      </c>
      <c r="CE77" s="59">
        <f t="shared" si="94"/>
        <v>96.127995920458659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0</v>
      </c>
      <c r="CZ77" s="59">
        <f t="shared" si="96"/>
        <v>0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>
        <f>DO77*VLOOKUP('Données projet'!$B$14,Paramètres!$A$1:$I$89,3,0)*VLOOKUP('Données projet'!$B$14,Paramètres!$A$1:$I$89,5,0)</f>
        <v>0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0</v>
      </c>
      <c r="DU77" s="59">
        <f t="shared" si="98"/>
        <v>0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1.3596945791505279E-13</v>
      </c>
      <c r="P78" s="13">
        <f t="shared" si="87"/>
        <v>1.9708830566360721E-12</v>
      </c>
      <c r="Q78" s="20">
        <f t="shared" si="54"/>
        <v>3.669434796176543E-12</v>
      </c>
      <c r="R78" s="59">
        <f t="shared" si="55"/>
        <v>293.33333333333701</v>
      </c>
      <c r="S78" s="59">
        <f ca="1">AVERAGE(OFFSET($R$3,0,0,'Données projet'!$E$9+1,1))-AVERAGE(OFFSET($H$3,0,0,'Données projet'!$E$9+1,1))</f>
        <v>212.98969326021802</v>
      </c>
      <c r="T78" s="59">
        <f t="shared" si="88"/>
        <v>422.91218020922895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30.570135980629544</v>
      </c>
      <c r="AA78" s="21">
        <f>EXP(-LN(2)/25)*AA77+(1-EXP(-LN(2)/25))/(LN(2)/25)*Calculateur!V78*Calculateur!X78*VLOOKUP('Données projet'!$B$9,Paramètres!$A$1:$I$89,3,0)*0.475*44/12</f>
        <v>19.397174138024155</v>
      </c>
      <c r="AB78" s="21">
        <f>EXP(-LN(2)/2)*AB77+(1-EXP(-LN(2)/2))/(LN(2)/2)*V78*Y78*VLOOKUP('Données projet'!$B$9,Paramètres!$A$1:$I$89,3,0)*0.475*44/12</f>
        <v>8.6508622326239077E-5</v>
      </c>
      <c r="AC78" s="22">
        <f t="shared" si="57"/>
        <v>49.967396627276024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11.8</v>
      </c>
      <c r="AI78" s="13">
        <f>IF('Données projet'!$A$62&gt;35,AI77+AH78-AQ77,IF(A78&lt;'Données projet'!$A$62,$AF$205^A78,IF(A78='Données projet'!$A$62,'Données projet'!$B$62,AI77+AH78-AQ77)))</f>
        <v>539.99999999999943</v>
      </c>
      <c r="AJ78" s="13">
        <f>AI78*VLOOKUP('Données projet'!$B$10,Paramètres!$A$1:$I$89,3,0)*VLOOKUP('Données projet'!$B$10,Paramètres!$A$1:$I$89,5,0)</f>
        <v>322.91999999999967</v>
      </c>
      <c r="AK78" s="13">
        <f t="shared" si="89"/>
        <v>75.960594879408688</v>
      </c>
      <c r="AL78" s="20">
        <f t="shared" si="58"/>
        <v>694.71703608163625</v>
      </c>
      <c r="AM78" s="59">
        <f t="shared" si="59"/>
        <v>988.05036941496951</v>
      </c>
      <c r="AN78" s="59">
        <f ca="1">AVERAGE(OFFSET($AM$3,0,0,'Données projet'!$E$10+1,1))-AVERAGE(OFFSET($H$3,0,0,'Données projet'!$E$10+1,1))</f>
        <v>318.09371753144256</v>
      </c>
      <c r="AO78" s="59">
        <f t="shared" si="90"/>
        <v>298.61479562586919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1.4349261956704986</v>
      </c>
      <c r="AV78" s="21">
        <f>EXP(-LN(2)/25)*AV77+(1-EXP(-LN(2)/25))/(LN(2)/25)*Calculateur!AQ78*Calculateur!AS78*VLOOKUP('Données projet'!$B$10,Paramètres!$A$1:$I$89,3,0)*0.475*44/12</f>
        <v>5.9347596574291241</v>
      </c>
      <c r="AW78" s="21">
        <f>EXP(-LN(2)/2)*AW77+(1-EXP(-LN(2)/2))/(LN(2)/2)*AQ78*AT78*VLOOKUP('Données projet'!$B$10,Paramètres!$A$1:$I$89,3,0)*0.475*44/12</f>
        <v>5.0998424501556375E-6</v>
      </c>
      <c r="AX78" s="21">
        <f t="shared" si="60"/>
        <v>7.3696909529420731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3.1</v>
      </c>
      <c r="BD78" s="12">
        <f>IF('Données projet'!$A$88&gt;35,BD77+BC78-BL77,IF(A78&lt;'Données projet'!$A$88,$BA$205^A78,IF(A78='Données projet'!$A$88,'Données projet'!$B$88,BD77+BC78-BL77)))</f>
        <v>268.49999999999994</v>
      </c>
      <c r="BE78" s="13">
        <f>BD78*VLOOKUP('Données projet'!$B$11,Paramètres!$A$1:$I$89,3,0)*VLOOKUP('Données projet'!$B$11,Paramètres!$A$1:$I$89,5,0)</f>
        <v>217.80719999999997</v>
      </c>
      <c r="BF78" s="13">
        <f t="shared" si="91"/>
        <v>53.638013973813976</v>
      </c>
      <c r="BG78" s="20">
        <f t="shared" si="61"/>
        <v>472.76708100439265</v>
      </c>
      <c r="BH78" s="59">
        <f t="shared" si="62"/>
        <v>766.10041433772597</v>
      </c>
      <c r="BI78" s="59">
        <f ca="1">AVERAGE(OFFSET($BH$3,0,0,'Données projet'!$E$11+1,1))-AVERAGE(OFFSET($H$3,0,0,'Données projet'!$E$11+1,1))</f>
        <v>230.68538392491388</v>
      </c>
      <c r="BJ78" s="59">
        <f t="shared" si="92"/>
        <v>267.97457956620724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2.4428151419095814</v>
      </c>
      <c r="BR78" s="21">
        <f>EXP(-LN(2)/2)*BR77+(1-EXP(-LN(2)/2))/(LN(2)/2)*BL78*BO78*VLOOKUP('Données projet'!$B$11,Paramètres!$A$1:$I$89,3,0)*0.475*44/12</f>
        <v>1.8498368713482412E-6</v>
      </c>
      <c r="BS78" s="22">
        <f t="shared" si="63"/>
        <v>2.4428169917464526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181.99999999999991</v>
      </c>
      <c r="BZ78" s="13">
        <f>BY78*VLOOKUP('Données projet'!$B$12,Paramètres!$A$1:$I$89,3,0)*VLOOKUP('Données projet'!$B$12,Paramètres!$A$1:$I$89,5,0)</f>
        <v>207.2615999999999</v>
      </c>
      <c r="CA78" s="13">
        <f t="shared" si="93"/>
        <v>51.3367200324452</v>
      </c>
      <c r="CB78" s="20">
        <f t="shared" si="64"/>
        <v>450.39207405650853</v>
      </c>
      <c r="CC78" s="59">
        <f t="shared" si="65"/>
        <v>743.72540738984185</v>
      </c>
      <c r="CD78" s="59">
        <f ca="1">AVERAGE(OFFSET($CC$3,0,0,'Données projet'!$E$12+1,1))-AVERAGE(OFFSET($H$3,0,0,'Données projet'!$E$12+1,1))</f>
        <v>242.1473060698724</v>
      </c>
      <c r="CE78" s="59">
        <f t="shared" si="94"/>
        <v>96.127995920458659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0</v>
      </c>
      <c r="CZ78" s="59">
        <f t="shared" si="96"/>
        <v>0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>
        <f>DO78*VLOOKUP('Données projet'!$B$14,Paramètres!$A$1:$I$89,3,0)*VLOOKUP('Données projet'!$B$14,Paramètres!$A$1:$I$89,5,0)</f>
        <v>0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0</v>
      </c>
      <c r="DU78" s="59">
        <f t="shared" si="98"/>
        <v>0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1.3596945791505279E-13</v>
      </c>
      <c r="P79" s="13">
        <f t="shared" si="87"/>
        <v>1.9708830566360721E-12</v>
      </c>
      <c r="Q79" s="20">
        <f t="shared" si="54"/>
        <v>3.669434796176543E-12</v>
      </c>
      <c r="R79" s="59">
        <f t="shared" si="55"/>
        <v>293.33333333333701</v>
      </c>
      <c r="S79" s="59">
        <f ca="1">AVERAGE(OFFSET($R$3,0,0,'Données projet'!$E$9+1,1))-AVERAGE(OFFSET($H$3,0,0,'Données projet'!$E$9+1,1))</f>
        <v>212.98969326021802</v>
      </c>
      <c r="T79" s="59">
        <f t="shared" si="88"/>
        <v>422.91218020922895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29.970674259991213</v>
      </c>
      <c r="AA79" s="21">
        <f>EXP(-LN(2)/25)*AA78+(1-EXP(-LN(2)/25))/(LN(2)/25)*Calculateur!V79*Calculateur!X79*VLOOKUP('Données projet'!$B$9,Paramètres!$A$1:$I$89,3,0)*0.475*44/12</f>
        <v>18.866757391166828</v>
      </c>
      <c r="AB79" s="21">
        <f>EXP(-LN(2)/2)*AB78+(1-EXP(-LN(2)/2))/(LN(2)/2)*V79*Y79*VLOOKUP('Données projet'!$B$9,Paramètres!$A$1:$I$89,3,0)*0.475*44/12</f>
        <v>6.1170833477989614E-5</v>
      </c>
      <c r="AC79" s="22">
        <f t="shared" si="57"/>
        <v>48.837492821991518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11.8</v>
      </c>
      <c r="AI79" s="13">
        <f>IF('Données projet'!$A$62&gt;35,AI78+AH79-AQ78,IF(A79&lt;'Données projet'!$A$62,$AF$205^A79,IF(A79='Données projet'!$A$62,'Données projet'!$B$62,AI78+AH79-AQ78)))</f>
        <v>551.79999999999939</v>
      </c>
      <c r="AJ79" s="13">
        <f>AI79*VLOOKUP('Données projet'!$B$10,Paramètres!$A$1:$I$89,3,0)*VLOOKUP('Données projet'!$B$10,Paramètres!$A$1:$I$89,5,0)</f>
        <v>329.97639999999967</v>
      </c>
      <c r="AK79" s="13">
        <f t="shared" si="89"/>
        <v>77.42541426934028</v>
      </c>
      <c r="AL79" s="20">
        <f t="shared" si="58"/>
        <v>709.55815985243373</v>
      </c>
      <c r="AM79" s="59">
        <f t="shared" si="59"/>
        <v>1002.8914931857671</v>
      </c>
      <c r="AN79" s="59">
        <f ca="1">AVERAGE(OFFSET($AM$3,0,0,'Données projet'!$E$10+1,1))-AVERAGE(OFFSET($H$3,0,0,'Données projet'!$E$10+1,1))</f>
        <v>318.09371753144256</v>
      </c>
      <c r="AO79" s="59">
        <f t="shared" si="90"/>
        <v>298.61479562586919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1.4067881681919587</v>
      </c>
      <c r="AV79" s="21">
        <f>EXP(-LN(2)/25)*AV78+(1-EXP(-LN(2)/25))/(LN(2)/25)*Calculateur!AQ79*Calculateur!AS79*VLOOKUP('Données projet'!$B$10,Paramètres!$A$1:$I$89,3,0)*0.475*44/12</f>
        <v>5.7724733425012786</v>
      </c>
      <c r="AW79" s="21">
        <f>EXP(-LN(2)/2)*AW78+(1-EXP(-LN(2)/2))/(LN(2)/2)*AQ79*AT79*VLOOKUP('Données projet'!$B$10,Paramètres!$A$1:$I$89,3,0)*0.475*44/12</f>
        <v>3.6061331794880691E-6</v>
      </c>
      <c r="AX79" s="21">
        <f t="shared" si="60"/>
        <v>7.179265116826417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3.1</v>
      </c>
      <c r="BD79" s="12">
        <f>IF('Données projet'!$A$88&gt;35,BD78+BC79-BL78,IF(A79&lt;'Données projet'!$A$88,$BA$205^A79,IF(A79='Données projet'!$A$88,'Données projet'!$B$88,BD78+BC79-BL78)))</f>
        <v>271.59999999999997</v>
      </c>
      <c r="BE79" s="13">
        <f>BD79*VLOOKUP('Données projet'!$B$11,Paramètres!$A$1:$I$89,3,0)*VLOOKUP('Données projet'!$B$11,Paramètres!$A$1:$I$89,5,0)</f>
        <v>220.32192000000001</v>
      </c>
      <c r="BF79" s="13">
        <f t="shared" si="91"/>
        <v>54.18484748666976</v>
      </c>
      <c r="BG79" s="20">
        <f t="shared" si="61"/>
        <v>478.09928670594991</v>
      </c>
      <c r="BH79" s="59">
        <f t="shared" si="62"/>
        <v>771.43262003928317</v>
      </c>
      <c r="BI79" s="59">
        <f ca="1">AVERAGE(OFFSET($BH$3,0,0,'Données projet'!$E$11+1,1))-AVERAGE(OFFSET($H$3,0,0,'Données projet'!$E$11+1,1))</f>
        <v>230.68538392491388</v>
      </c>
      <c r="BJ79" s="59">
        <f t="shared" si="92"/>
        <v>267.97457956620724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2.3760162333919985</v>
      </c>
      <c r="BR79" s="21">
        <f>EXP(-LN(2)/2)*BR78+(1-EXP(-LN(2)/2))/(LN(2)/2)*BL79*BO79*VLOOKUP('Données projet'!$B$11,Paramètres!$A$1:$I$89,3,0)*0.475*44/12</f>
        <v>1.3080321958192486E-6</v>
      </c>
      <c r="BS79" s="22">
        <f t="shared" si="63"/>
        <v>2.3760175414241944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4.8</v>
      </c>
      <c r="BY79" s="12">
        <f>IF('Données projet'!$A$114&gt;35,BY78+BX79-CG78,IF(A79&lt;'Données projet'!$A$114,$BV$205^A79,IF(A79='Données projet'!$A$114,'Données projet'!$B$114,BY78+BX79-CG78)))</f>
        <v>186.79999999999993</v>
      </c>
      <c r="BZ79" s="13">
        <f>BY79*VLOOKUP('Données projet'!$B$12,Paramètres!$A$1:$I$89,3,0)*VLOOKUP('Données projet'!$B$12,Paramètres!$A$1:$I$89,5,0)</f>
        <v>212.72783999999993</v>
      </c>
      <c r="CA79" s="13">
        <f t="shared" si="93"/>
        <v>52.53123887963983</v>
      </c>
      <c r="CB79" s="20">
        <f t="shared" si="64"/>
        <v>461.99289571537264</v>
      </c>
      <c r="CC79" s="59">
        <f t="shared" si="65"/>
        <v>755.32622904870595</v>
      </c>
      <c r="CD79" s="59">
        <f ca="1">AVERAGE(OFFSET($CC$3,0,0,'Données projet'!$E$12+1,1))-AVERAGE(OFFSET($H$3,0,0,'Données projet'!$E$12+1,1))</f>
        <v>242.1473060698724</v>
      </c>
      <c r="CE79" s="59">
        <f t="shared" si="94"/>
        <v>96.127995920458659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0</v>
      </c>
      <c r="CZ79" s="59">
        <f t="shared" si="96"/>
        <v>0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>
        <f>DO79*VLOOKUP('Données projet'!$B$14,Paramètres!$A$1:$I$89,3,0)*VLOOKUP('Données projet'!$B$14,Paramètres!$A$1:$I$89,5,0)</f>
        <v>0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0</v>
      </c>
      <c r="DU79" s="59">
        <f t="shared" si="98"/>
        <v>0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1.3596945791505279E-13</v>
      </c>
      <c r="P80" s="13">
        <f t="shared" si="87"/>
        <v>1.9708830566360721E-12</v>
      </c>
      <c r="Q80" s="20">
        <f t="shared" si="54"/>
        <v>3.669434796176543E-12</v>
      </c>
      <c r="R80" s="59">
        <f t="shared" si="55"/>
        <v>293.33333333333701</v>
      </c>
      <c r="S80" s="59">
        <f ca="1">AVERAGE(OFFSET($R$3,0,0,'Données projet'!$E$9+1,1))-AVERAGE(OFFSET($H$3,0,0,'Données projet'!$E$9+1,1))</f>
        <v>212.98969326021802</v>
      </c>
      <c r="T80" s="59">
        <f t="shared" si="88"/>
        <v>422.91218020922895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29.382967618059055</v>
      </c>
      <c r="AA80" s="21">
        <f>EXP(-LN(2)/25)*AA79+(1-EXP(-LN(2)/25))/(LN(2)/25)*Calculateur!V80*Calculateur!X80*VLOOKUP('Données projet'!$B$9,Paramètres!$A$1:$I$89,3,0)*0.475*44/12</f>
        <v>18.350844918145722</v>
      </c>
      <c r="AB80" s="21">
        <f>EXP(-LN(2)/2)*AB79+(1-EXP(-LN(2)/2))/(LN(2)/2)*V80*Y80*VLOOKUP('Données projet'!$B$9,Paramètres!$A$1:$I$89,3,0)*0.475*44/12</f>
        <v>4.3254311163119539E-5</v>
      </c>
      <c r="AC80" s="22">
        <f t="shared" si="57"/>
        <v>47.733855790515946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11.8</v>
      </c>
      <c r="AI80" s="13">
        <f>IF('Données projet'!$A$62&gt;35,AI79+AH80-AQ79,IF(A80&lt;'Données projet'!$A$62,$AF$205^A80,IF(A80='Données projet'!$A$62,'Données projet'!$B$62,AI79+AH80-AQ79)))</f>
        <v>563.59999999999934</v>
      </c>
      <c r="AJ80" s="13">
        <f>AI80*VLOOKUP('Données projet'!$B$10,Paramètres!$A$1:$I$89,3,0)*VLOOKUP('Données projet'!$B$10,Paramètres!$A$1:$I$89,5,0)</f>
        <v>337.03279999999961</v>
      </c>
      <c r="AK80" s="13">
        <f t="shared" si="89"/>
        <v>78.886591726224964</v>
      </c>
      <c r="AL80" s="20">
        <f t="shared" si="58"/>
        <v>724.39294058984115</v>
      </c>
      <c r="AM80" s="59">
        <f t="shared" si="59"/>
        <v>1017.7262739231744</v>
      </c>
      <c r="AN80" s="59">
        <f ca="1">AVERAGE(OFFSET($AM$3,0,0,'Données projet'!$E$10+1,1))-AVERAGE(OFFSET($H$3,0,0,'Données projet'!$E$10+1,1))</f>
        <v>318.09371753144256</v>
      </c>
      <c r="AO80" s="59">
        <f t="shared" si="90"/>
        <v>298.61479562586919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1.379201910269771</v>
      </c>
      <c r="AV80" s="21">
        <f>EXP(-LN(2)/25)*AV79+(1-EXP(-LN(2)/25))/(LN(2)/25)*Calculateur!AQ80*Calculateur!AS80*VLOOKUP('Données projet'!$B$10,Paramètres!$A$1:$I$89,3,0)*0.475*44/12</f>
        <v>5.6146247553894009</v>
      </c>
      <c r="AW80" s="21">
        <f>EXP(-LN(2)/2)*AW79+(1-EXP(-LN(2)/2))/(LN(2)/2)*AQ80*AT80*VLOOKUP('Données projet'!$B$10,Paramètres!$A$1:$I$89,3,0)*0.475*44/12</f>
        <v>2.5499212250778192E-6</v>
      </c>
      <c r="AX80" s="21">
        <f t="shared" si="60"/>
        <v>6.9938292155803969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3.1</v>
      </c>
      <c r="BD80" s="12">
        <f>IF('Données projet'!$A$88&gt;35,BD79+BC80-BL79,IF(A80&lt;'Données projet'!$A$88,$BA$205^A80,IF(A80='Données projet'!$A$88,'Données projet'!$B$88,BD79+BC80-BL79)))</f>
        <v>274.7</v>
      </c>
      <c r="BE80" s="13">
        <f>BD80*VLOOKUP('Données projet'!$B$11,Paramètres!$A$1:$I$89,3,0)*VLOOKUP('Données projet'!$B$11,Paramètres!$A$1:$I$89,5,0)</f>
        <v>222.83663999999999</v>
      </c>
      <c r="BF80" s="13">
        <f t="shared" si="91"/>
        <v>54.730954957867816</v>
      </c>
      <c r="BG80" s="20">
        <f t="shared" si="61"/>
        <v>483.43022788495313</v>
      </c>
      <c r="BH80" s="59">
        <f t="shared" si="62"/>
        <v>776.76356121828644</v>
      </c>
      <c r="BI80" s="59">
        <f ca="1">AVERAGE(OFFSET($BH$3,0,0,'Données projet'!$E$11+1,1))-AVERAGE(OFFSET($H$3,0,0,'Données projet'!$E$11+1,1))</f>
        <v>230.68538392491388</v>
      </c>
      <c r="BJ80" s="59">
        <f t="shared" si="92"/>
        <v>267.97457956620724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2.3110439445406312</v>
      </c>
      <c r="BR80" s="21">
        <f>EXP(-LN(2)/2)*BR79+(1-EXP(-LN(2)/2))/(LN(2)/2)*BL80*BO80*VLOOKUP('Données projet'!$B$11,Paramètres!$A$1:$I$89,3,0)*0.475*44/12</f>
        <v>9.2491843567412079E-7</v>
      </c>
      <c r="BS80" s="22">
        <f t="shared" si="63"/>
        <v>2.3110448694590668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4.8</v>
      </c>
      <c r="BY80" s="12">
        <f>IF('Données projet'!$A$114&gt;35,BY79+BX80-CG79,IF(A80&lt;'Données projet'!$A$114,$BV$205^A80,IF(A80='Données projet'!$A$114,'Données projet'!$B$114,BY79+BX80-CG79)))</f>
        <v>191.59999999999994</v>
      </c>
      <c r="BZ80" s="13">
        <f>BY80*VLOOKUP('Données projet'!$B$12,Paramètres!$A$1:$I$89,3,0)*VLOOKUP('Données projet'!$B$12,Paramètres!$A$1:$I$89,5,0)</f>
        <v>218.1940799999999</v>
      </c>
      <c r="CA80" s="13">
        <f t="shared" si="93"/>
        <v>53.722189836188157</v>
      </c>
      <c r="CB80" s="20">
        <f t="shared" si="64"/>
        <v>473.58750329802757</v>
      </c>
      <c r="CC80" s="59">
        <f t="shared" si="65"/>
        <v>766.92083663136088</v>
      </c>
      <c r="CD80" s="59">
        <f ca="1">AVERAGE(OFFSET($CC$3,0,0,'Données projet'!$E$12+1,1))-AVERAGE(OFFSET($H$3,0,0,'Données projet'!$E$12+1,1))</f>
        <v>242.1473060698724</v>
      </c>
      <c r="CE80" s="59">
        <f t="shared" si="94"/>
        <v>96.127995920458659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0</v>
      </c>
      <c r="CZ80" s="59">
        <f t="shared" si="96"/>
        <v>0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>
        <f>DO80*VLOOKUP('Données projet'!$B$14,Paramètres!$A$1:$I$89,3,0)*VLOOKUP('Données projet'!$B$14,Paramètres!$A$1:$I$89,5,0)</f>
        <v>0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0</v>
      </c>
      <c r="DU80" s="59">
        <f t="shared" si="98"/>
        <v>0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1.3596945791505279E-13</v>
      </c>
      <c r="P81" s="13">
        <f t="shared" si="87"/>
        <v>1.9708830566360721E-12</v>
      </c>
      <c r="Q81" s="20">
        <f t="shared" si="54"/>
        <v>3.669434796176543E-12</v>
      </c>
      <c r="R81" s="59">
        <f t="shared" si="55"/>
        <v>293.33333333333701</v>
      </c>
      <c r="S81" s="59">
        <f ca="1">AVERAGE(OFFSET($R$3,0,0,'Données projet'!$E$9+1,1))-AVERAGE(OFFSET($H$3,0,0,'Données projet'!$E$9+1,1))</f>
        <v>212.98969326021802</v>
      </c>
      <c r="T81" s="59">
        <f t="shared" si="88"/>
        <v>422.91218020922895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28.80678554490953</v>
      </c>
      <c r="AA81" s="21">
        <f>EXP(-LN(2)/25)*AA80+(1-EXP(-LN(2)/25))/(LN(2)/25)*Calculateur!V81*Calculateur!X81*VLOOKUP('Données projet'!$B$9,Paramètres!$A$1:$I$89,3,0)*0.475*44/12</f>
        <v>17.849040098830034</v>
      </c>
      <c r="AB81" s="21">
        <f>EXP(-LN(2)/2)*AB80+(1-EXP(-LN(2)/2))/(LN(2)/2)*V81*Y81*VLOOKUP('Données projet'!$B$9,Paramètres!$A$1:$I$89,3,0)*0.475*44/12</f>
        <v>3.0585416738994807E-5</v>
      </c>
      <c r="AC81" s="22">
        <f t="shared" si="57"/>
        <v>46.655856229156299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11.8</v>
      </c>
      <c r="AI81" s="13">
        <f>IF('Données projet'!$A$62&gt;35,AI80+AH81-AQ80,IF(A81&lt;'Données projet'!$A$62,$AF$205^A81,IF(A81='Données projet'!$A$62,'Données projet'!$B$62,AI80+AH81-AQ80)))</f>
        <v>575.3999999999993</v>
      </c>
      <c r="AJ81" s="13">
        <f>AI81*VLOOKUP('Données projet'!$B$10,Paramètres!$A$1:$I$89,3,0)*VLOOKUP('Données projet'!$B$10,Paramètres!$A$1:$I$89,5,0)</f>
        <v>344.08919999999961</v>
      </c>
      <c r="AK81" s="13">
        <f t="shared" si="89"/>
        <v>80.344212285076679</v>
      </c>
      <c r="AL81" s="20">
        <f t="shared" si="58"/>
        <v>739.22152639650801</v>
      </c>
      <c r="AM81" s="59">
        <f t="shared" si="59"/>
        <v>1032.5548597298414</v>
      </c>
      <c r="AN81" s="59">
        <f ca="1">AVERAGE(OFFSET($AM$3,0,0,'Données projet'!$E$10+1,1))-AVERAGE(OFFSET($H$3,0,0,'Données projet'!$E$10+1,1))</f>
        <v>318.09371753144256</v>
      </c>
      <c r="AO81" s="59">
        <f t="shared" si="90"/>
        <v>298.61479562586919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1.3521566020394815</v>
      </c>
      <c r="AV81" s="21">
        <f>EXP(-LN(2)/25)*AV80+(1-EXP(-LN(2)/25))/(LN(2)/25)*Calculateur!AQ81*Calculateur!AS81*VLOOKUP('Données projet'!$B$10,Paramètres!$A$1:$I$89,3,0)*0.475*44/12</f>
        <v>5.4610925461929938</v>
      </c>
      <c r="AW81" s="21">
        <f>EXP(-LN(2)/2)*AW80+(1-EXP(-LN(2)/2))/(LN(2)/2)*AQ81*AT81*VLOOKUP('Données projet'!$B$10,Paramètres!$A$1:$I$89,3,0)*0.475*44/12</f>
        <v>1.8030665897440348E-6</v>
      </c>
      <c r="AX81" s="21">
        <f t="shared" si="60"/>
        <v>6.8132509512990644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3.1</v>
      </c>
      <c r="BD81" s="12">
        <f>IF('Données projet'!$A$88&gt;35,BD80+BC81-BL80,IF(A81&lt;'Données projet'!$A$88,$BA$205^A81,IF(A81='Données projet'!$A$88,'Données projet'!$B$88,BD80+BC81-BL80)))</f>
        <v>277.8</v>
      </c>
      <c r="BE81" s="13">
        <f>BD81*VLOOKUP('Données projet'!$B$11,Paramètres!$A$1:$I$89,3,0)*VLOOKUP('Données projet'!$B$11,Paramètres!$A$1:$I$89,5,0)</f>
        <v>225.35136000000003</v>
      </c>
      <c r="BF81" s="13">
        <f t="shared" si="91"/>
        <v>55.276345528913524</v>
      </c>
      <c r="BG81" s="20">
        <f t="shared" si="61"/>
        <v>488.75992046285774</v>
      </c>
      <c r="BH81" s="59">
        <f t="shared" si="62"/>
        <v>782.09325379619099</v>
      </c>
      <c r="BI81" s="59">
        <f ca="1">AVERAGE(OFFSET($BH$3,0,0,'Données projet'!$E$11+1,1))-AVERAGE(OFFSET($H$3,0,0,'Données projet'!$E$11+1,1))</f>
        <v>230.68538392491388</v>
      </c>
      <c r="BJ81" s="59">
        <f t="shared" si="92"/>
        <v>267.97457956620724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2.2478483263446485</v>
      </c>
      <c r="BR81" s="21">
        <f>EXP(-LN(2)/2)*BR80+(1-EXP(-LN(2)/2))/(LN(2)/2)*BL81*BO81*VLOOKUP('Données projet'!$B$11,Paramètres!$A$1:$I$89,3,0)*0.475*44/12</f>
        <v>6.540160979096244E-7</v>
      </c>
      <c r="BS81" s="22">
        <f t="shared" si="63"/>
        <v>2.2478489803607462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4.8</v>
      </c>
      <c r="BY81" s="12">
        <f>IF('Données projet'!$A$114&gt;35,BY80+BX81-CG80,IF(A81&lt;'Données projet'!$A$114,$BV$205^A81,IF(A81='Données projet'!$A$114,'Données projet'!$B$114,BY80+BX81-CG80)))</f>
        <v>196.39999999999995</v>
      </c>
      <c r="BZ81" s="13">
        <f>BY81*VLOOKUP('Données projet'!$B$12,Paramètres!$A$1:$I$89,3,0)*VLOOKUP('Données projet'!$B$12,Paramètres!$A$1:$I$89,5,0)</f>
        <v>223.66031999999993</v>
      </c>
      <c r="CA81" s="13">
        <f t="shared" si="93"/>
        <v>54.909672565546835</v>
      </c>
      <c r="CB81" s="20">
        <f t="shared" si="64"/>
        <v>485.17607038499403</v>
      </c>
      <c r="CC81" s="59">
        <f t="shared" si="65"/>
        <v>778.50940371832735</v>
      </c>
      <c r="CD81" s="59">
        <f ca="1">AVERAGE(OFFSET($CC$3,0,0,'Données projet'!$E$12+1,1))-AVERAGE(OFFSET($H$3,0,0,'Données projet'!$E$12+1,1))</f>
        <v>242.1473060698724</v>
      </c>
      <c r="CE81" s="59">
        <f t="shared" si="94"/>
        <v>96.127995920458659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0</v>
      </c>
      <c r="CZ81" s="59">
        <f t="shared" si="96"/>
        <v>0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>
        <f>DO81*VLOOKUP('Données projet'!$B$14,Paramètres!$A$1:$I$89,3,0)*VLOOKUP('Données projet'!$B$14,Paramètres!$A$1:$I$89,5,0)</f>
        <v>0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0</v>
      </c>
      <c r="DU81" s="59">
        <f t="shared" si="98"/>
        <v>0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1.3596945791505279E-13</v>
      </c>
      <c r="P82" s="13">
        <f t="shared" si="87"/>
        <v>1.9708830566360721E-12</v>
      </c>
      <c r="Q82" s="20">
        <f t="shared" si="54"/>
        <v>3.669434796176543E-12</v>
      </c>
      <c r="R82" s="59">
        <f t="shared" si="55"/>
        <v>293.33333333333701</v>
      </c>
      <c r="S82" s="59">
        <f ca="1">AVERAGE(OFFSET($R$3,0,0,'Données projet'!$E$9+1,1))-AVERAGE(OFFSET($H$3,0,0,'Données projet'!$E$9+1,1))</f>
        <v>212.98969326021802</v>
      </c>
      <c r="T82" s="59">
        <f t="shared" si="88"/>
        <v>422.91218020922895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28.241902050778105</v>
      </c>
      <c r="AA82" s="21">
        <f>EXP(-LN(2)/25)*AA81+(1-EXP(-LN(2)/25))/(LN(2)/25)*Calculateur!V82*Calculateur!X82*VLOOKUP('Données projet'!$B$9,Paramètres!$A$1:$I$89,3,0)*0.475*44/12</f>
        <v>17.360957158687302</v>
      </c>
      <c r="AB82" s="21">
        <f>EXP(-LN(2)/2)*AB81+(1-EXP(-LN(2)/2))/(LN(2)/2)*V82*Y82*VLOOKUP('Données projet'!$B$9,Paramètres!$A$1:$I$89,3,0)*0.475*44/12</f>
        <v>2.1627155581559769E-5</v>
      </c>
      <c r="AC82" s="22">
        <f t="shared" si="57"/>
        <v>45.60288083662099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11.8</v>
      </c>
      <c r="AI82" s="13">
        <f>IF('Données projet'!$A$62&gt;35,AI81+AH82-AQ81,IF(A82&lt;'Données projet'!$A$62,$AF$205^A82,IF(A82='Données projet'!$A$62,'Données projet'!$B$62,AI81+AH82-AQ81)))</f>
        <v>587.19999999999925</v>
      </c>
      <c r="AJ82" s="13">
        <f>AI82*VLOOKUP('Données projet'!$B$10,Paramètres!$A$1:$I$89,3,0)*VLOOKUP('Données projet'!$B$10,Paramètres!$A$1:$I$89,5,0)</f>
        <v>351.1455999999996</v>
      </c>
      <c r="AK82" s="13">
        <f t="shared" si="89"/>
        <v>81.798357293844219</v>
      </c>
      <c r="AL82" s="20">
        <f t="shared" si="58"/>
        <v>754.04405895344462</v>
      </c>
      <c r="AM82" s="59">
        <f t="shared" si="59"/>
        <v>1047.3773922867779</v>
      </c>
      <c r="AN82" s="59">
        <f ca="1">AVERAGE(OFFSET($AM$3,0,0,'Données projet'!$E$10+1,1))-AVERAGE(OFFSET($H$3,0,0,'Données projet'!$E$10+1,1))</f>
        <v>318.09371753144256</v>
      </c>
      <c r="AO82" s="59">
        <f t="shared" si="90"/>
        <v>298.61479562586919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1.3256416358075789</v>
      </c>
      <c r="AV82" s="21">
        <f>EXP(-LN(2)/25)*AV81+(1-EXP(-LN(2)/25))/(LN(2)/25)*Calculateur!AQ82*Calculateur!AS82*VLOOKUP('Données projet'!$B$10,Paramètres!$A$1:$I$89,3,0)*0.475*44/12</f>
        <v>5.3117586833309707</v>
      </c>
      <c r="AW82" s="21">
        <f>EXP(-LN(2)/2)*AW81+(1-EXP(-LN(2)/2))/(LN(2)/2)*AQ82*AT82*VLOOKUP('Données projet'!$B$10,Paramètres!$A$1:$I$89,3,0)*0.475*44/12</f>
        <v>1.2749606125389098E-6</v>
      </c>
      <c r="AX82" s="21">
        <f t="shared" si="60"/>
        <v>6.6374015940991624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3.1</v>
      </c>
      <c r="BD82" s="12">
        <f>IF('Données projet'!$A$88&gt;35,BD81+BC82-BL81,IF(A82&lt;'Données projet'!$A$88,$BA$205^A82,IF(A82='Données projet'!$A$88,'Données projet'!$B$88,BD81+BC82-BL81)))</f>
        <v>280.90000000000003</v>
      </c>
      <c r="BE82" s="13">
        <f>BD82*VLOOKUP('Données projet'!$B$11,Paramètres!$A$1:$I$89,3,0)*VLOOKUP('Données projet'!$B$11,Paramètres!$A$1:$I$89,5,0)</f>
        <v>227.86608000000004</v>
      </c>
      <c r="BF82" s="13">
        <f t="shared" si="91"/>
        <v>55.82102812554308</v>
      </c>
      <c r="BG82" s="20">
        <f t="shared" si="61"/>
        <v>494.08837998532084</v>
      </c>
      <c r="BH82" s="59">
        <f t="shared" si="62"/>
        <v>787.42171331865416</v>
      </c>
      <c r="BI82" s="59">
        <f ca="1">AVERAGE(OFFSET($BH$3,0,0,'Données projet'!$E$11+1,1))-AVERAGE(OFFSET($H$3,0,0,'Données projet'!$E$11+1,1))</f>
        <v>230.68538392491388</v>
      </c>
      <c r="BJ82" s="59">
        <f t="shared" si="92"/>
        <v>267.97457956620724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2.186380795651548</v>
      </c>
      <c r="BR82" s="21">
        <f>EXP(-LN(2)/2)*BR81+(1-EXP(-LN(2)/2))/(LN(2)/2)*BL82*BO82*VLOOKUP('Données projet'!$B$11,Paramètres!$A$1:$I$89,3,0)*0.475*44/12</f>
        <v>4.6245921783706045E-7</v>
      </c>
      <c r="BS82" s="22">
        <f t="shared" si="63"/>
        <v>2.186381258110766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4.8</v>
      </c>
      <c r="BY82" s="12">
        <f>IF('Données projet'!$A$114&gt;35,BY81+BX82-CG81,IF(A82&lt;'Données projet'!$A$114,$BV$205^A82,IF(A82='Données projet'!$A$114,'Données projet'!$B$114,BY81+BX82-CG81)))</f>
        <v>201.19999999999996</v>
      </c>
      <c r="BZ82" s="13">
        <f>BY82*VLOOKUP('Données projet'!$B$12,Paramètres!$A$1:$I$89,3,0)*VLOOKUP('Données projet'!$B$12,Paramètres!$A$1:$I$89,5,0)</f>
        <v>229.12655999999998</v>
      </c>
      <c r="CA82" s="13">
        <f t="shared" si="93"/>
        <v>56.093781581896756</v>
      </c>
      <c r="CB82" s="20">
        <f t="shared" si="64"/>
        <v>496.75876158847001</v>
      </c>
      <c r="CC82" s="59">
        <f t="shared" si="65"/>
        <v>790.09209492180332</v>
      </c>
      <c r="CD82" s="59">
        <f ca="1">AVERAGE(OFFSET($CC$3,0,0,'Données projet'!$E$12+1,1))-AVERAGE(OFFSET($H$3,0,0,'Données projet'!$E$12+1,1))</f>
        <v>242.1473060698724</v>
      </c>
      <c r="CE82" s="59">
        <f t="shared" si="94"/>
        <v>96.127995920458659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0</v>
      </c>
      <c r="CZ82" s="59">
        <f t="shared" si="96"/>
        <v>0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>
        <f>DO82*VLOOKUP('Données projet'!$B$14,Paramètres!$A$1:$I$89,3,0)*VLOOKUP('Données projet'!$B$14,Paramètres!$A$1:$I$89,5,0)</f>
        <v>0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0</v>
      </c>
      <c r="DU82" s="59">
        <f t="shared" si="98"/>
        <v>0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1.3596945791505279E-13</v>
      </c>
      <c r="P83" s="13">
        <f t="shared" si="87"/>
        <v>1.9708830566360721E-12</v>
      </c>
      <c r="Q83" s="20">
        <f t="shared" si="54"/>
        <v>3.669434796176543E-12</v>
      </c>
      <c r="R83" s="59">
        <f t="shared" si="55"/>
        <v>293.33333333333701</v>
      </c>
      <c r="S83" s="59">
        <f ca="1">AVERAGE(OFFSET($R$3,0,0,'Données projet'!$E$9+1,1))-AVERAGE(OFFSET($H$3,0,0,'Données projet'!$E$9+1,1))</f>
        <v>212.98969326021802</v>
      </c>
      <c r="T83" s="59">
        <f t="shared" si="88"/>
        <v>422.91218020922895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27.688095577421684</v>
      </c>
      <c r="AA83" s="21">
        <f>EXP(-LN(2)/25)*AA82+(1-EXP(-LN(2)/25))/(LN(2)/25)*Calculateur!V83*Calculateur!X83*VLOOKUP('Données projet'!$B$9,Paramètres!$A$1:$I$89,3,0)*0.475*44/12</f>
        <v>16.88622087220994</v>
      </c>
      <c r="AB83" s="21">
        <f>EXP(-LN(2)/2)*AB82+(1-EXP(-LN(2)/2))/(LN(2)/2)*V83*Y83*VLOOKUP('Données projet'!$B$9,Paramètres!$A$1:$I$89,3,0)*0.475*44/12</f>
        <v>1.5292708369497403E-5</v>
      </c>
      <c r="AC83" s="22">
        <f t="shared" si="57"/>
        <v>44.574331742339993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599</v>
      </c>
      <c r="AG83" s="12">
        <f>VLOOKUP(A83,'Données projet'!$A$61:$I$81,9,0)</f>
        <v>11.8</v>
      </c>
      <c r="AH83" s="12">
        <f t="array" ref="AH83">INDEX(AG:AG,MIN(IF(ISNUMBER(AG83:AG279),ROW(AG83:AG279),"")))</f>
        <v>11.8</v>
      </c>
      <c r="AI83" s="13">
        <f>IF('Données projet'!$A$62&gt;35,AI82+AH83-AQ82,IF(A83&lt;'Données projet'!$A$62,$AF$205^A83,IF(A83='Données projet'!$A$62,'Données projet'!$B$62,AI82+AH83-AQ82)))</f>
        <v>598.9999999999992</v>
      </c>
      <c r="AJ83" s="13">
        <f>AI83*VLOOKUP('Données projet'!$B$10,Paramètres!$A$1:$I$89,3,0)*VLOOKUP('Données projet'!$B$10,Paramètres!$A$1:$I$89,5,0)</f>
        <v>358.20199999999954</v>
      </c>
      <c r="AK83" s="13">
        <f t="shared" si="89"/>
        <v>83.249104644106694</v>
      </c>
      <c r="AL83" s="20">
        <f t="shared" si="58"/>
        <v>768.86067392181837</v>
      </c>
      <c r="AM83" s="59">
        <f t="shared" si="59"/>
        <v>1062.1940072551517</v>
      </c>
      <c r="AN83" s="59">
        <f ca="1">AVERAGE(OFFSET($AM$3,0,0,'Données projet'!$E$10+1,1))-AVERAGE(OFFSET($H$3,0,0,'Données projet'!$E$10+1,1))</f>
        <v>318.09371753144256</v>
      </c>
      <c r="AO83" s="59">
        <f t="shared" si="90"/>
        <v>298.61479562586919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599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1.2996466118909513</v>
      </c>
      <c r="AV83" s="21">
        <f>EXP(-LN(2)/25)*AV82+(1-EXP(-LN(2)/25))/(LN(2)/25)*Calculateur!AQ83*Calculateur!AS83*VLOOKUP('Données projet'!$B$10,Paramètres!$A$1:$I$89,3,0)*0.475*44/12</f>
        <v>5.1665083628020367</v>
      </c>
      <c r="AW83" s="21">
        <f>EXP(-LN(2)/2)*AW82+(1-EXP(-LN(2)/2))/(LN(2)/2)*AQ83*AT83*VLOOKUP('Données projet'!$B$10,Paramètres!$A$1:$I$89,3,0)*0.475*44/12</f>
        <v>9.015332948720176E-7</v>
      </c>
      <c r="AX83" s="21">
        <f t="shared" si="60"/>
        <v>6.4661558762262832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284</v>
      </c>
      <c r="BB83" s="12">
        <f>VLOOKUP(A83,'Données projet'!$A$87:$I$107,9,0)</f>
        <v>3.1</v>
      </c>
      <c r="BC83" s="12">
        <f t="array" ref="BC83">INDEX(BB:BB,MIN(IF(ISNUMBER(BB83:BB279),ROW(BB83:BB279),"")))</f>
        <v>3.1</v>
      </c>
      <c r="BD83" s="12">
        <f>IF('Données projet'!$A$88&gt;35,BD82+BC83-BL82,IF(A83&lt;'Données projet'!$A$88,$BA$205^A83,IF(A83='Données projet'!$A$88,'Données projet'!$B$88,BD82+BC83-BL82)))</f>
        <v>284.00000000000006</v>
      </c>
      <c r="BE83" s="13">
        <f>BD83*VLOOKUP('Données projet'!$B$11,Paramètres!$A$1:$I$89,3,0)*VLOOKUP('Données projet'!$B$11,Paramètres!$A$1:$I$89,5,0)</f>
        <v>230.38080000000005</v>
      </c>
      <c r="BF83" s="13">
        <f t="shared" si="91"/>
        <v>56.365011465139979</v>
      </c>
      <c r="BG83" s="20">
        <f t="shared" si="61"/>
        <v>499.4156216351189</v>
      </c>
      <c r="BH83" s="59">
        <f t="shared" si="62"/>
        <v>792.74895496845215</v>
      </c>
      <c r="BI83" s="59">
        <f ca="1">AVERAGE(OFFSET($BH$3,0,0,'Données projet'!$E$11+1,1))-AVERAGE(OFFSET($H$3,0,0,'Données projet'!$E$11+1,1))</f>
        <v>230.68538392491388</v>
      </c>
      <c r="BJ83" s="59">
        <f t="shared" si="92"/>
        <v>267.97457956620724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284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2.1265940978176876</v>
      </c>
      <c r="BR83" s="21">
        <f>EXP(-LN(2)/2)*BR82+(1-EXP(-LN(2)/2))/(LN(2)/2)*BL83*BO83*VLOOKUP('Données projet'!$B$11,Paramètres!$A$1:$I$89,3,0)*0.475*44/12</f>
        <v>3.2700804895481225E-7</v>
      </c>
      <c r="BS83" s="22">
        <f t="shared" si="63"/>
        <v>2.1265944248257367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206</v>
      </c>
      <c r="BW83" s="12">
        <f>VLOOKUP(A83,'Données projet'!$A$113:$I$133,9,0)</f>
        <v>4.8</v>
      </c>
      <c r="BX83" s="12">
        <f t="array" ref="BX83">INDEX(BW:BW,MIN(IF(ISNUMBER(BW83:BW279),ROW(BW83:BW279),"")))</f>
        <v>4.8</v>
      </c>
      <c r="BY83" s="12">
        <f>IF('Données projet'!$A$114&gt;35,BY82+BX83-CG82,IF(A83&lt;'Données projet'!$A$114,$BV$205^A83,IF(A83='Données projet'!$A$114,'Données projet'!$B$114,BY82+BX83-CG82)))</f>
        <v>205.99999999999997</v>
      </c>
      <c r="BZ83" s="13">
        <f>BY83*VLOOKUP('Données projet'!$B$12,Paramètres!$A$1:$I$89,3,0)*VLOOKUP('Données projet'!$B$12,Paramètres!$A$1:$I$89,5,0)</f>
        <v>234.59279999999995</v>
      </c>
      <c r="CA83" s="13">
        <f t="shared" si="93"/>
        <v>57.274606632593994</v>
      </c>
      <c r="CB83" s="20">
        <f t="shared" si="64"/>
        <v>508.33573321843437</v>
      </c>
      <c r="CC83" s="59">
        <f t="shared" si="65"/>
        <v>801.66906655176763</v>
      </c>
      <c r="CD83" s="59">
        <f ca="1">AVERAGE(OFFSET($CC$3,0,0,'Données projet'!$E$12+1,1))-AVERAGE(OFFSET($H$3,0,0,'Données projet'!$E$12+1,1))</f>
        <v>242.1473060698724</v>
      </c>
      <c r="CE83" s="59">
        <f t="shared" si="94"/>
        <v>96.127995920458659</v>
      </c>
      <c r="CF83" s="15">
        <f>IF(ISNA(VLOOKUP(A83,'Données projet'!$A$113:$I$133,3,0)),0,VLOOKUP(A83,'Données projet'!$A$113:$I$133,3,0))</f>
        <v>5</v>
      </c>
      <c r="CG83" s="15">
        <f>IF(ISNA(VLOOKUP(A83,'Données projet'!$A$113:$I$133,4,0)),0,VLOOKUP(A83,'Données projet'!$A$113:$I$133,4,0))</f>
        <v>28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0</v>
      </c>
      <c r="CZ83" s="59">
        <f t="shared" si="96"/>
        <v>0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>
        <f>DO83*VLOOKUP('Données projet'!$B$14,Paramètres!$A$1:$I$89,3,0)*VLOOKUP('Données projet'!$B$14,Paramètres!$A$1:$I$89,5,0)</f>
        <v>0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0</v>
      </c>
      <c r="DU83" s="59">
        <f t="shared" si="98"/>
        <v>0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1.3596945791505279E-13</v>
      </c>
      <c r="P84" s="13">
        <f t="shared" si="87"/>
        <v>1.9708830566360721E-12</v>
      </c>
      <c r="Q84" s="20">
        <f t="shared" si="54"/>
        <v>3.669434796176543E-12</v>
      </c>
      <c r="R84" s="59">
        <f t="shared" si="55"/>
        <v>293.33333333333701</v>
      </c>
      <c r="S84" s="59">
        <f ca="1">AVERAGE(OFFSET($R$3,0,0,'Données projet'!$E$9+1,1))-AVERAGE(OFFSET($H$3,0,0,'Données projet'!$E$9+1,1))</f>
        <v>212.98969326021802</v>
      </c>
      <c r="T84" s="59">
        <f t="shared" si="88"/>
        <v>422.91218020922895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27.145148911219188</v>
      </c>
      <c r="AA84" s="21">
        <f>EXP(-LN(2)/25)*AA83+(1-EXP(-LN(2)/25))/(LN(2)/25)*Calculateur!V84*Calculateur!X84*VLOOKUP('Données projet'!$B$9,Paramètres!$A$1:$I$89,3,0)*0.475*44/12</f>
        <v>16.424466274451596</v>
      </c>
      <c r="AB84" s="21">
        <f>EXP(-LN(2)/2)*AB83+(1-EXP(-LN(2)/2))/(LN(2)/2)*V84*Y84*VLOOKUP('Données projet'!$B$9,Paramètres!$A$1:$I$89,3,0)*0.475*44/12</f>
        <v>1.0813577790779885E-5</v>
      </c>
      <c r="AC84" s="22">
        <f t="shared" si="57"/>
        <v>43.569625999248572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-7.9580786405131221E-13</v>
      </c>
      <c r="AJ84" s="13">
        <f>AI84*VLOOKUP('Données projet'!$B$10,Paramètres!$A$1:$I$89,3,0)*VLOOKUP('Données projet'!$B$10,Paramètres!$A$1:$I$89,5,0)</f>
        <v>-4.758931027026848E-13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318.09371753144256</v>
      </c>
      <c r="AO84" s="59">
        <f t="shared" si="90"/>
        <v>298.61479562586919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1.2741613345379297</v>
      </c>
      <c r="AV84" s="21">
        <f>EXP(-LN(2)/25)*AV83+(1-EXP(-LN(2)/25))/(LN(2)/25)*Calculateur!AQ84*Calculateur!AS84*VLOOKUP('Données projet'!$B$10,Paramètres!$A$1:$I$89,3,0)*0.475*44/12</f>
        <v>5.0252299199263488</v>
      </c>
      <c r="AW84" s="21">
        <f>EXP(-LN(2)/2)*AW83+(1-EXP(-LN(2)/2))/(LN(2)/2)*AQ84*AT84*VLOOKUP('Données projet'!$B$10,Paramètres!$A$1:$I$89,3,0)*0.475*44/12</f>
        <v>6.3748030626945501E-7</v>
      </c>
      <c r="AX84" s="21">
        <f t="shared" si="60"/>
        <v>6.2993918919445848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5.6843418860808015E-14</v>
      </c>
      <c r="BE84" s="13">
        <f>BD84*VLOOKUP('Données projet'!$B$11,Paramètres!$A$1:$I$89,3,0)*VLOOKUP('Données projet'!$B$11,Paramètres!$A$1:$I$89,5,0)</f>
        <v>4.6111381379887463E-14</v>
      </c>
      <c r="BF84" s="13">
        <f t="shared" si="91"/>
        <v>7.5804141040779151E-13</v>
      </c>
      <c r="BG84" s="20">
        <f t="shared" si="61"/>
        <v>1.4005661123635408E-12</v>
      </c>
      <c r="BH84" s="59">
        <f t="shared" si="62"/>
        <v>293.33333333333474</v>
      </c>
      <c r="BI84" s="59">
        <f ca="1">AVERAGE(OFFSET($BH$3,0,0,'Données projet'!$E$11+1,1))-AVERAGE(OFFSET($H$3,0,0,'Données projet'!$E$11+1,1))</f>
        <v>230.68538392491388</v>
      </c>
      <c r="BJ84" s="59">
        <f t="shared" si="92"/>
        <v>267.97457956620724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2.0684422703801397</v>
      </c>
      <c r="BR84" s="21">
        <f>EXP(-LN(2)/2)*BR83+(1-EXP(-LN(2)/2))/(LN(2)/2)*BL84*BO84*VLOOKUP('Données projet'!$B$11,Paramètres!$A$1:$I$89,3,0)*0.475*44/12</f>
        <v>2.3122960891853025E-7</v>
      </c>
      <c r="BS84" s="22">
        <f t="shared" si="63"/>
        <v>2.0684425016097485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4.3</v>
      </c>
      <c r="BY84" s="12">
        <f>IF('Données projet'!$A$114&gt;35,BY83+BX84-CG83,IF(A84&lt;'Données projet'!$A$114,$BV$205^A84,IF(A84='Données projet'!$A$114,'Données projet'!$B$114,BY83+BX84-CG83)))</f>
        <v>182.29999999999998</v>
      </c>
      <c r="BZ84" s="13">
        <f>BY84*VLOOKUP('Données projet'!$B$12,Paramètres!$A$1:$I$89,3,0)*VLOOKUP('Données projet'!$B$12,Paramètres!$A$1:$I$89,5,0)</f>
        <v>207.60323999999997</v>
      </c>
      <c r="CA84" s="13">
        <f t="shared" si="93"/>
        <v>51.411483950264589</v>
      </c>
      <c r="CB84" s="20">
        <f t="shared" si="64"/>
        <v>451.11731088004416</v>
      </c>
      <c r="CC84" s="59">
        <f t="shared" si="65"/>
        <v>744.45064421337747</v>
      </c>
      <c r="CD84" s="59">
        <f ca="1">AVERAGE(OFFSET($CC$3,0,0,'Données projet'!$E$12+1,1))-AVERAGE(OFFSET($H$3,0,0,'Données projet'!$E$12+1,1))</f>
        <v>242.1473060698724</v>
      </c>
      <c r="CE84" s="59">
        <f t="shared" si="94"/>
        <v>96.127995920458659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0</v>
      </c>
      <c r="CZ84" s="59">
        <f t="shared" si="96"/>
        <v>0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0</v>
      </c>
      <c r="DU84" s="59">
        <f t="shared" si="98"/>
        <v>0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1.3596945791505279E-13</v>
      </c>
      <c r="P85" s="13">
        <f t="shared" si="87"/>
        <v>1.9708830566360721E-12</v>
      </c>
      <c r="Q85" s="20">
        <f t="shared" si="54"/>
        <v>3.669434796176543E-12</v>
      </c>
      <c r="R85" s="59">
        <f t="shared" si="55"/>
        <v>293.33333333333701</v>
      </c>
      <c r="S85" s="59">
        <f ca="1">AVERAGE(OFFSET($R$3,0,0,'Données projet'!$E$9+1,1))-AVERAGE(OFFSET($H$3,0,0,'Données projet'!$E$9+1,1))</f>
        <v>212.98969326021802</v>
      </c>
      <c r="T85" s="59">
        <f t="shared" si="88"/>
        <v>422.91218020922895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26.612849097976156</v>
      </c>
      <c r="AA85" s="21">
        <f>EXP(-LN(2)/25)*AA84+(1-EXP(-LN(2)/25))/(LN(2)/25)*Calculateur!V85*Calculateur!X85*VLOOKUP('Données projet'!$B$9,Paramètres!$A$1:$I$89,3,0)*0.475*44/12</f>
        <v>15.975338380451575</v>
      </c>
      <c r="AB85" s="21">
        <f>EXP(-LN(2)/2)*AB84+(1-EXP(-LN(2)/2))/(LN(2)/2)*V85*Y85*VLOOKUP('Données projet'!$B$9,Paramètres!$A$1:$I$89,3,0)*0.475*44/12</f>
        <v>7.6463541847487017E-6</v>
      </c>
      <c r="AC85" s="22">
        <f t="shared" si="57"/>
        <v>42.588195124781912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-7.9580786405131221E-13</v>
      </c>
      <c r="AJ85" s="13">
        <f>AI85*VLOOKUP('Données projet'!$B$10,Paramètres!$A$1:$I$89,3,0)*VLOOKUP('Données projet'!$B$10,Paramètres!$A$1:$I$89,5,0)</f>
        <v>-4.758931027026848E-13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318.09371753144256</v>
      </c>
      <c r="AO85" s="59">
        <f t="shared" si="90"/>
        <v>298.61479562586919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1.2491758079293167</v>
      </c>
      <c r="AV85" s="21">
        <f>EXP(-LN(2)/25)*AV84+(1-EXP(-LN(2)/25))/(LN(2)/25)*Calculateur!AQ85*Calculateur!AS85*VLOOKUP('Données projet'!$B$10,Paramètres!$A$1:$I$89,3,0)*0.475*44/12</f>
        <v>4.8878147435006065</v>
      </c>
      <c r="AW85" s="21">
        <f>EXP(-LN(2)/2)*AW84+(1-EXP(-LN(2)/2))/(LN(2)/2)*AQ85*AT85*VLOOKUP('Données projet'!$B$10,Paramètres!$A$1:$I$89,3,0)*0.475*44/12</f>
        <v>4.5076664743600885E-7</v>
      </c>
      <c r="AX85" s="21">
        <f t="shared" si="60"/>
        <v>6.1369910021965701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5.6843418860808015E-14</v>
      </c>
      <c r="BE85" s="13">
        <f>BD85*VLOOKUP('Données projet'!$B$11,Paramètres!$A$1:$I$89,3,0)*VLOOKUP('Données projet'!$B$11,Paramètres!$A$1:$I$89,5,0)</f>
        <v>4.6111381379887463E-14</v>
      </c>
      <c r="BF85" s="13">
        <f t="shared" si="91"/>
        <v>7.5804141040779151E-13</v>
      </c>
      <c r="BG85" s="20">
        <f t="shared" si="61"/>
        <v>1.4005661123635408E-12</v>
      </c>
      <c r="BH85" s="59">
        <f t="shared" si="62"/>
        <v>293.33333333333474</v>
      </c>
      <c r="BI85" s="59">
        <f ca="1">AVERAGE(OFFSET($BH$3,0,0,'Données projet'!$E$11+1,1))-AVERAGE(OFFSET($H$3,0,0,'Données projet'!$E$11+1,1))</f>
        <v>230.68538392491388</v>
      </c>
      <c r="BJ85" s="59">
        <f t="shared" si="92"/>
        <v>267.97457956620724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2.0118806077219431</v>
      </c>
      <c r="BR85" s="21">
        <f>EXP(-LN(2)/2)*BR84+(1-EXP(-LN(2)/2))/(LN(2)/2)*BL85*BO85*VLOOKUP('Données projet'!$B$11,Paramètres!$A$1:$I$89,3,0)*0.475*44/12</f>
        <v>1.6350402447740613E-7</v>
      </c>
      <c r="BS85" s="22">
        <f t="shared" si="63"/>
        <v>2.0118807712259676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4.3</v>
      </c>
      <c r="BY85" s="12">
        <f>IF('Données projet'!$A$114&gt;35,BY84+BX85-CG84,IF(A85&lt;'Données projet'!$A$114,$BV$205^A85,IF(A85='Données projet'!$A$114,'Données projet'!$B$114,BY84+BX85-CG84)))</f>
        <v>186.6</v>
      </c>
      <c r="BZ85" s="13">
        <f>BY85*VLOOKUP('Données projet'!$B$12,Paramètres!$A$1:$I$89,3,0)*VLOOKUP('Données projet'!$B$12,Paramètres!$A$1:$I$89,5,0)</f>
        <v>212.50008</v>
      </c>
      <c r="CA85" s="13">
        <f t="shared" si="93"/>
        <v>52.481539204941875</v>
      </c>
      <c r="CB85" s="20">
        <f t="shared" si="64"/>
        <v>461.50965344860703</v>
      </c>
      <c r="CC85" s="59">
        <f t="shared" si="65"/>
        <v>754.84298678194034</v>
      </c>
      <c r="CD85" s="59">
        <f ca="1">AVERAGE(OFFSET($CC$3,0,0,'Données projet'!$E$12+1,1))-AVERAGE(OFFSET($H$3,0,0,'Données projet'!$E$12+1,1))</f>
        <v>242.1473060698724</v>
      </c>
      <c r="CE85" s="59">
        <f t="shared" si="94"/>
        <v>96.127995920458659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0</v>
      </c>
      <c r="CZ85" s="59">
        <f t="shared" si="96"/>
        <v>0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0</v>
      </c>
      <c r="DU85" s="59">
        <f t="shared" si="98"/>
        <v>0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1.3596945791505279E-13</v>
      </c>
      <c r="P86" s="13">
        <f t="shared" si="87"/>
        <v>1.9708830566360721E-12</v>
      </c>
      <c r="Q86" s="20">
        <f t="shared" si="54"/>
        <v>3.669434796176543E-12</v>
      </c>
      <c r="R86" s="59">
        <f t="shared" si="55"/>
        <v>293.33333333333701</v>
      </c>
      <c r="S86" s="59">
        <f ca="1">AVERAGE(OFFSET($R$3,0,0,'Données projet'!$E$9+1,1))-AVERAGE(OFFSET($H$3,0,0,'Données projet'!$E$9+1,1))</f>
        <v>212.98969326021802</v>
      </c>
      <c r="T86" s="59">
        <f t="shared" si="88"/>
        <v>422.91218020922895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26.090987359399993</v>
      </c>
      <c r="AA86" s="21">
        <f>EXP(-LN(2)/25)*AA85+(1-EXP(-LN(2)/25))/(LN(2)/25)*Calculateur!V86*Calculateur!X86*VLOOKUP('Données projet'!$B$9,Paramètres!$A$1:$I$89,3,0)*0.475*44/12</f>
        <v>15.538491912331594</v>
      </c>
      <c r="AB86" s="21">
        <f>EXP(-LN(2)/2)*AB85+(1-EXP(-LN(2)/2))/(LN(2)/2)*V86*Y86*VLOOKUP('Données projet'!$B$9,Paramètres!$A$1:$I$89,3,0)*0.475*44/12</f>
        <v>5.4067888953899423E-6</v>
      </c>
      <c r="AC86" s="22">
        <f t="shared" si="57"/>
        <v>41.629484678520477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-7.9580786405131221E-13</v>
      </c>
      <c r="AJ86" s="13">
        <f>AI86*VLOOKUP('Données projet'!$B$10,Paramètres!$A$1:$I$89,3,0)*VLOOKUP('Données projet'!$B$10,Paramètres!$A$1:$I$89,5,0)</f>
        <v>-4.758931027026848E-13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318.09371753144256</v>
      </c>
      <c r="AO86" s="59">
        <f t="shared" si="90"/>
        <v>298.61479562586919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1.2246802322578321</v>
      </c>
      <c r="AV86" s="21">
        <f>EXP(-LN(2)/25)*AV85+(1-EXP(-LN(2)/25))/(LN(2)/25)*Calculateur!AQ86*Calculateur!AS86*VLOOKUP('Données projet'!$B$10,Paramètres!$A$1:$I$89,3,0)*0.475*44/12</f>
        <v>4.7541571923005765</v>
      </c>
      <c r="AW86" s="21">
        <f>EXP(-LN(2)/2)*AW85+(1-EXP(-LN(2)/2))/(LN(2)/2)*AQ86*AT86*VLOOKUP('Données projet'!$B$10,Paramètres!$A$1:$I$89,3,0)*0.475*44/12</f>
        <v>3.1874015313472756E-7</v>
      </c>
      <c r="AX86" s="21">
        <f t="shared" si="60"/>
        <v>5.9788377432985618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5.6843418860808015E-14</v>
      </c>
      <c r="BE86" s="13">
        <f>BD86*VLOOKUP('Données projet'!$B$11,Paramètres!$A$1:$I$89,3,0)*VLOOKUP('Données projet'!$B$11,Paramètres!$A$1:$I$89,5,0)</f>
        <v>4.6111381379887463E-14</v>
      </c>
      <c r="BF86" s="13">
        <f t="shared" si="91"/>
        <v>7.5804141040779151E-13</v>
      </c>
      <c r="BG86" s="20">
        <f t="shared" si="61"/>
        <v>1.4005661123635408E-12</v>
      </c>
      <c r="BH86" s="59">
        <f t="shared" si="62"/>
        <v>293.33333333333474</v>
      </c>
      <c r="BI86" s="59">
        <f ca="1">AVERAGE(OFFSET($BH$3,0,0,'Données projet'!$E$11+1,1))-AVERAGE(OFFSET($H$3,0,0,'Données projet'!$E$11+1,1))</f>
        <v>230.68538392491388</v>
      </c>
      <c r="BJ86" s="59">
        <f t="shared" si="92"/>
        <v>267.97457956620724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1.9568656267035835</v>
      </c>
      <c r="BR86" s="21">
        <f>EXP(-LN(2)/2)*BR85+(1-EXP(-LN(2)/2))/(LN(2)/2)*BL86*BO86*VLOOKUP('Données projet'!$B$11,Paramètres!$A$1:$I$89,3,0)*0.475*44/12</f>
        <v>1.1561480445926513E-7</v>
      </c>
      <c r="BS86" s="22">
        <f t="shared" si="63"/>
        <v>1.9568657423183879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4.3</v>
      </c>
      <c r="BY86" s="12">
        <f>IF('Données projet'!$A$114&gt;35,BY85+BX86-CG85,IF(A86&lt;'Données projet'!$A$114,$BV$205^A86,IF(A86='Données projet'!$A$114,'Données projet'!$B$114,BY85+BX86-CG85)))</f>
        <v>190.9</v>
      </c>
      <c r="BZ86" s="13">
        <f>BY86*VLOOKUP('Données projet'!$B$12,Paramètres!$A$1:$I$89,3,0)*VLOOKUP('Données projet'!$B$12,Paramètres!$A$1:$I$89,5,0)</f>
        <v>217.39691999999999</v>
      </c>
      <c r="CA86" s="13">
        <f t="shared" si="93"/>
        <v>53.548727812073309</v>
      </c>
      <c r="CB86" s="20">
        <f t="shared" si="64"/>
        <v>471.89700327269423</v>
      </c>
      <c r="CC86" s="59">
        <f t="shared" si="65"/>
        <v>765.23033660602755</v>
      </c>
      <c r="CD86" s="59">
        <f ca="1">AVERAGE(OFFSET($CC$3,0,0,'Données projet'!$E$12+1,1))-AVERAGE(OFFSET($H$3,0,0,'Données projet'!$E$12+1,1))</f>
        <v>242.1473060698724</v>
      </c>
      <c r="CE86" s="59">
        <f t="shared" si="94"/>
        <v>96.127995920458659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0</v>
      </c>
      <c r="CZ86" s="59">
        <f t="shared" si="96"/>
        <v>0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0</v>
      </c>
      <c r="DU86" s="59">
        <f t="shared" si="98"/>
        <v>0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1.3596945791505279E-13</v>
      </c>
      <c r="P87" s="13">
        <f t="shared" si="87"/>
        <v>1.9708830566360721E-12</v>
      </c>
      <c r="Q87" s="20">
        <f t="shared" si="54"/>
        <v>3.669434796176543E-12</v>
      </c>
      <c r="R87" s="59">
        <f t="shared" si="55"/>
        <v>293.33333333333701</v>
      </c>
      <c r="S87" s="59">
        <f ca="1">AVERAGE(OFFSET($R$3,0,0,'Données projet'!$E$9+1,1))-AVERAGE(OFFSET($H$3,0,0,'Données projet'!$E$9+1,1))</f>
        <v>212.98969326021802</v>
      </c>
      <c r="T87" s="59">
        <f t="shared" si="88"/>
        <v>422.91218020922895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25.579359011213079</v>
      </c>
      <c r="AA87" s="21">
        <f>EXP(-LN(2)/25)*AA86+(1-EXP(-LN(2)/25))/(LN(2)/25)*Calculateur!V87*Calculateur!X87*VLOOKUP('Données projet'!$B$9,Paramètres!$A$1:$I$89,3,0)*0.475*44/12</f>
        <v>15.11359103385511</v>
      </c>
      <c r="AB87" s="21">
        <f>EXP(-LN(2)/2)*AB86+(1-EXP(-LN(2)/2))/(LN(2)/2)*V87*Y87*VLOOKUP('Données projet'!$B$9,Paramètres!$A$1:$I$89,3,0)*0.475*44/12</f>
        <v>3.8231770923743509E-6</v>
      </c>
      <c r="AC87" s="22">
        <f t="shared" si="57"/>
        <v>40.692953868245283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-7.9580786405131221E-13</v>
      </c>
      <c r="AJ87" s="13">
        <f>AI87*VLOOKUP('Données projet'!$B$10,Paramètres!$A$1:$I$89,3,0)*VLOOKUP('Données projet'!$B$10,Paramètres!$A$1:$I$89,5,0)</f>
        <v>-4.758931027026848E-13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318.09371753144256</v>
      </c>
      <c r="AO87" s="59">
        <f t="shared" si="90"/>
        <v>298.61479562586919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1.2006649998844394</v>
      </c>
      <c r="AV87" s="21">
        <f>EXP(-LN(2)/25)*AV86+(1-EXP(-LN(2)/25))/(LN(2)/25)*Calculateur!AQ87*Calculateur!AS87*VLOOKUP('Données projet'!$B$10,Paramètres!$A$1:$I$89,3,0)*0.475*44/12</f>
        <v>4.6241545138668565</v>
      </c>
      <c r="AW87" s="21">
        <f>EXP(-LN(2)/2)*AW86+(1-EXP(-LN(2)/2))/(LN(2)/2)*AQ87*AT87*VLOOKUP('Données projet'!$B$10,Paramètres!$A$1:$I$89,3,0)*0.475*44/12</f>
        <v>2.2538332371800445E-7</v>
      </c>
      <c r="AX87" s="21">
        <f t="shared" si="60"/>
        <v>5.824819739134619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5.6843418860808015E-14</v>
      </c>
      <c r="BE87" s="13">
        <f>BD87*VLOOKUP('Données projet'!$B$11,Paramètres!$A$1:$I$89,3,0)*VLOOKUP('Données projet'!$B$11,Paramètres!$A$1:$I$89,5,0)</f>
        <v>4.6111381379887463E-14</v>
      </c>
      <c r="BF87" s="13">
        <f t="shared" si="91"/>
        <v>7.5804141040779151E-13</v>
      </c>
      <c r="BG87" s="20">
        <f t="shared" si="61"/>
        <v>1.4005661123635408E-12</v>
      </c>
      <c r="BH87" s="59">
        <f t="shared" si="62"/>
        <v>293.33333333333474</v>
      </c>
      <c r="BI87" s="59">
        <f ca="1">AVERAGE(OFFSET($BH$3,0,0,'Données projet'!$E$11+1,1))-AVERAGE(OFFSET($H$3,0,0,'Données projet'!$E$11+1,1))</f>
        <v>230.68538392491388</v>
      </c>
      <c r="BJ87" s="59">
        <f t="shared" si="92"/>
        <v>267.97457956620724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1.9033550332342832</v>
      </c>
      <c r="BR87" s="21">
        <f>EXP(-LN(2)/2)*BR86+(1-EXP(-LN(2)/2))/(LN(2)/2)*BL87*BO87*VLOOKUP('Données projet'!$B$11,Paramètres!$A$1:$I$89,3,0)*0.475*44/12</f>
        <v>8.1752012238703063E-8</v>
      </c>
      <c r="BS87" s="22">
        <f t="shared" si="63"/>
        <v>1.9033551149862955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4.3</v>
      </c>
      <c r="BY87" s="12">
        <f>IF('Données projet'!$A$114&gt;35,BY86+BX87-CG86,IF(A87&lt;'Données projet'!$A$114,$BV$205^A87,IF(A87='Données projet'!$A$114,'Données projet'!$B$114,BY86+BX87-CG86)))</f>
        <v>195.20000000000002</v>
      </c>
      <c r="BZ87" s="13">
        <f>BY87*VLOOKUP('Données projet'!$B$12,Paramètres!$A$1:$I$89,3,0)*VLOOKUP('Données projet'!$B$12,Paramètres!$A$1:$I$89,5,0)</f>
        <v>222.29376000000002</v>
      </c>
      <c r="CA87" s="13">
        <f t="shared" si="93"/>
        <v>54.613121776493159</v>
      </c>
      <c r="CB87" s="20">
        <f t="shared" si="64"/>
        <v>482.27948576072555</v>
      </c>
      <c r="CC87" s="59">
        <f t="shared" si="65"/>
        <v>775.61281909405886</v>
      </c>
      <c r="CD87" s="59">
        <f ca="1">AVERAGE(OFFSET($CC$3,0,0,'Données projet'!$E$12+1,1))-AVERAGE(OFFSET($H$3,0,0,'Données projet'!$E$12+1,1))</f>
        <v>242.1473060698724</v>
      </c>
      <c r="CE87" s="59">
        <f t="shared" si="94"/>
        <v>96.127995920458659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0</v>
      </c>
      <c r="CZ87" s="59">
        <f t="shared" si="96"/>
        <v>0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0</v>
      </c>
      <c r="DU87" s="59">
        <f t="shared" si="98"/>
        <v>0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1.3596945791505279E-13</v>
      </c>
      <c r="P88" s="13">
        <f t="shared" si="87"/>
        <v>1.9708830566360721E-12</v>
      </c>
      <c r="Q88" s="20">
        <f t="shared" si="54"/>
        <v>3.669434796176543E-12</v>
      </c>
      <c r="R88" s="59">
        <f t="shared" si="55"/>
        <v>293.33333333333701</v>
      </c>
      <c r="S88" s="59">
        <f ca="1">AVERAGE(OFFSET($R$3,0,0,'Données projet'!$E$9+1,1))-AVERAGE(OFFSET($H$3,0,0,'Données projet'!$E$9+1,1))</f>
        <v>212.98969326021802</v>
      </c>
      <c r="T88" s="59">
        <f t="shared" si="88"/>
        <v>422.91218020922895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25.07776338287163</v>
      </c>
      <c r="AA88" s="21">
        <f>EXP(-LN(2)/25)*AA87+(1-EXP(-LN(2)/25))/(LN(2)/25)*Calculateur!V88*Calculateur!X88*VLOOKUP('Données projet'!$B$9,Paramètres!$A$1:$I$89,3,0)*0.475*44/12</f>
        <v>14.700309092245133</v>
      </c>
      <c r="AB88" s="21">
        <f>EXP(-LN(2)/2)*AB87+(1-EXP(-LN(2)/2))/(LN(2)/2)*V88*Y88*VLOOKUP('Données projet'!$B$9,Paramètres!$A$1:$I$89,3,0)*0.475*44/12</f>
        <v>2.7033944476949712E-6</v>
      </c>
      <c r="AC88" s="22">
        <f t="shared" si="57"/>
        <v>39.778075178511216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-7.9580786405131221E-13</v>
      </c>
      <c r="AJ88" s="13">
        <f>AI88*VLOOKUP('Données projet'!$B$10,Paramètres!$A$1:$I$89,3,0)*VLOOKUP('Données projet'!$B$10,Paramètres!$A$1:$I$89,5,0)</f>
        <v>-4.758931027026848E-13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318.09371753144256</v>
      </c>
      <c r="AO88" s="59">
        <f t="shared" si="90"/>
        <v>298.61479562586919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1.1771206915700436</v>
      </c>
      <c r="AV88" s="21">
        <f>EXP(-LN(2)/25)*AV87+(1-EXP(-LN(2)/25))/(LN(2)/25)*Calculateur!AQ88*Calculateur!AS88*VLOOKUP('Données projet'!$B$10,Paramètres!$A$1:$I$89,3,0)*0.475*44/12</f>
        <v>4.4977067655114498</v>
      </c>
      <c r="AW88" s="21">
        <f>EXP(-LN(2)/2)*AW87+(1-EXP(-LN(2)/2))/(LN(2)/2)*AQ88*AT88*VLOOKUP('Données projet'!$B$10,Paramètres!$A$1:$I$89,3,0)*0.475*44/12</f>
        <v>1.5937007656736378E-7</v>
      </c>
      <c r="AX88" s="21">
        <f t="shared" si="60"/>
        <v>5.6748276164515694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5.6843418860808015E-14</v>
      </c>
      <c r="BE88" s="13">
        <f>BD88*VLOOKUP('Données projet'!$B$11,Paramètres!$A$1:$I$89,3,0)*VLOOKUP('Données projet'!$B$11,Paramètres!$A$1:$I$89,5,0)</f>
        <v>4.6111381379887463E-14</v>
      </c>
      <c r="BF88" s="13">
        <f t="shared" si="91"/>
        <v>7.5804141040779151E-13</v>
      </c>
      <c r="BG88" s="20">
        <f t="shared" si="61"/>
        <v>1.4005661123635408E-12</v>
      </c>
      <c r="BH88" s="59">
        <f t="shared" si="62"/>
        <v>293.33333333333474</v>
      </c>
      <c r="BI88" s="59">
        <f ca="1">AVERAGE(OFFSET($BH$3,0,0,'Données projet'!$E$11+1,1))-AVERAGE(OFFSET($H$3,0,0,'Données projet'!$E$11+1,1))</f>
        <v>230.68538392491388</v>
      </c>
      <c r="BJ88" s="59">
        <f t="shared" si="92"/>
        <v>267.97457956620724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1.8513076897574008</v>
      </c>
      <c r="BR88" s="21">
        <f>EXP(-LN(2)/2)*BR87+(1-EXP(-LN(2)/2))/(LN(2)/2)*BL88*BO88*VLOOKUP('Données projet'!$B$11,Paramètres!$A$1:$I$89,3,0)*0.475*44/12</f>
        <v>5.7807402229632563E-8</v>
      </c>
      <c r="BS88" s="22">
        <f t="shared" si="63"/>
        <v>1.851307747564803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4.3</v>
      </c>
      <c r="BY88" s="12">
        <f>IF('Données projet'!$A$114&gt;35,BY87+BX88-CG87,IF(A88&lt;'Données projet'!$A$114,$BV$205^A88,IF(A88='Données projet'!$A$114,'Données projet'!$B$114,BY87+BX88-CG87)))</f>
        <v>199.50000000000003</v>
      </c>
      <c r="BZ88" s="13">
        <f>BY88*VLOOKUP('Données projet'!$B$12,Paramètres!$A$1:$I$89,3,0)*VLOOKUP('Données projet'!$B$12,Paramètres!$A$1:$I$89,5,0)</f>
        <v>227.19060000000005</v>
      </c>
      <c r="CA88" s="13">
        <f t="shared" si="93"/>
        <v>55.674789749546278</v>
      </c>
      <c r="CB88" s="20">
        <f t="shared" si="64"/>
        <v>492.6572204804599</v>
      </c>
      <c r="CC88" s="59">
        <f t="shared" si="65"/>
        <v>785.99055381379321</v>
      </c>
      <c r="CD88" s="59">
        <f ca="1">AVERAGE(OFFSET($CC$3,0,0,'Données projet'!$E$12+1,1))-AVERAGE(OFFSET($H$3,0,0,'Données projet'!$E$12+1,1))</f>
        <v>242.1473060698724</v>
      </c>
      <c r="CE88" s="59">
        <f t="shared" si="94"/>
        <v>96.127995920458659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0</v>
      </c>
      <c r="CZ88" s="59">
        <f t="shared" si="96"/>
        <v>0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0</v>
      </c>
      <c r="DU88" s="59">
        <f t="shared" si="98"/>
        <v>0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1.3596945791505279E-13</v>
      </c>
      <c r="P89" s="13">
        <f t="shared" si="87"/>
        <v>1.9708830566360721E-12</v>
      </c>
      <c r="Q89" s="20">
        <f t="shared" si="54"/>
        <v>3.669434796176543E-12</v>
      </c>
      <c r="R89" s="59">
        <f t="shared" si="55"/>
        <v>293.33333333333701</v>
      </c>
      <c r="S89" s="59">
        <f ca="1">AVERAGE(OFFSET($R$3,0,0,'Données projet'!$E$9+1,1))-AVERAGE(OFFSET($H$3,0,0,'Données projet'!$E$9+1,1))</f>
        <v>212.98969326021802</v>
      </c>
      <c r="T89" s="59">
        <f t="shared" si="88"/>
        <v>422.91218020922895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24.586003738858835</v>
      </c>
      <c r="AA89" s="21">
        <f>EXP(-LN(2)/25)*AA88+(1-EXP(-LN(2)/25))/(LN(2)/25)*Calculateur!V89*Calculateur!X89*VLOOKUP('Données projet'!$B$9,Paramètres!$A$1:$I$89,3,0)*0.475*44/12</f>
        <v>14.298328367062032</v>
      </c>
      <c r="AB89" s="21">
        <f>EXP(-LN(2)/2)*AB88+(1-EXP(-LN(2)/2))/(LN(2)/2)*V89*Y89*VLOOKUP('Données projet'!$B$9,Paramètres!$A$1:$I$89,3,0)*0.475*44/12</f>
        <v>1.9115885461871754E-6</v>
      </c>
      <c r="AC89" s="22">
        <f t="shared" si="57"/>
        <v>38.884334017509417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-7.9580786405131221E-13</v>
      </c>
      <c r="AJ89" s="13">
        <f>AI89*VLOOKUP('Données projet'!$B$10,Paramètres!$A$1:$I$89,3,0)*VLOOKUP('Données projet'!$B$10,Paramètres!$A$1:$I$89,5,0)</f>
        <v>-4.758931027026848E-13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318.09371753144256</v>
      </c>
      <c r="AO89" s="59">
        <f t="shared" si="90"/>
        <v>298.61479562586919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1.1540380727810831</v>
      </c>
      <c r="AV89" s="21">
        <f>EXP(-LN(2)/25)*AV88+(1-EXP(-LN(2)/25))/(LN(2)/25)*Calculateur!AQ89*Calculateur!AS89*VLOOKUP('Données projet'!$B$10,Paramètres!$A$1:$I$89,3,0)*0.475*44/12</f>
        <v>4.3747167374844196</v>
      </c>
      <c r="AW89" s="21">
        <f>EXP(-LN(2)/2)*AW88+(1-EXP(-LN(2)/2))/(LN(2)/2)*AQ89*AT89*VLOOKUP('Données projet'!$B$10,Paramètres!$A$1:$I$89,3,0)*0.475*44/12</f>
        <v>1.1269166185900223E-7</v>
      </c>
      <c r="AX89" s="21">
        <f t="shared" si="60"/>
        <v>5.5287549229571651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5.6843418860808015E-14</v>
      </c>
      <c r="BE89" s="13">
        <f>BD89*VLOOKUP('Données projet'!$B$11,Paramètres!$A$1:$I$89,3,0)*VLOOKUP('Données projet'!$B$11,Paramètres!$A$1:$I$89,5,0)</f>
        <v>4.6111381379887463E-14</v>
      </c>
      <c r="BF89" s="13">
        <f t="shared" si="91"/>
        <v>7.5804141040779151E-13</v>
      </c>
      <c r="BG89" s="20">
        <f t="shared" si="61"/>
        <v>1.4005661123635408E-12</v>
      </c>
      <c r="BH89" s="59">
        <f t="shared" si="62"/>
        <v>293.33333333333474</v>
      </c>
      <c r="BI89" s="59">
        <f ca="1">AVERAGE(OFFSET($BH$3,0,0,'Données projet'!$E$11+1,1))-AVERAGE(OFFSET($H$3,0,0,'Données projet'!$E$11+1,1))</f>
        <v>230.68538392491388</v>
      </c>
      <c r="BJ89" s="59">
        <f t="shared" si="92"/>
        <v>267.97457956620724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1.8006835836249444</v>
      </c>
      <c r="BR89" s="21">
        <f>EXP(-LN(2)/2)*BR88+(1-EXP(-LN(2)/2))/(LN(2)/2)*BL89*BO89*VLOOKUP('Données projet'!$B$11,Paramètres!$A$1:$I$89,3,0)*0.475*44/12</f>
        <v>4.0876006119351532E-8</v>
      </c>
      <c r="BS89" s="22">
        <f t="shared" si="63"/>
        <v>1.8006836245009505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4.3</v>
      </c>
      <c r="BY89" s="12">
        <f>IF('Données projet'!$A$114&gt;35,BY88+BX89-CG88,IF(A89&lt;'Données projet'!$A$114,$BV$205^A89,IF(A89='Données projet'!$A$114,'Données projet'!$B$114,BY88+BX89-CG88)))</f>
        <v>203.80000000000004</v>
      </c>
      <c r="BZ89" s="13">
        <f>BY89*VLOOKUP('Données projet'!$B$12,Paramètres!$A$1:$I$89,3,0)*VLOOKUP('Données projet'!$B$12,Paramètres!$A$1:$I$89,5,0)</f>
        <v>232.08744000000004</v>
      </c>
      <c r="CA89" s="13">
        <f t="shared" si="93"/>
        <v>56.733797254131133</v>
      </c>
      <c r="CB89" s="20">
        <f t="shared" si="64"/>
        <v>503.03032155094508</v>
      </c>
      <c r="CC89" s="59">
        <f t="shared" si="65"/>
        <v>796.36365488427839</v>
      </c>
      <c r="CD89" s="59">
        <f ca="1">AVERAGE(OFFSET($CC$3,0,0,'Données projet'!$E$12+1,1))-AVERAGE(OFFSET($H$3,0,0,'Données projet'!$E$12+1,1))</f>
        <v>242.1473060698724</v>
      </c>
      <c r="CE89" s="59">
        <f t="shared" si="94"/>
        <v>96.127995920458659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0</v>
      </c>
      <c r="CZ89" s="59">
        <f t="shared" si="96"/>
        <v>0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0</v>
      </c>
      <c r="DU89" s="59">
        <f t="shared" si="98"/>
        <v>0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1.3596945791505279E-13</v>
      </c>
      <c r="P90" s="13">
        <f t="shared" si="87"/>
        <v>1.9708830566360721E-12</v>
      </c>
      <c r="Q90" s="20">
        <f t="shared" si="54"/>
        <v>3.669434796176543E-12</v>
      </c>
      <c r="R90" s="59">
        <f t="shared" si="55"/>
        <v>293.33333333333701</v>
      </c>
      <c r="S90" s="59">
        <f ca="1">AVERAGE(OFFSET($R$3,0,0,'Données projet'!$E$9+1,1))-AVERAGE(OFFSET($H$3,0,0,'Données projet'!$E$9+1,1))</f>
        <v>212.98969326021802</v>
      </c>
      <c r="T90" s="59">
        <f t="shared" si="88"/>
        <v>422.91218020922895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24.103887201521363</v>
      </c>
      <c r="AA90" s="21">
        <f>EXP(-LN(2)/25)*AA89+(1-EXP(-LN(2)/25))/(LN(2)/25)*Calculateur!V90*Calculateur!X90*VLOOKUP('Données projet'!$B$9,Paramètres!$A$1:$I$89,3,0)*0.475*44/12</f>
        <v>13.907339825948311</v>
      </c>
      <c r="AB90" s="21">
        <f>EXP(-LN(2)/2)*AB89+(1-EXP(-LN(2)/2))/(LN(2)/2)*V90*Y90*VLOOKUP('Données projet'!$B$9,Paramètres!$A$1:$I$89,3,0)*0.475*44/12</f>
        <v>1.3516972238474856E-6</v>
      </c>
      <c r="AC90" s="22">
        <f t="shared" si="57"/>
        <v>38.011228379166894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-7.9580786405131221E-13</v>
      </c>
      <c r="AJ90" s="13">
        <f>AI90*VLOOKUP('Données projet'!$B$10,Paramètres!$A$1:$I$89,3,0)*VLOOKUP('Données projet'!$B$10,Paramètres!$A$1:$I$89,5,0)</f>
        <v>-4.758931027026848E-13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318.09371753144256</v>
      </c>
      <c r="AO90" s="59">
        <f t="shared" si="90"/>
        <v>298.61479562586919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1.1314080900675667</v>
      </c>
      <c r="AV90" s="21">
        <f>EXP(-LN(2)/25)*AV89+(1-EXP(-LN(2)/25))/(LN(2)/25)*Calculateur!AQ90*Calculateur!AS90*VLOOKUP('Données projet'!$B$10,Paramètres!$A$1:$I$89,3,0)*0.475*44/12</f>
        <v>4.2550898782415532</v>
      </c>
      <c r="AW90" s="21">
        <f>EXP(-LN(2)/2)*AW89+(1-EXP(-LN(2)/2))/(LN(2)/2)*AQ90*AT90*VLOOKUP('Données projet'!$B$10,Paramètres!$A$1:$I$89,3,0)*0.475*44/12</f>
        <v>7.968503828368189E-8</v>
      </c>
      <c r="AX90" s="21">
        <f t="shared" si="60"/>
        <v>5.3864980479941584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5.6843418860808015E-14</v>
      </c>
      <c r="BE90" s="13">
        <f>BD90*VLOOKUP('Données projet'!$B$11,Paramètres!$A$1:$I$89,3,0)*VLOOKUP('Données projet'!$B$11,Paramètres!$A$1:$I$89,5,0)</f>
        <v>4.6111381379887463E-14</v>
      </c>
      <c r="BF90" s="13">
        <f t="shared" si="91"/>
        <v>7.5804141040779151E-13</v>
      </c>
      <c r="BG90" s="20">
        <f t="shared" si="61"/>
        <v>1.4005661123635408E-12</v>
      </c>
      <c r="BH90" s="59">
        <f t="shared" si="62"/>
        <v>293.33333333333474</v>
      </c>
      <c r="BI90" s="59">
        <f ca="1">AVERAGE(OFFSET($BH$3,0,0,'Données projet'!$E$11+1,1))-AVERAGE(OFFSET($H$3,0,0,'Données projet'!$E$11+1,1))</f>
        <v>230.68538392491388</v>
      </c>
      <c r="BJ90" s="59">
        <f t="shared" si="92"/>
        <v>267.97457956620724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1.7514437963368861</v>
      </c>
      <c r="BR90" s="21">
        <f>EXP(-LN(2)/2)*BR89+(1-EXP(-LN(2)/2))/(LN(2)/2)*BL90*BO90*VLOOKUP('Données projet'!$B$11,Paramètres!$A$1:$I$89,3,0)*0.475*44/12</f>
        <v>2.8903701114816281E-8</v>
      </c>
      <c r="BS90" s="22">
        <f t="shared" si="63"/>
        <v>1.7514438252405873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4.3</v>
      </c>
      <c r="BY90" s="12">
        <f>IF('Données projet'!$A$114&gt;35,BY89+BX90-CG89,IF(A90&lt;'Données projet'!$A$114,$BV$205^A90,IF(A90='Données projet'!$A$114,'Données projet'!$B$114,BY89+BX90-CG89)))</f>
        <v>208.10000000000005</v>
      </c>
      <c r="BZ90" s="13">
        <f>BY90*VLOOKUP('Données projet'!$B$12,Paramètres!$A$1:$I$89,3,0)*VLOOKUP('Données projet'!$B$12,Paramètres!$A$1:$I$89,5,0)</f>
        <v>236.98428000000007</v>
      </c>
      <c r="CA90" s="13">
        <f t="shared" si="93"/>
        <v>57.790206890214137</v>
      </c>
      <c r="CB90" s="20">
        <f t="shared" si="64"/>
        <v>513.39889800045637</v>
      </c>
      <c r="CC90" s="59">
        <f t="shared" si="65"/>
        <v>806.73223133378974</v>
      </c>
      <c r="CD90" s="59">
        <f ca="1">AVERAGE(OFFSET($CC$3,0,0,'Données projet'!$E$12+1,1))-AVERAGE(OFFSET($H$3,0,0,'Données projet'!$E$12+1,1))</f>
        <v>242.1473060698724</v>
      </c>
      <c r="CE90" s="59">
        <f t="shared" si="94"/>
        <v>96.127995920458659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0</v>
      </c>
      <c r="CZ90" s="59">
        <f t="shared" si="96"/>
        <v>0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0</v>
      </c>
      <c r="DU90" s="59">
        <f t="shared" si="98"/>
        <v>0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1.3596945791505279E-13</v>
      </c>
      <c r="P91" s="13">
        <f t="shared" si="87"/>
        <v>1.9708830566360721E-12</v>
      </c>
      <c r="Q91" s="20">
        <f t="shared" si="54"/>
        <v>3.669434796176543E-12</v>
      </c>
      <c r="R91" s="59">
        <f t="shared" si="55"/>
        <v>293.33333333333701</v>
      </c>
      <c r="S91" s="59">
        <f ca="1">AVERAGE(OFFSET($R$3,0,0,'Données projet'!$E$9+1,1))-AVERAGE(OFFSET($H$3,0,0,'Données projet'!$E$9+1,1))</f>
        <v>212.98969326021802</v>
      </c>
      <c r="T91" s="59">
        <f t="shared" si="88"/>
        <v>422.91218020922895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23.631224675419027</v>
      </c>
      <c r="AA91" s="21">
        <f>EXP(-LN(2)/25)*AA90+(1-EXP(-LN(2)/25))/(LN(2)/25)*Calculateur!V91*Calculateur!X91*VLOOKUP('Données projet'!$B$9,Paramètres!$A$1:$I$89,3,0)*0.475*44/12</f>
        <v>13.527042887052538</v>
      </c>
      <c r="AB91" s="21">
        <f>EXP(-LN(2)/2)*AB90+(1-EXP(-LN(2)/2))/(LN(2)/2)*V91*Y91*VLOOKUP('Données projet'!$B$9,Paramètres!$A$1:$I$89,3,0)*0.475*44/12</f>
        <v>9.5579427309358772E-7</v>
      </c>
      <c r="AC91" s="22">
        <f t="shared" si="57"/>
        <v>37.158268518265835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-7.9580786405131221E-13</v>
      </c>
      <c r="AJ91" s="13">
        <f>AI91*VLOOKUP('Données projet'!$B$10,Paramètres!$A$1:$I$89,3,0)*VLOOKUP('Données projet'!$B$10,Paramètres!$A$1:$I$89,5,0)</f>
        <v>-4.758931027026848E-13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318.09371753144256</v>
      </c>
      <c r="AO91" s="59">
        <f t="shared" si="90"/>
        <v>298.61479562586919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1.1092218675121359</v>
      </c>
      <c r="AV91" s="21">
        <f>EXP(-LN(2)/25)*AV90+(1-EXP(-LN(2)/25))/(LN(2)/25)*Calculateur!AQ91*Calculateur!AS91*VLOOKUP('Données projet'!$B$10,Paramètres!$A$1:$I$89,3,0)*0.475*44/12</f>
        <v>4.1387342217555867</v>
      </c>
      <c r="AW91" s="21">
        <f>EXP(-LN(2)/2)*AW90+(1-EXP(-LN(2)/2))/(LN(2)/2)*AQ91*AT91*VLOOKUP('Données projet'!$B$10,Paramètres!$A$1:$I$89,3,0)*0.475*44/12</f>
        <v>5.6345830929501113E-8</v>
      </c>
      <c r="AX91" s="21">
        <f t="shared" si="60"/>
        <v>5.2479561456135535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5.6843418860808015E-14</v>
      </c>
      <c r="BE91" s="13">
        <f>BD91*VLOOKUP('Données projet'!$B$11,Paramètres!$A$1:$I$89,3,0)*VLOOKUP('Données projet'!$B$11,Paramètres!$A$1:$I$89,5,0)</f>
        <v>4.6111381379887463E-14</v>
      </c>
      <c r="BF91" s="13">
        <f t="shared" si="91"/>
        <v>7.5804141040779151E-13</v>
      </c>
      <c r="BG91" s="20">
        <f t="shared" si="61"/>
        <v>1.4005661123635408E-12</v>
      </c>
      <c r="BH91" s="59">
        <f t="shared" si="62"/>
        <v>293.33333333333474</v>
      </c>
      <c r="BI91" s="59">
        <f ca="1">AVERAGE(OFFSET($BH$3,0,0,'Données projet'!$E$11+1,1))-AVERAGE(OFFSET($H$3,0,0,'Données projet'!$E$11+1,1))</f>
        <v>230.68538392491388</v>
      </c>
      <c r="BJ91" s="59">
        <f t="shared" si="92"/>
        <v>267.97457956620724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1.7035504736216276</v>
      </c>
      <c r="BR91" s="21">
        <f>EXP(-LN(2)/2)*BR90+(1-EXP(-LN(2)/2))/(LN(2)/2)*BL91*BO91*VLOOKUP('Données projet'!$B$11,Paramètres!$A$1:$I$89,3,0)*0.475*44/12</f>
        <v>2.0438003059675766E-8</v>
      </c>
      <c r="BS91" s="22">
        <f t="shared" si="63"/>
        <v>1.7035504940596307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4.3</v>
      </c>
      <c r="BY91" s="12">
        <f>IF('Données projet'!$A$114&gt;35,BY90+BX91-CG90,IF(A91&lt;'Données projet'!$A$114,$BV$205^A91,IF(A91='Données projet'!$A$114,'Données projet'!$B$114,BY90+BX91-CG90)))</f>
        <v>212.40000000000006</v>
      </c>
      <c r="BZ91" s="13">
        <f>BY91*VLOOKUP('Données projet'!$B$12,Paramètres!$A$1:$I$89,3,0)*VLOOKUP('Données projet'!$B$12,Paramètres!$A$1:$I$89,5,0)</f>
        <v>241.8811200000001</v>
      </c>
      <c r="CA91" s="13">
        <f t="shared" si="93"/>
        <v>58.844078522878426</v>
      </c>
      <c r="CB91" s="20">
        <f t="shared" si="64"/>
        <v>523.76305409401346</v>
      </c>
      <c r="CC91" s="59">
        <f t="shared" si="65"/>
        <v>817.09638742734683</v>
      </c>
      <c r="CD91" s="59">
        <f ca="1">AVERAGE(OFFSET($CC$3,0,0,'Données projet'!$E$12+1,1))-AVERAGE(OFFSET($H$3,0,0,'Données projet'!$E$12+1,1))</f>
        <v>242.1473060698724</v>
      </c>
      <c r="CE91" s="59">
        <f t="shared" si="94"/>
        <v>96.127995920458659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0</v>
      </c>
      <c r="CZ91" s="59">
        <f t="shared" si="96"/>
        <v>0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0</v>
      </c>
      <c r="DU91" s="59">
        <f t="shared" si="98"/>
        <v>0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1.3596945791505279E-13</v>
      </c>
      <c r="P92" s="13">
        <f t="shared" si="87"/>
        <v>1.9708830566360721E-12</v>
      </c>
      <c r="Q92" s="20">
        <f t="shared" si="54"/>
        <v>3.669434796176543E-12</v>
      </c>
      <c r="R92" s="59">
        <f t="shared" si="55"/>
        <v>293.33333333333701</v>
      </c>
      <c r="S92" s="59">
        <f ca="1">AVERAGE(OFFSET($R$3,0,0,'Données projet'!$E$9+1,1))-AVERAGE(OFFSET($H$3,0,0,'Données projet'!$E$9+1,1))</f>
        <v>212.98969326021802</v>
      </c>
      <c r="T92" s="59">
        <f t="shared" si="88"/>
        <v>422.91218020922895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23.167830773157885</v>
      </c>
      <c r="AA92" s="21">
        <f>EXP(-LN(2)/25)*AA91+(1-EXP(-LN(2)/25))/(LN(2)/25)*Calculateur!V92*Calculateur!X92*VLOOKUP('Données projet'!$B$9,Paramètres!$A$1:$I$89,3,0)*0.475*44/12</f>
        <v>13.157145187949817</v>
      </c>
      <c r="AB92" s="21">
        <f>EXP(-LN(2)/2)*AB91+(1-EXP(-LN(2)/2))/(LN(2)/2)*V92*Y92*VLOOKUP('Données projet'!$B$9,Paramètres!$A$1:$I$89,3,0)*0.475*44/12</f>
        <v>6.7584861192374279E-7</v>
      </c>
      <c r="AC92" s="22">
        <f t="shared" si="57"/>
        <v>36.324976636956315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-7.9580786405131221E-13</v>
      </c>
      <c r="AJ92" s="13">
        <f>AI92*VLOOKUP('Données projet'!$B$10,Paramètres!$A$1:$I$89,3,0)*VLOOKUP('Données projet'!$B$10,Paramètres!$A$1:$I$89,5,0)</f>
        <v>-4.758931027026848E-13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318.09371753144256</v>
      </c>
      <c r="AO92" s="59">
        <f t="shared" si="90"/>
        <v>298.61479562586919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1.0874707032487576</v>
      </c>
      <c r="AV92" s="21">
        <f>EXP(-LN(2)/25)*AV91+(1-EXP(-LN(2)/25))/(LN(2)/25)*Calculateur!AQ92*Calculateur!AS92*VLOOKUP('Données projet'!$B$10,Paramètres!$A$1:$I$89,3,0)*0.475*44/12</f>
        <v>4.0255603168151071</v>
      </c>
      <c r="AW92" s="21">
        <f>EXP(-LN(2)/2)*AW91+(1-EXP(-LN(2)/2))/(LN(2)/2)*AQ92*AT92*VLOOKUP('Données projet'!$B$10,Paramètres!$A$1:$I$89,3,0)*0.475*44/12</f>
        <v>3.9842519141840945E-8</v>
      </c>
      <c r="AX92" s="21">
        <f t="shared" si="60"/>
        <v>5.1130310599063842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5.6843418860808015E-14</v>
      </c>
      <c r="BE92" s="13">
        <f>BD92*VLOOKUP('Données projet'!$B$11,Paramètres!$A$1:$I$89,3,0)*VLOOKUP('Données projet'!$B$11,Paramètres!$A$1:$I$89,5,0)</f>
        <v>4.6111381379887463E-14</v>
      </c>
      <c r="BF92" s="13">
        <f t="shared" si="91"/>
        <v>7.5804141040779151E-13</v>
      </c>
      <c r="BG92" s="20">
        <f t="shared" si="61"/>
        <v>1.4005661123635408E-12</v>
      </c>
      <c r="BH92" s="59">
        <f t="shared" si="62"/>
        <v>293.33333333333474</v>
      </c>
      <c r="BI92" s="59">
        <f ca="1">AVERAGE(OFFSET($BH$3,0,0,'Données projet'!$E$11+1,1))-AVERAGE(OFFSET($H$3,0,0,'Données projet'!$E$11+1,1))</f>
        <v>230.68538392491388</v>
      </c>
      <c r="BJ92" s="59">
        <f t="shared" si="92"/>
        <v>267.97457956620724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1.6569667963346182</v>
      </c>
      <c r="BR92" s="21">
        <f>EXP(-LN(2)/2)*BR91+(1-EXP(-LN(2)/2))/(LN(2)/2)*BL92*BO92*VLOOKUP('Données projet'!$B$11,Paramètres!$A$1:$I$89,3,0)*0.475*44/12</f>
        <v>1.4451850557408141E-8</v>
      </c>
      <c r="BS92" s="22">
        <f t="shared" si="63"/>
        <v>1.6569668107864688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4.3</v>
      </c>
      <c r="BY92" s="12">
        <f>IF('Données projet'!$A$114&gt;35,BY91+BX92-CG91,IF(A92&lt;'Données projet'!$A$114,$BV$205^A92,IF(A92='Données projet'!$A$114,'Données projet'!$B$114,BY91+BX92-CG91)))</f>
        <v>216.70000000000007</v>
      </c>
      <c r="BZ92" s="13">
        <f>BY92*VLOOKUP('Données projet'!$B$12,Paramètres!$A$1:$I$89,3,0)*VLOOKUP('Données projet'!$B$12,Paramètres!$A$1:$I$89,5,0)</f>
        <v>246.77796000000009</v>
      </c>
      <c r="CA92" s="13">
        <f t="shared" si="93"/>
        <v>59.895469454713925</v>
      </c>
      <c r="CB92" s="20">
        <f t="shared" si="64"/>
        <v>534.12288963362687</v>
      </c>
      <c r="CC92" s="59">
        <f t="shared" si="65"/>
        <v>827.45622296696024</v>
      </c>
      <c r="CD92" s="59">
        <f ca="1">AVERAGE(OFFSET($CC$3,0,0,'Données projet'!$E$12+1,1))-AVERAGE(OFFSET($H$3,0,0,'Données projet'!$E$12+1,1))</f>
        <v>242.1473060698724</v>
      </c>
      <c r="CE92" s="59">
        <f t="shared" si="94"/>
        <v>96.127995920458659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0</v>
      </c>
      <c r="CZ92" s="59">
        <f t="shared" si="96"/>
        <v>0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0</v>
      </c>
      <c r="DU92" s="59">
        <f t="shared" si="98"/>
        <v>0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1.3596945791505279E-13</v>
      </c>
      <c r="P93" s="13">
        <f t="shared" si="87"/>
        <v>1.9708830566360721E-12</v>
      </c>
      <c r="Q93" s="20">
        <f t="shared" si="54"/>
        <v>3.669434796176543E-12</v>
      </c>
      <c r="R93" s="59">
        <f t="shared" si="55"/>
        <v>293.33333333333701</v>
      </c>
      <c r="S93" s="59">
        <f ca="1">AVERAGE(OFFSET($R$3,0,0,'Données projet'!$E$9+1,1))-AVERAGE(OFFSET($H$3,0,0,'Données projet'!$E$9+1,1))</f>
        <v>212.98969326021802</v>
      </c>
      <c r="T93" s="59">
        <f t="shared" si="88"/>
        <v>422.91218020922895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22.713523742677712</v>
      </c>
      <c r="AA93" s="21">
        <f>EXP(-LN(2)/25)*AA92+(1-EXP(-LN(2)/25))/(LN(2)/25)*Calculateur!V93*Calculateur!X93*VLOOKUP('Données projet'!$B$9,Paramètres!$A$1:$I$89,3,0)*0.475*44/12</f>
        <v>12.797362360881134</v>
      </c>
      <c r="AB93" s="21">
        <f>EXP(-LN(2)/2)*AB92+(1-EXP(-LN(2)/2))/(LN(2)/2)*V93*Y93*VLOOKUP('Données projet'!$B$9,Paramètres!$A$1:$I$89,3,0)*0.475*44/12</f>
        <v>4.7789713654679386E-7</v>
      </c>
      <c r="AC93" s="22">
        <f t="shared" si="57"/>
        <v>35.510886581455985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-7.9580786405131221E-13</v>
      </c>
      <c r="AJ93" s="13">
        <f>AI93*VLOOKUP('Données projet'!$B$10,Paramètres!$A$1:$I$89,3,0)*VLOOKUP('Données projet'!$B$10,Paramètres!$A$1:$I$89,5,0)</f>
        <v>-4.758931027026848E-13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318.09371753144256</v>
      </c>
      <c r="AO93" s="59">
        <f t="shared" si="90"/>
        <v>298.61479562586919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1.0661460660496838</v>
      </c>
      <c r="AV93" s="21">
        <f>EXP(-LN(2)/25)*AV92+(1-EXP(-LN(2)/25))/(LN(2)/25)*Calculateur!AQ93*Calculateur!AS93*VLOOKUP('Données projet'!$B$10,Paramètres!$A$1:$I$89,3,0)*0.475*44/12</f>
        <v>3.9154811582567812</v>
      </c>
      <c r="AW93" s="21">
        <f>EXP(-LN(2)/2)*AW92+(1-EXP(-LN(2)/2))/(LN(2)/2)*AQ93*AT93*VLOOKUP('Données projet'!$B$10,Paramètres!$A$1:$I$89,3,0)*0.475*44/12</f>
        <v>2.8172915464750557E-8</v>
      </c>
      <c r="AX93" s="21">
        <f t="shared" si="60"/>
        <v>4.9816272524793801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5.6843418860808015E-14</v>
      </c>
      <c r="BE93" s="13">
        <f>BD93*VLOOKUP('Données projet'!$B$11,Paramètres!$A$1:$I$89,3,0)*VLOOKUP('Données projet'!$B$11,Paramètres!$A$1:$I$89,5,0)</f>
        <v>4.6111381379887463E-14</v>
      </c>
      <c r="BF93" s="13">
        <f t="shared" si="91"/>
        <v>7.5804141040779151E-13</v>
      </c>
      <c r="BG93" s="20">
        <f t="shared" si="61"/>
        <v>1.4005661123635408E-12</v>
      </c>
      <c r="BH93" s="59">
        <f t="shared" si="62"/>
        <v>293.33333333333474</v>
      </c>
      <c r="BI93" s="59">
        <f ca="1">AVERAGE(OFFSET($BH$3,0,0,'Données projet'!$E$11+1,1))-AVERAGE(OFFSET($H$3,0,0,'Données projet'!$E$11+1,1))</f>
        <v>230.68538392491388</v>
      </c>
      <c r="BJ93" s="59">
        <f t="shared" si="92"/>
        <v>267.97457956620724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1.6116569521527513</v>
      </c>
      <c r="BR93" s="21">
        <f>EXP(-LN(2)/2)*BR92+(1-EXP(-LN(2)/2))/(LN(2)/2)*BL93*BO93*VLOOKUP('Données projet'!$B$11,Paramètres!$A$1:$I$89,3,0)*0.475*44/12</f>
        <v>1.0219001529837883E-8</v>
      </c>
      <c r="BS93" s="22">
        <f t="shared" si="63"/>
        <v>1.6116569623717527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221</v>
      </c>
      <c r="BW93" s="12">
        <f>VLOOKUP(A93,'Données projet'!$A$113:$I$133,9,0)</f>
        <v>4.3</v>
      </c>
      <c r="BX93" s="12">
        <f t="array" ref="BX93">INDEX(BW:BW,MIN(IF(ISNUMBER(BW93:BW289),ROW(BW93:BW289),"")))</f>
        <v>4.3</v>
      </c>
      <c r="BY93" s="12">
        <f>IF('Données projet'!$A$114&gt;35,BY92+BX93-CG92,IF(A93&lt;'Données projet'!$A$114,$BV$205^A93,IF(A93='Données projet'!$A$114,'Données projet'!$B$114,BY92+BX93-CG92)))</f>
        <v>221.00000000000009</v>
      </c>
      <c r="BZ93" s="13">
        <f>BY93*VLOOKUP('Données projet'!$B$12,Paramètres!$A$1:$I$89,3,0)*VLOOKUP('Données projet'!$B$12,Paramètres!$A$1:$I$89,5,0)</f>
        <v>251.67480000000012</v>
      </c>
      <c r="CA93" s="13">
        <f t="shared" si="93"/>
        <v>60.944434584138499</v>
      </c>
      <c r="CB93" s="20">
        <f t="shared" si="64"/>
        <v>544.47850023404135</v>
      </c>
      <c r="CC93" s="59">
        <f t="shared" si="65"/>
        <v>837.81183356737461</v>
      </c>
      <c r="CD93" s="59">
        <f ca="1">AVERAGE(OFFSET($CC$3,0,0,'Données projet'!$E$12+1,1))-AVERAGE(OFFSET($H$3,0,0,'Données projet'!$E$12+1,1))</f>
        <v>242.1473060698724</v>
      </c>
      <c r="CE93" s="59">
        <f t="shared" si="94"/>
        <v>96.127995920458659</v>
      </c>
      <c r="CF93" s="15">
        <f>IF(ISNA(VLOOKUP(A93,'Données projet'!$A$113:$I$133,3,0)),0,VLOOKUP(A93,'Données projet'!$A$113:$I$133,3,0))</f>
        <v>6</v>
      </c>
      <c r="CG93" s="15">
        <f>IF(ISNA(VLOOKUP(A93,'Données projet'!$A$113:$I$133,4,0)),0,VLOOKUP(A93,'Données projet'!$A$113:$I$133,4,0))</f>
        <v>28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0</v>
      </c>
      <c r="CZ93" s="59">
        <f t="shared" si="96"/>
        <v>0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0</v>
      </c>
      <c r="DU93" s="59">
        <f t="shared" si="98"/>
        <v>0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1.3596945791505279E-13</v>
      </c>
      <c r="P94" s="13">
        <f t="shared" si="87"/>
        <v>1.9708830566360721E-12</v>
      </c>
      <c r="Q94" s="20">
        <f t="shared" si="54"/>
        <v>3.669434796176543E-12</v>
      </c>
      <c r="R94" s="59">
        <f t="shared" si="55"/>
        <v>293.33333333333701</v>
      </c>
      <c r="S94" s="59">
        <f ca="1">AVERAGE(OFFSET($R$3,0,0,'Données projet'!$E$9+1,1))-AVERAGE(OFFSET($H$3,0,0,'Données projet'!$E$9+1,1))</f>
        <v>212.98969326021802</v>
      </c>
      <c r="T94" s="59">
        <f t="shared" si="88"/>
        <v>422.91218020922895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22.268125395965328</v>
      </c>
      <c r="AA94" s="21">
        <f>EXP(-LN(2)/25)*AA93+(1-EXP(-LN(2)/25))/(LN(2)/25)*Calculateur!V94*Calculateur!X94*VLOOKUP('Données projet'!$B$9,Paramètres!$A$1:$I$89,3,0)*0.475*44/12</f>
        <v>12.447417814138802</v>
      </c>
      <c r="AB94" s="21">
        <f>EXP(-LN(2)/2)*AB93+(1-EXP(-LN(2)/2))/(LN(2)/2)*V94*Y94*VLOOKUP('Données projet'!$B$9,Paramètres!$A$1:$I$89,3,0)*0.475*44/12</f>
        <v>3.3792430596187139E-7</v>
      </c>
      <c r="AC94" s="22">
        <f t="shared" si="57"/>
        <v>34.715543548028435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-7.9580786405131221E-13</v>
      </c>
      <c r="AJ94" s="13">
        <f>AI94*VLOOKUP('Données projet'!$B$10,Paramètres!$A$1:$I$89,3,0)*VLOOKUP('Données projet'!$B$10,Paramètres!$A$1:$I$89,5,0)</f>
        <v>-4.758931027026848E-13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318.09371753144256</v>
      </c>
      <c r="AO94" s="59">
        <f t="shared" si="90"/>
        <v>298.61479562586919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1.0452395919793394</v>
      </c>
      <c r="AV94" s="21">
        <f>EXP(-LN(2)/25)*AV93+(1-EXP(-LN(2)/25))/(LN(2)/25)*Calculateur!AQ94*Calculateur!AS94*VLOOKUP('Données projet'!$B$10,Paramètres!$A$1:$I$89,3,0)*0.475*44/12</f>
        <v>3.8084121200780445</v>
      </c>
      <c r="AW94" s="21">
        <f>EXP(-LN(2)/2)*AW93+(1-EXP(-LN(2)/2))/(LN(2)/2)*AQ94*AT94*VLOOKUP('Données projet'!$B$10,Paramètres!$A$1:$I$89,3,0)*0.475*44/12</f>
        <v>1.9921259570920472E-8</v>
      </c>
      <c r="AX94" s="21">
        <f t="shared" si="60"/>
        <v>4.8536517319786432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5.6843418860808015E-14</v>
      </c>
      <c r="BE94" s="13">
        <f>BD94*VLOOKUP('Données projet'!$B$11,Paramètres!$A$1:$I$89,3,0)*VLOOKUP('Données projet'!$B$11,Paramètres!$A$1:$I$89,5,0)</f>
        <v>4.6111381379887463E-14</v>
      </c>
      <c r="BF94" s="13">
        <f t="shared" si="91"/>
        <v>7.5804141040779151E-13</v>
      </c>
      <c r="BG94" s="20">
        <f t="shared" si="61"/>
        <v>1.4005661123635408E-12</v>
      </c>
      <c r="BH94" s="59">
        <f t="shared" si="62"/>
        <v>293.33333333333474</v>
      </c>
      <c r="BI94" s="59">
        <f ca="1">AVERAGE(OFFSET($BH$3,0,0,'Données projet'!$E$11+1,1))-AVERAGE(OFFSET($H$3,0,0,'Données projet'!$E$11+1,1))</f>
        <v>230.68538392491388</v>
      </c>
      <c r="BJ94" s="59">
        <f t="shared" si="92"/>
        <v>267.97457956620724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1.5675861080427786</v>
      </c>
      <c r="BR94" s="21">
        <f>EXP(-LN(2)/2)*BR93+(1-EXP(-LN(2)/2))/(LN(2)/2)*BL94*BO94*VLOOKUP('Données projet'!$B$11,Paramètres!$A$1:$I$89,3,0)*0.475*44/12</f>
        <v>7.2259252787040704E-9</v>
      </c>
      <c r="BS94" s="22">
        <f t="shared" si="63"/>
        <v>1.5675861152687038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3.7</v>
      </c>
      <c r="BY94" s="12">
        <f>IF('Données projet'!$A$114&gt;35,BY93+BX94-CG93,IF(A94&lt;'Données projet'!$A$114,$BV$205^A94,IF(A94='Données projet'!$A$114,'Données projet'!$B$114,BY93+BX94-CG93)))</f>
        <v>196.70000000000007</v>
      </c>
      <c r="BZ94" s="13">
        <f>BY94*VLOOKUP('Données projet'!$B$12,Paramètres!$A$1:$I$89,3,0)*VLOOKUP('Données projet'!$B$12,Paramètres!$A$1:$I$89,5,0)</f>
        <v>224.00196000000005</v>
      </c>
      <c r="CA94" s="13">
        <f t="shared" si="93"/>
        <v>54.983777263895249</v>
      </c>
      <c r="CB94" s="20">
        <f t="shared" si="64"/>
        <v>485.90015906795094</v>
      </c>
      <c r="CC94" s="59">
        <f t="shared" si="65"/>
        <v>779.23349240128425</v>
      </c>
      <c r="CD94" s="59">
        <f ca="1">AVERAGE(OFFSET($CC$3,0,0,'Données projet'!$E$12+1,1))-AVERAGE(OFFSET($H$3,0,0,'Données projet'!$E$12+1,1))</f>
        <v>242.1473060698724</v>
      </c>
      <c r="CE94" s="59">
        <f t="shared" si="94"/>
        <v>96.127995920458659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0</v>
      </c>
      <c r="CZ94" s="59">
        <f t="shared" si="96"/>
        <v>0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0</v>
      </c>
      <c r="DU94" s="59">
        <f t="shared" si="98"/>
        <v>0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1.3596945791505279E-13</v>
      </c>
      <c r="P95" s="13">
        <f t="shared" si="87"/>
        <v>1.9708830566360721E-12</v>
      </c>
      <c r="Q95" s="20">
        <f t="shared" si="54"/>
        <v>3.669434796176543E-12</v>
      </c>
      <c r="R95" s="59">
        <f t="shared" si="55"/>
        <v>293.33333333333701</v>
      </c>
      <c r="S95" s="59">
        <f ca="1">AVERAGE(OFFSET($R$3,0,0,'Données projet'!$E$9+1,1))-AVERAGE(OFFSET($H$3,0,0,'Données projet'!$E$9+1,1))</f>
        <v>212.98969326021802</v>
      </c>
      <c r="T95" s="59">
        <f t="shared" si="88"/>
        <v>422.91218020922895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21.831461039165806</v>
      </c>
      <c r="AA95" s="21">
        <f>EXP(-LN(2)/25)*AA94+(1-EXP(-LN(2)/25))/(LN(2)/25)*Calculateur!V95*Calculateur!X95*VLOOKUP('Données projet'!$B$9,Paramètres!$A$1:$I$89,3,0)*0.475*44/12</f>
        <v>12.107042519429923</v>
      </c>
      <c r="AB95" s="21">
        <f>EXP(-LN(2)/2)*AB94+(1-EXP(-LN(2)/2))/(LN(2)/2)*V95*Y95*VLOOKUP('Données projet'!$B$9,Paramètres!$A$1:$I$89,3,0)*0.475*44/12</f>
        <v>2.3894856827339693E-7</v>
      </c>
      <c r="AC95" s="22">
        <f t="shared" si="57"/>
        <v>33.938503797544293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-7.9580786405131221E-13</v>
      </c>
      <c r="AJ95" s="13">
        <f>AI95*VLOOKUP('Données projet'!$B$10,Paramètres!$A$1:$I$89,3,0)*VLOOKUP('Données projet'!$B$10,Paramètres!$A$1:$I$89,5,0)</f>
        <v>-4.758931027026848E-13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318.09371753144256</v>
      </c>
      <c r="AO95" s="59">
        <f t="shared" si="90"/>
        <v>298.61479562586919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1.0247430811138245</v>
      </c>
      <c r="AV95" s="21">
        <f>EXP(-LN(2)/25)*AV94+(1-EXP(-LN(2)/25))/(LN(2)/25)*Calculateur!AQ95*Calculateur!AS95*VLOOKUP('Données projet'!$B$10,Paramètres!$A$1:$I$89,3,0)*0.475*44/12</f>
        <v>3.7042708903788211</v>
      </c>
      <c r="AW95" s="21">
        <f>EXP(-LN(2)/2)*AW94+(1-EXP(-LN(2)/2))/(LN(2)/2)*AQ95*AT95*VLOOKUP('Données projet'!$B$10,Paramètres!$A$1:$I$89,3,0)*0.475*44/12</f>
        <v>1.4086457732375278E-8</v>
      </c>
      <c r="AX95" s="21">
        <f t="shared" si="60"/>
        <v>4.7290139855791029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5.6843418860808015E-14</v>
      </c>
      <c r="BE95" s="13">
        <f>BD95*VLOOKUP('Données projet'!$B$11,Paramètres!$A$1:$I$89,3,0)*VLOOKUP('Données projet'!$B$11,Paramètres!$A$1:$I$89,5,0)</f>
        <v>4.6111381379887463E-14</v>
      </c>
      <c r="BF95" s="13">
        <f t="shared" si="91"/>
        <v>7.5804141040779151E-13</v>
      </c>
      <c r="BG95" s="20">
        <f t="shared" si="61"/>
        <v>1.4005661123635408E-12</v>
      </c>
      <c r="BH95" s="59">
        <f t="shared" si="62"/>
        <v>293.33333333333474</v>
      </c>
      <c r="BI95" s="59">
        <f ca="1">AVERAGE(OFFSET($BH$3,0,0,'Données projet'!$E$11+1,1))-AVERAGE(OFFSET($H$3,0,0,'Données projet'!$E$11+1,1))</f>
        <v>230.68538392491388</v>
      </c>
      <c r="BJ95" s="59">
        <f t="shared" si="92"/>
        <v>267.97457956620724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1.5247203834825782</v>
      </c>
      <c r="BR95" s="21">
        <f>EXP(-LN(2)/2)*BR94+(1-EXP(-LN(2)/2))/(LN(2)/2)*BL95*BO95*VLOOKUP('Données projet'!$B$11,Paramètres!$A$1:$I$89,3,0)*0.475*44/12</f>
        <v>5.1095007649189415E-9</v>
      </c>
      <c r="BS95" s="22">
        <f t="shared" si="63"/>
        <v>1.524720388592079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3.7</v>
      </c>
      <c r="BY95" s="12">
        <f>IF('Données projet'!$A$114&gt;35,BY94+BX95-CG94,IF(A95&lt;'Données projet'!$A$114,$BV$205^A95,IF(A95='Données projet'!$A$114,'Données projet'!$B$114,BY94+BX95-CG94)))</f>
        <v>200.40000000000006</v>
      </c>
      <c r="BZ95" s="13">
        <f>BY95*VLOOKUP('Données projet'!$B$12,Paramètres!$A$1:$I$89,3,0)*VLOOKUP('Données projet'!$B$12,Paramètres!$A$1:$I$89,5,0)</f>
        <v>228.21552000000005</v>
      </c>
      <c r="CA95" s="13">
        <f t="shared" si="93"/>
        <v>55.896660499583824</v>
      </c>
      <c r="CB95" s="20">
        <f t="shared" si="64"/>
        <v>494.82871437010857</v>
      </c>
      <c r="CC95" s="59">
        <f t="shared" si="65"/>
        <v>788.16204770344189</v>
      </c>
      <c r="CD95" s="59">
        <f ca="1">AVERAGE(OFFSET($CC$3,0,0,'Données projet'!$E$12+1,1))-AVERAGE(OFFSET($H$3,0,0,'Données projet'!$E$12+1,1))</f>
        <v>242.1473060698724</v>
      </c>
      <c r="CE95" s="59">
        <f t="shared" si="94"/>
        <v>96.127995920458659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0</v>
      </c>
      <c r="CZ95" s="59">
        <f t="shared" si="96"/>
        <v>0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0</v>
      </c>
      <c r="DU95" s="59">
        <f t="shared" si="98"/>
        <v>0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1.3596945791505279E-13</v>
      </c>
      <c r="P96" s="13">
        <f t="shared" si="87"/>
        <v>1.9708830566360721E-12</v>
      </c>
      <c r="Q96" s="20">
        <f t="shared" si="54"/>
        <v>3.669434796176543E-12</v>
      </c>
      <c r="R96" s="59">
        <f t="shared" si="55"/>
        <v>293.33333333333701</v>
      </c>
      <c r="S96" s="59">
        <f ca="1">AVERAGE(OFFSET($R$3,0,0,'Données projet'!$E$9+1,1))-AVERAGE(OFFSET($H$3,0,0,'Données projet'!$E$9+1,1))</f>
        <v>212.98969326021802</v>
      </c>
      <c r="T96" s="59">
        <f t="shared" si="88"/>
        <v>422.91218020922895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21.403359404064165</v>
      </c>
      <c r="AA96" s="21">
        <f>EXP(-LN(2)/25)*AA95+(1-EXP(-LN(2)/25))/(LN(2)/25)*Calculateur!V96*Calculateur!X96*VLOOKUP('Données projet'!$B$9,Paramètres!$A$1:$I$89,3,0)*0.475*44/12</f>
        <v>11.775974805054416</v>
      </c>
      <c r="AB96" s="21">
        <f>EXP(-LN(2)/2)*AB95+(1-EXP(-LN(2)/2))/(LN(2)/2)*V96*Y96*VLOOKUP('Données projet'!$B$9,Paramètres!$A$1:$I$89,3,0)*0.475*44/12</f>
        <v>1.689621529809357E-7</v>
      </c>
      <c r="AC96" s="22">
        <f t="shared" si="57"/>
        <v>33.179334378080732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-7.9580786405131221E-13</v>
      </c>
      <c r="AJ96" s="13">
        <f>AI96*VLOOKUP('Données projet'!$B$10,Paramètres!$A$1:$I$89,3,0)*VLOOKUP('Données projet'!$B$10,Paramètres!$A$1:$I$89,5,0)</f>
        <v>-4.758931027026848E-13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318.09371753144256</v>
      </c>
      <c r="AO96" s="59">
        <f t="shared" si="90"/>
        <v>298.61479562586919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1.0046484943247451</v>
      </c>
      <c r="AV96" s="21">
        <f>EXP(-LN(2)/25)*AV95+(1-EXP(-LN(2)/25))/(LN(2)/25)*Calculateur!AQ96*Calculateur!AS96*VLOOKUP('Données projet'!$B$10,Paramètres!$A$1:$I$89,3,0)*0.475*44/12</f>
        <v>3.6029774080822725</v>
      </c>
      <c r="AW96" s="21">
        <f>EXP(-LN(2)/2)*AW95+(1-EXP(-LN(2)/2))/(LN(2)/2)*AQ96*AT96*VLOOKUP('Données projet'!$B$10,Paramètres!$A$1:$I$89,3,0)*0.475*44/12</f>
        <v>9.9606297854602362E-9</v>
      </c>
      <c r="AX96" s="21">
        <f t="shared" si="60"/>
        <v>4.6076259123676468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5.6843418860808015E-14</v>
      </c>
      <c r="BE96" s="13">
        <f>BD96*VLOOKUP('Données projet'!$B$11,Paramètres!$A$1:$I$89,3,0)*VLOOKUP('Données projet'!$B$11,Paramètres!$A$1:$I$89,5,0)</f>
        <v>4.6111381379887463E-14</v>
      </c>
      <c r="BF96" s="13">
        <f t="shared" si="91"/>
        <v>7.5804141040779151E-13</v>
      </c>
      <c r="BG96" s="20">
        <f t="shared" si="61"/>
        <v>1.4005661123635408E-12</v>
      </c>
      <c r="BH96" s="59">
        <f t="shared" si="62"/>
        <v>293.33333333333474</v>
      </c>
      <c r="BI96" s="59">
        <f ca="1">AVERAGE(OFFSET($BH$3,0,0,'Données projet'!$E$11+1,1))-AVERAGE(OFFSET($H$3,0,0,'Données projet'!$E$11+1,1))</f>
        <v>230.68538392491388</v>
      </c>
      <c r="BJ96" s="59">
        <f t="shared" si="92"/>
        <v>267.97457956620724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1.4830268244146869</v>
      </c>
      <c r="BR96" s="21">
        <f>EXP(-LN(2)/2)*BR95+(1-EXP(-LN(2)/2))/(LN(2)/2)*BL96*BO96*VLOOKUP('Données projet'!$B$11,Paramètres!$A$1:$I$89,3,0)*0.475*44/12</f>
        <v>3.6129626393520352E-9</v>
      </c>
      <c r="BS96" s="22">
        <f t="shared" si="63"/>
        <v>1.4830268280276495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3.7</v>
      </c>
      <c r="BY96" s="12">
        <f>IF('Données projet'!$A$114&gt;35,BY95+BX96-CG95,IF(A96&lt;'Données projet'!$A$114,$BV$205^A96,IF(A96='Données projet'!$A$114,'Données projet'!$B$114,BY95+BX96-CG95)))</f>
        <v>204.10000000000005</v>
      </c>
      <c r="BZ96" s="13">
        <f>BY96*VLOOKUP('Données projet'!$B$12,Paramètres!$A$1:$I$89,3,0)*VLOOKUP('Données projet'!$B$12,Paramètres!$A$1:$I$89,5,0)</f>
        <v>232.42908000000006</v>
      </c>
      <c r="CA96" s="13">
        <f t="shared" si="93"/>
        <v>56.80758384518689</v>
      </c>
      <c r="CB96" s="20">
        <f t="shared" si="64"/>
        <v>503.75385619703394</v>
      </c>
      <c r="CC96" s="59">
        <f t="shared" si="65"/>
        <v>797.08718953036725</v>
      </c>
      <c r="CD96" s="59">
        <f ca="1">AVERAGE(OFFSET($CC$3,0,0,'Données projet'!$E$12+1,1))-AVERAGE(OFFSET($H$3,0,0,'Données projet'!$E$12+1,1))</f>
        <v>242.1473060698724</v>
      </c>
      <c r="CE96" s="59">
        <f t="shared" si="94"/>
        <v>96.127995920458659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0</v>
      </c>
      <c r="CZ96" s="59">
        <f t="shared" si="96"/>
        <v>0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0</v>
      </c>
      <c r="DU96" s="59">
        <f t="shared" si="98"/>
        <v>0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1.3596945791505279E-13</v>
      </c>
      <c r="P97" s="13">
        <f t="shared" si="87"/>
        <v>1.9708830566360721E-12</v>
      </c>
      <c r="Q97" s="20">
        <f t="shared" si="54"/>
        <v>3.669434796176543E-12</v>
      </c>
      <c r="R97" s="59">
        <f t="shared" si="55"/>
        <v>293.33333333333701</v>
      </c>
      <c r="S97" s="59">
        <f ca="1">AVERAGE(OFFSET($R$3,0,0,'Données projet'!$E$9+1,1))-AVERAGE(OFFSET($H$3,0,0,'Données projet'!$E$9+1,1))</f>
        <v>212.98969326021802</v>
      </c>
      <c r="T97" s="59">
        <f t="shared" si="88"/>
        <v>422.91218020922895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20.983652580910654</v>
      </c>
      <c r="AA97" s="21">
        <f>EXP(-LN(2)/25)*AA96+(1-EXP(-LN(2)/25))/(LN(2)/25)*Calculateur!V97*Calculateur!X97*VLOOKUP('Données projet'!$B$9,Paramètres!$A$1:$I$89,3,0)*0.475*44/12</f>
        <v>11.453960154738603</v>
      </c>
      <c r="AB97" s="21">
        <f>EXP(-LN(2)/2)*AB96+(1-EXP(-LN(2)/2))/(LN(2)/2)*V97*Y97*VLOOKUP('Données projet'!$B$9,Paramètres!$A$1:$I$89,3,0)*0.475*44/12</f>
        <v>1.1947428413669846E-7</v>
      </c>
      <c r="AC97" s="22">
        <f t="shared" si="57"/>
        <v>32.43761285512354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-7.9580786405131221E-13</v>
      </c>
      <c r="AJ97" s="13">
        <f>AI97*VLOOKUP('Données projet'!$B$10,Paramètres!$A$1:$I$89,3,0)*VLOOKUP('Données projet'!$B$10,Paramètres!$A$1:$I$89,5,0)</f>
        <v>-4.758931027026848E-13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318.09371753144256</v>
      </c>
      <c r="AO97" s="59">
        <f t="shared" si="90"/>
        <v>298.61479562586919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0.98494795012611192</v>
      </c>
      <c r="AV97" s="21">
        <f>EXP(-LN(2)/25)*AV96+(1-EXP(-LN(2)/25))/(LN(2)/25)*Calculateur!AQ97*Calculateur!AS97*VLOOKUP('Données projet'!$B$10,Paramètres!$A$1:$I$89,3,0)*0.475*44/12</f>
        <v>3.5044538013859157</v>
      </c>
      <c r="AW97" s="21">
        <f>EXP(-LN(2)/2)*AW96+(1-EXP(-LN(2)/2))/(LN(2)/2)*AQ97*AT97*VLOOKUP('Données projet'!$B$10,Paramètres!$A$1:$I$89,3,0)*0.475*44/12</f>
        <v>7.0432288661876391E-9</v>
      </c>
      <c r="AX97" s="21">
        <f t="shared" si="60"/>
        <v>4.4894017585552568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5.6843418860808015E-14</v>
      </c>
      <c r="BE97" s="13">
        <f>BD97*VLOOKUP('Données projet'!$B$11,Paramètres!$A$1:$I$89,3,0)*VLOOKUP('Données projet'!$B$11,Paramètres!$A$1:$I$89,5,0)</f>
        <v>4.6111381379887463E-14</v>
      </c>
      <c r="BF97" s="13">
        <f t="shared" si="91"/>
        <v>7.5804141040779151E-13</v>
      </c>
      <c r="BG97" s="20">
        <f t="shared" si="61"/>
        <v>1.4005661123635408E-12</v>
      </c>
      <c r="BH97" s="59">
        <f t="shared" si="62"/>
        <v>293.33333333333474</v>
      </c>
      <c r="BI97" s="59">
        <f ca="1">AVERAGE(OFFSET($BH$3,0,0,'Données projet'!$E$11+1,1))-AVERAGE(OFFSET($H$3,0,0,'Données projet'!$E$11+1,1))</f>
        <v>230.68538392491388</v>
      </c>
      <c r="BJ97" s="59">
        <f t="shared" si="92"/>
        <v>267.97457956620724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1.4424733779120762</v>
      </c>
      <c r="BR97" s="21">
        <f>EXP(-LN(2)/2)*BR96+(1-EXP(-LN(2)/2))/(LN(2)/2)*BL97*BO97*VLOOKUP('Données projet'!$B$11,Paramètres!$A$1:$I$89,3,0)*0.475*44/12</f>
        <v>2.5547503824594707E-9</v>
      </c>
      <c r="BS97" s="22">
        <f t="shared" si="63"/>
        <v>1.4424733804668266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3.7</v>
      </c>
      <c r="BY97" s="12">
        <f>IF('Données projet'!$A$114&gt;35,BY96+BX97-CG96,IF(A97&lt;'Données projet'!$A$114,$BV$205^A97,IF(A97='Données projet'!$A$114,'Données projet'!$B$114,BY96+BX97-CG96)))</f>
        <v>207.80000000000004</v>
      </c>
      <c r="BZ97" s="13">
        <f>BY97*VLOOKUP('Données projet'!$B$12,Paramètres!$A$1:$I$89,3,0)*VLOOKUP('Données projet'!$B$12,Paramètres!$A$1:$I$89,5,0)</f>
        <v>236.64264000000003</v>
      </c>
      <c r="CA97" s="13">
        <f t="shared" si="93"/>
        <v>57.716586928517103</v>
      </c>
      <c r="CB97" s="20">
        <f t="shared" si="64"/>
        <v>512.67565356716739</v>
      </c>
      <c r="CC97" s="59">
        <f t="shared" si="65"/>
        <v>806.00898690050076</v>
      </c>
      <c r="CD97" s="59">
        <f ca="1">AVERAGE(OFFSET($CC$3,0,0,'Données projet'!$E$12+1,1))-AVERAGE(OFFSET($H$3,0,0,'Données projet'!$E$12+1,1))</f>
        <v>242.1473060698724</v>
      </c>
      <c r="CE97" s="59">
        <f t="shared" si="94"/>
        <v>96.127995920458659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0</v>
      </c>
      <c r="CZ97" s="59">
        <f t="shared" si="96"/>
        <v>0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0</v>
      </c>
      <c r="DU97" s="59">
        <f t="shared" si="98"/>
        <v>0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1.3596945791505279E-13</v>
      </c>
      <c r="P98" s="13">
        <f t="shared" si="87"/>
        <v>1.9708830566360721E-12</v>
      </c>
      <c r="Q98" s="20">
        <f t="shared" si="54"/>
        <v>3.669434796176543E-12</v>
      </c>
      <c r="R98" s="59">
        <f t="shared" si="55"/>
        <v>293.33333333333701</v>
      </c>
      <c r="S98" s="59">
        <f ca="1">AVERAGE(OFFSET($R$3,0,0,'Données projet'!$E$9+1,1))-AVERAGE(OFFSET($H$3,0,0,'Données projet'!$E$9+1,1))</f>
        <v>212.98969326021802</v>
      </c>
      <c r="T98" s="59">
        <f t="shared" si="88"/>
        <v>422.91218020922895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20.572175952563299</v>
      </c>
      <c r="AA98" s="21">
        <f>EXP(-LN(2)/25)*AA97+(1-EXP(-LN(2)/25))/(LN(2)/25)*Calculateur!V98*Calculateur!X98*VLOOKUP('Données projet'!$B$9,Paramètres!$A$1:$I$89,3,0)*0.475*44/12</f>
        <v>11.140751011969689</v>
      </c>
      <c r="AB98" s="21">
        <f>EXP(-LN(2)/2)*AB97+(1-EXP(-LN(2)/2))/(LN(2)/2)*V98*Y98*VLOOKUP('Données projet'!$B$9,Paramètres!$A$1:$I$89,3,0)*0.475*44/12</f>
        <v>8.4481076490467849E-8</v>
      </c>
      <c r="AC98" s="22">
        <f t="shared" si="57"/>
        <v>31.712927049014066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-7.9580786405131221E-13</v>
      </c>
      <c r="AJ98" s="13">
        <f>AI98*VLOOKUP('Données projet'!$B$10,Paramètres!$A$1:$I$89,3,0)*VLOOKUP('Données projet'!$B$10,Paramètres!$A$1:$I$89,5,0)</f>
        <v>-4.758931027026848E-13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318.09371753144256</v>
      </c>
      <c r="AO98" s="59">
        <f t="shared" si="90"/>
        <v>298.61479562586919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0.96563372158306837</v>
      </c>
      <c r="AV98" s="21">
        <f>EXP(-LN(2)/25)*AV97+(1-EXP(-LN(2)/25))/(LN(2)/25)*Calculateur!AQ98*Calculateur!AS98*VLOOKUP('Données projet'!$B$10,Paramètres!$A$1:$I$89,3,0)*0.475*44/12</f>
        <v>3.4086243278958017</v>
      </c>
      <c r="AW98" s="21">
        <f>EXP(-LN(2)/2)*AW97+(1-EXP(-LN(2)/2))/(LN(2)/2)*AQ98*AT98*VLOOKUP('Données projet'!$B$10,Paramètres!$A$1:$I$89,3,0)*0.475*44/12</f>
        <v>4.9803148927301181E-9</v>
      </c>
      <c r="AX98" s="21">
        <f t="shared" si="60"/>
        <v>4.3742580544591849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5.6843418860808015E-14</v>
      </c>
      <c r="BE98" s="13">
        <f>BD98*VLOOKUP('Données projet'!$B$11,Paramètres!$A$1:$I$89,3,0)*VLOOKUP('Données projet'!$B$11,Paramètres!$A$1:$I$89,5,0)</f>
        <v>4.6111381379887463E-14</v>
      </c>
      <c r="BF98" s="13">
        <f t="shared" si="91"/>
        <v>7.5804141040779151E-13</v>
      </c>
      <c r="BG98" s="20">
        <f t="shared" si="61"/>
        <v>1.4005661123635408E-12</v>
      </c>
      <c r="BH98" s="59">
        <f t="shared" si="62"/>
        <v>293.33333333333474</v>
      </c>
      <c r="BI98" s="59">
        <f ca="1">AVERAGE(OFFSET($BH$3,0,0,'Données projet'!$E$11+1,1))-AVERAGE(OFFSET($H$3,0,0,'Données projet'!$E$11+1,1))</f>
        <v>230.68538392491388</v>
      </c>
      <c r="BJ98" s="59">
        <f t="shared" si="92"/>
        <v>267.97457956620724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1.4030288675366924</v>
      </c>
      <c r="BR98" s="21">
        <f>EXP(-LN(2)/2)*BR97+(1-EXP(-LN(2)/2))/(LN(2)/2)*BL98*BO98*VLOOKUP('Données projet'!$B$11,Paramètres!$A$1:$I$89,3,0)*0.475*44/12</f>
        <v>1.8064813196760176E-9</v>
      </c>
      <c r="BS98" s="22">
        <f t="shared" si="63"/>
        <v>1.4030288693431738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3.7</v>
      </c>
      <c r="BY98" s="12">
        <f>IF('Données projet'!$A$114&gt;35,BY97+BX98-CG97,IF(A98&lt;'Données projet'!$A$114,$BV$205^A98,IF(A98='Données projet'!$A$114,'Données projet'!$B$114,BY97+BX98-CG97)))</f>
        <v>211.50000000000003</v>
      </c>
      <c r="BZ98" s="13">
        <f>BY98*VLOOKUP('Données projet'!$B$12,Paramètres!$A$1:$I$89,3,0)*VLOOKUP('Données projet'!$B$12,Paramètres!$A$1:$I$89,5,0)</f>
        <v>240.85620000000003</v>
      </c>
      <c r="CA98" s="13">
        <f t="shared" si="93"/>
        <v>58.623707885373882</v>
      </c>
      <c r="CB98" s="20">
        <f t="shared" si="64"/>
        <v>521.59417290035958</v>
      </c>
      <c r="CC98" s="59">
        <f t="shared" si="65"/>
        <v>814.92750623369284</v>
      </c>
      <c r="CD98" s="59">
        <f ca="1">AVERAGE(OFFSET($CC$3,0,0,'Données projet'!$E$12+1,1))-AVERAGE(OFFSET($H$3,0,0,'Données projet'!$E$12+1,1))</f>
        <v>242.1473060698724</v>
      </c>
      <c r="CE98" s="59">
        <f t="shared" si="94"/>
        <v>96.127995920458659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0</v>
      </c>
      <c r="CZ98" s="59">
        <f t="shared" si="96"/>
        <v>0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0</v>
      </c>
      <c r="DU98" s="59">
        <f t="shared" si="98"/>
        <v>0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1.3596945791505279E-13</v>
      </c>
      <c r="P99" s="13">
        <f t="shared" si="87"/>
        <v>1.9708830566360721E-12</v>
      </c>
      <c r="Q99" s="20">
        <f t="shared" ref="Q99:Q130" si="107">(O99+P99)*0.475*44/12</f>
        <v>3.669434796176543E-12</v>
      </c>
      <c r="R99" s="59">
        <f t="shared" si="55"/>
        <v>293.33333333333701</v>
      </c>
      <c r="S99" s="59">
        <f ca="1">AVERAGE(OFFSET($R$3,0,0,'Données projet'!$E$9+1,1))-AVERAGE(OFFSET($H$3,0,0,'Données projet'!$E$9+1,1))</f>
        <v>212.98969326021802</v>
      </c>
      <c r="T99" s="59">
        <f t="shared" si="88"/>
        <v>422.91218020922895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20.168768129921872</v>
      </c>
      <c r="AA99" s="21">
        <f>EXP(-LN(2)/25)*AA98+(1-EXP(-LN(2)/25))/(LN(2)/25)*Calculateur!V99*Calculateur!X99*VLOOKUP('Données projet'!$B$9,Paramètres!$A$1:$I$89,3,0)*0.475*44/12</f>
        <v>10.836106589680744</v>
      </c>
      <c r="AB99" s="21">
        <f>EXP(-LN(2)/2)*AB98+(1-EXP(-LN(2)/2))/(LN(2)/2)*V99*Y99*VLOOKUP('Données projet'!$B$9,Paramètres!$A$1:$I$89,3,0)*0.475*44/12</f>
        <v>5.9737142068349232E-8</v>
      </c>
      <c r="AC99" s="22">
        <f t="shared" si="57"/>
        <v>31.004874779339762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-7.9580786405131221E-13</v>
      </c>
      <c r="AJ99" s="13">
        <f>AI99*VLOOKUP('Données projet'!$B$10,Paramètres!$A$1:$I$89,3,0)*VLOOKUP('Données projet'!$B$10,Paramètres!$A$1:$I$89,5,0)</f>
        <v>-4.758931027026848E-13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318.09371753144256</v>
      </c>
      <c r="AO99" s="59">
        <f t="shared" si="90"/>
        <v>298.61479562586919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0.94669823328123781</v>
      </c>
      <c r="AV99" s="21">
        <f>EXP(-LN(2)/25)*AV98+(1-EXP(-LN(2)/25))/(LN(2)/25)*Calculateur!AQ99*Calculateur!AS99*VLOOKUP('Données projet'!$B$10,Paramètres!$A$1:$I$89,3,0)*0.475*44/12</f>
        <v>3.3154153163977282</v>
      </c>
      <c r="AW99" s="21">
        <f>EXP(-LN(2)/2)*AW98+(1-EXP(-LN(2)/2))/(LN(2)/2)*AQ99*AT99*VLOOKUP('Données projet'!$B$10,Paramètres!$A$1:$I$89,3,0)*0.475*44/12</f>
        <v>3.5216144330938196E-9</v>
      </c>
      <c r="AX99" s="21">
        <f t="shared" si="60"/>
        <v>4.2621135532005798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5.6843418860808015E-14</v>
      </c>
      <c r="BE99" s="13">
        <f>BD99*VLOOKUP('Données projet'!$B$11,Paramètres!$A$1:$I$89,3,0)*VLOOKUP('Données projet'!$B$11,Paramètres!$A$1:$I$89,5,0)</f>
        <v>4.6111381379887463E-14</v>
      </c>
      <c r="BF99" s="13">
        <f t="shared" si="91"/>
        <v>7.5804141040779151E-13</v>
      </c>
      <c r="BG99" s="20">
        <f t="shared" si="61"/>
        <v>1.4005661123635408E-12</v>
      </c>
      <c r="BH99" s="59">
        <f t="shared" si="62"/>
        <v>293.33333333333474</v>
      </c>
      <c r="BI99" s="59">
        <f ca="1">AVERAGE(OFFSET($BH$3,0,0,'Données projet'!$E$11+1,1))-AVERAGE(OFFSET($H$3,0,0,'Données projet'!$E$11+1,1))</f>
        <v>230.68538392491388</v>
      </c>
      <c r="BJ99" s="59">
        <f t="shared" si="92"/>
        <v>267.97457956620724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1.3646629693718202</v>
      </c>
      <c r="BR99" s="21">
        <f>EXP(-LN(2)/2)*BR98+(1-EXP(-LN(2)/2))/(LN(2)/2)*BL99*BO99*VLOOKUP('Données projet'!$B$11,Paramètres!$A$1:$I$89,3,0)*0.475*44/12</f>
        <v>1.2773751912297354E-9</v>
      </c>
      <c r="BS99" s="22">
        <f t="shared" si="63"/>
        <v>1.3646629706491953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3.7</v>
      </c>
      <c r="BY99" s="12">
        <f>IF('Données projet'!$A$114&gt;35,BY98+BX99-CG98,IF(A99&lt;'Données projet'!$A$114,$BV$205^A99,IF(A99='Données projet'!$A$114,'Données projet'!$B$114,BY98+BX99-CG98)))</f>
        <v>215.20000000000002</v>
      </c>
      <c r="BZ99" s="13">
        <f>BY99*VLOOKUP('Données projet'!$B$12,Paramètres!$A$1:$I$89,3,0)*VLOOKUP('Données projet'!$B$12,Paramètres!$A$1:$I$89,5,0)</f>
        <v>245.06976</v>
      </c>
      <c r="CA99" s="13">
        <f t="shared" si="93"/>
        <v>59.528983440819111</v>
      </c>
      <c r="CB99" s="20">
        <f t="shared" si="64"/>
        <v>530.50947815942664</v>
      </c>
      <c r="CC99" s="59">
        <f t="shared" si="65"/>
        <v>823.84281149275989</v>
      </c>
      <c r="CD99" s="59">
        <f ca="1">AVERAGE(OFFSET($CC$3,0,0,'Données projet'!$E$12+1,1))-AVERAGE(OFFSET($H$3,0,0,'Données projet'!$E$12+1,1))</f>
        <v>242.1473060698724</v>
      </c>
      <c r="CE99" s="59">
        <f t="shared" si="94"/>
        <v>96.127995920458659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0</v>
      </c>
      <c r="CZ99" s="59">
        <f t="shared" si="96"/>
        <v>0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0</v>
      </c>
      <c r="DU99" s="59">
        <f t="shared" si="98"/>
        <v>0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1.3596945791505279E-13</v>
      </c>
      <c r="P100" s="13">
        <f t="shared" si="87"/>
        <v>1.9708830566360721E-12</v>
      </c>
      <c r="Q100" s="20">
        <f t="shared" si="107"/>
        <v>3.669434796176543E-12</v>
      </c>
      <c r="R100" s="59">
        <f t="shared" si="55"/>
        <v>293.33333333333701</v>
      </c>
      <c r="S100" s="59">
        <f ca="1">AVERAGE(OFFSET($R$3,0,0,'Données projet'!$E$9+1,1))-AVERAGE(OFFSET($H$3,0,0,'Données projet'!$E$9+1,1))</f>
        <v>212.98969326021802</v>
      </c>
      <c r="T100" s="59">
        <f t="shared" si="88"/>
        <v>422.91218020922895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19.77327088862797</v>
      </c>
      <c r="AA100" s="21">
        <f>EXP(-LN(2)/25)*AA99+(1-EXP(-LN(2)/25))/(LN(2)/25)*Calculateur!V100*Calculateur!X100*VLOOKUP('Données projet'!$B$9,Paramètres!$A$1:$I$89,3,0)*0.475*44/12</f>
        <v>10.539792685139846</v>
      </c>
      <c r="AB100" s="21">
        <f>EXP(-LN(2)/2)*AB99+(1-EXP(-LN(2)/2))/(LN(2)/2)*V100*Y100*VLOOKUP('Données projet'!$B$9,Paramètres!$A$1:$I$89,3,0)*0.475*44/12</f>
        <v>4.2240538245233924E-8</v>
      </c>
      <c r="AC100" s="22">
        <f t="shared" si="57"/>
        <v>30.313063616008353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-7.9580786405131221E-13</v>
      </c>
      <c r="AJ100" s="13">
        <f>AI100*VLOOKUP('Données projet'!$B$10,Paramètres!$A$1:$I$89,3,0)*VLOOKUP('Données projet'!$B$10,Paramètres!$A$1:$I$89,5,0)</f>
        <v>-4.758931027026848E-13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318.09371753144256</v>
      </c>
      <c r="AO100" s="59">
        <f t="shared" si="90"/>
        <v>298.61479562586919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0.92813405835549867</v>
      </c>
      <c r="AV100" s="21">
        <f>EXP(-LN(2)/25)*AV99+(1-EXP(-LN(2)/25))/(LN(2)/25)*Calculateur!AQ100*Calculateur!AS100*VLOOKUP('Données projet'!$B$10,Paramètres!$A$1:$I$89,3,0)*0.475*44/12</f>
        <v>3.2247551102207184</v>
      </c>
      <c r="AW100" s="21">
        <f>EXP(-LN(2)/2)*AW99+(1-EXP(-LN(2)/2))/(LN(2)/2)*AQ100*AT100*VLOOKUP('Données projet'!$B$10,Paramètres!$A$1:$I$89,3,0)*0.475*44/12</f>
        <v>2.490157446365059E-9</v>
      </c>
      <c r="AX100" s="21">
        <f t="shared" si="60"/>
        <v>4.1528891710663745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5.6843418860808015E-14</v>
      </c>
      <c r="BE100" s="13">
        <f>BD100*VLOOKUP('Données projet'!$B$11,Paramètres!$A$1:$I$89,3,0)*VLOOKUP('Données projet'!$B$11,Paramètres!$A$1:$I$89,5,0)</f>
        <v>4.6111381379887463E-14</v>
      </c>
      <c r="BF100" s="13">
        <f t="shared" si="91"/>
        <v>7.5804141040779151E-13</v>
      </c>
      <c r="BG100" s="20">
        <f t="shared" si="61"/>
        <v>1.4005661123635408E-12</v>
      </c>
      <c r="BH100" s="59">
        <f t="shared" si="62"/>
        <v>293.33333333333474</v>
      </c>
      <c r="BI100" s="59">
        <f ca="1">AVERAGE(OFFSET($BH$3,0,0,'Données projet'!$E$11+1,1))-AVERAGE(OFFSET($H$3,0,0,'Données projet'!$E$11+1,1))</f>
        <v>230.68538392491388</v>
      </c>
      <c r="BJ100" s="59">
        <f t="shared" si="92"/>
        <v>267.97457956620724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1.3273461887098412</v>
      </c>
      <c r="BR100" s="21">
        <f>EXP(-LN(2)/2)*BR99+(1-EXP(-LN(2)/2))/(LN(2)/2)*BL100*BO100*VLOOKUP('Données projet'!$B$11,Paramètres!$A$1:$I$89,3,0)*0.475*44/12</f>
        <v>9.0324065983800879E-10</v>
      </c>
      <c r="BS100" s="22">
        <f t="shared" si="63"/>
        <v>1.3273461896130818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3.7</v>
      </c>
      <c r="BY100" s="12">
        <f>IF('Données projet'!$A$114&gt;35,BY99+BX100-CG99,IF(A100&lt;'Données projet'!$A$114,$BV$205^A100,IF(A100='Données projet'!$A$114,'Données projet'!$B$114,BY99+BX100-CG99)))</f>
        <v>218.9</v>
      </c>
      <c r="BZ100" s="13">
        <f>BY100*VLOOKUP('Données projet'!$B$12,Paramètres!$A$1:$I$89,3,0)*VLOOKUP('Données projet'!$B$12,Paramètres!$A$1:$I$89,5,0)</f>
        <v>249.28332</v>
      </c>
      <c r="CA100" s="13">
        <f t="shared" si="93"/>
        <v>60.432448984705822</v>
      </c>
      <c r="CB100" s="20">
        <f t="shared" si="64"/>
        <v>539.42163098169601</v>
      </c>
      <c r="CC100" s="59">
        <f t="shared" si="65"/>
        <v>832.75496431502938</v>
      </c>
      <c r="CD100" s="59">
        <f ca="1">AVERAGE(OFFSET($CC$3,0,0,'Données projet'!$E$12+1,1))-AVERAGE(OFFSET($H$3,0,0,'Données projet'!$E$12+1,1))</f>
        <v>242.1473060698724</v>
      </c>
      <c r="CE100" s="59">
        <f t="shared" si="94"/>
        <v>96.127995920458659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0</v>
      </c>
      <c r="CZ100" s="59">
        <f t="shared" si="96"/>
        <v>0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0</v>
      </c>
      <c r="DU100" s="59">
        <f t="shared" si="98"/>
        <v>0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1.3596945791505279E-13</v>
      </c>
      <c r="P101" s="13">
        <f t="shared" si="87"/>
        <v>1.9708830566360721E-12</v>
      </c>
      <c r="Q101" s="20">
        <f t="shared" si="107"/>
        <v>3.669434796176543E-12</v>
      </c>
      <c r="R101" s="59">
        <f t="shared" si="55"/>
        <v>293.33333333333701</v>
      </c>
      <c r="S101" s="59">
        <f ca="1">AVERAGE(OFFSET($R$3,0,0,'Données projet'!$E$9+1,1))-AVERAGE(OFFSET($H$3,0,0,'Données projet'!$E$9+1,1))</f>
        <v>212.98969326021802</v>
      </c>
      <c r="T101" s="59">
        <f t="shared" si="88"/>
        <v>422.91218020922895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19.385529107006342</v>
      </c>
      <c r="AA101" s="21">
        <f>EXP(-LN(2)/25)*AA100+(1-EXP(-LN(2)/25))/(LN(2)/25)*Calculateur!V101*Calculateur!X101*VLOOKUP('Données projet'!$B$9,Paramètres!$A$1:$I$89,3,0)*0.475*44/12</f>
        <v>10.251581499901087</v>
      </c>
      <c r="AB101" s="21">
        <f>EXP(-LN(2)/2)*AB100+(1-EXP(-LN(2)/2))/(LN(2)/2)*V101*Y101*VLOOKUP('Données projet'!$B$9,Paramètres!$A$1:$I$89,3,0)*0.475*44/12</f>
        <v>2.9868571034174616E-8</v>
      </c>
      <c r="AC101" s="22">
        <f t="shared" si="57"/>
        <v>29.637110636775997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-7.9580786405131221E-13</v>
      </c>
      <c r="AJ101" s="13">
        <f>AI101*VLOOKUP('Données projet'!$B$10,Paramètres!$A$1:$I$89,3,0)*VLOOKUP('Données projet'!$B$10,Paramètres!$A$1:$I$89,5,0)</f>
        <v>-4.758931027026848E-13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318.09371753144256</v>
      </c>
      <c r="AO101" s="59">
        <f t="shared" si="90"/>
        <v>298.61479562586919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0.90993391557702463</v>
      </c>
      <c r="AV101" s="21">
        <f>EXP(-LN(2)/25)*AV100+(1-EXP(-LN(2)/25))/(LN(2)/25)*Calculateur!AQ101*Calculateur!AS101*VLOOKUP('Données projet'!$B$10,Paramètres!$A$1:$I$89,3,0)*0.475*44/12</f>
        <v>3.1365740121492318</v>
      </c>
      <c r="AW101" s="21">
        <f>EXP(-LN(2)/2)*AW100+(1-EXP(-LN(2)/2))/(LN(2)/2)*AQ101*AT101*VLOOKUP('Données projet'!$B$10,Paramètres!$A$1:$I$89,3,0)*0.475*44/12</f>
        <v>1.7608072165469098E-9</v>
      </c>
      <c r="AX101" s="21">
        <f t="shared" si="60"/>
        <v>4.0465079294870643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5.6843418860808015E-14</v>
      </c>
      <c r="BE101" s="13">
        <f>BD101*VLOOKUP('Données projet'!$B$11,Paramètres!$A$1:$I$89,3,0)*VLOOKUP('Données projet'!$B$11,Paramètres!$A$1:$I$89,5,0)</f>
        <v>4.6111381379887463E-14</v>
      </c>
      <c r="BF101" s="13">
        <f t="shared" si="91"/>
        <v>7.5804141040779151E-13</v>
      </c>
      <c r="BG101" s="20">
        <f t="shared" si="61"/>
        <v>1.4005661123635408E-12</v>
      </c>
      <c r="BH101" s="59">
        <f t="shared" si="62"/>
        <v>293.33333333333474</v>
      </c>
      <c r="BI101" s="59">
        <f ca="1">AVERAGE(OFFSET($BH$3,0,0,'Données projet'!$E$11+1,1))-AVERAGE(OFFSET($H$3,0,0,'Données projet'!$E$11+1,1))</f>
        <v>230.68538392491388</v>
      </c>
      <c r="BJ101" s="59">
        <f t="shared" si="92"/>
        <v>267.97457956620724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1.2910498373774681</v>
      </c>
      <c r="BR101" s="21">
        <f>EXP(-LN(2)/2)*BR100+(1-EXP(-LN(2)/2))/(LN(2)/2)*BL101*BO101*VLOOKUP('Données projet'!$B$11,Paramètres!$A$1:$I$89,3,0)*0.475*44/12</f>
        <v>6.3868759561486768E-10</v>
      </c>
      <c r="BS101" s="22">
        <f t="shared" si="63"/>
        <v>1.2910498380161557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3.7</v>
      </c>
      <c r="BY101" s="12">
        <f>IF('Données projet'!$A$114&gt;35,BY100+BX101-CG100,IF(A101&lt;'Données projet'!$A$114,$BV$205^A101,IF(A101='Données projet'!$A$114,'Données projet'!$B$114,BY100+BX101-CG100)))</f>
        <v>222.6</v>
      </c>
      <c r="BZ101" s="13">
        <f>BY101*VLOOKUP('Données projet'!$B$12,Paramètres!$A$1:$I$89,3,0)*VLOOKUP('Données projet'!$B$12,Paramètres!$A$1:$I$89,5,0)</f>
        <v>253.49688</v>
      </c>
      <c r="CA101" s="13">
        <f t="shared" si="93"/>
        <v>61.334138641955136</v>
      </c>
      <c r="CB101" s="20">
        <f t="shared" si="64"/>
        <v>548.33069080140524</v>
      </c>
      <c r="CC101" s="59">
        <f t="shared" si="65"/>
        <v>841.66402413473861</v>
      </c>
      <c r="CD101" s="59">
        <f ca="1">AVERAGE(OFFSET($CC$3,0,0,'Données projet'!$E$12+1,1))-AVERAGE(OFFSET($H$3,0,0,'Données projet'!$E$12+1,1))</f>
        <v>242.1473060698724</v>
      </c>
      <c r="CE101" s="59">
        <f t="shared" si="94"/>
        <v>96.127995920458659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0</v>
      </c>
      <c r="CZ101" s="59">
        <f t="shared" si="96"/>
        <v>0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0</v>
      </c>
      <c r="DU101" s="59">
        <f t="shared" si="98"/>
        <v>0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1.3596945791505279E-13</v>
      </c>
      <c r="P102" s="13">
        <f t="shared" si="87"/>
        <v>1.9708830566360721E-12</v>
      </c>
      <c r="Q102" s="20">
        <f t="shared" si="107"/>
        <v>3.669434796176543E-12</v>
      </c>
      <c r="R102" s="59">
        <f t="shared" si="55"/>
        <v>293.33333333333701</v>
      </c>
      <c r="S102" s="59">
        <f ca="1">AVERAGE(OFFSET($R$3,0,0,'Données projet'!$E$9+1,1))-AVERAGE(OFFSET($H$3,0,0,'Données projet'!$E$9+1,1))</f>
        <v>212.98969326021802</v>
      </c>
      <c r="T102" s="59">
        <f t="shared" si="88"/>
        <v>422.91218020922895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19.005390705223178</v>
      </c>
      <c r="AA102" s="21">
        <f>EXP(-LN(2)/25)*AA101+(1-EXP(-LN(2)/25))/(LN(2)/25)*Calculateur!V102*Calculateur!X102*VLOOKUP('Données projet'!$B$9,Paramètres!$A$1:$I$89,3,0)*0.475*44/12</f>
        <v>9.9712514646790513</v>
      </c>
      <c r="AB102" s="21">
        <f>EXP(-LN(2)/2)*AB101+(1-EXP(-LN(2)/2))/(LN(2)/2)*V102*Y102*VLOOKUP('Données projet'!$B$9,Paramètres!$A$1:$I$89,3,0)*0.475*44/12</f>
        <v>2.1120269122616962E-8</v>
      </c>
      <c r="AC102" s="22">
        <f t="shared" si="57"/>
        <v>28.976642191022496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-7.9580786405131221E-13</v>
      </c>
      <c r="AJ102" s="13">
        <f>AI102*VLOOKUP('Données projet'!$B$10,Paramètres!$A$1:$I$89,3,0)*VLOOKUP('Données projet'!$B$10,Paramètres!$A$1:$I$89,5,0)</f>
        <v>-4.758931027026848E-13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318.09371753144256</v>
      </c>
      <c r="AO102" s="59">
        <f t="shared" si="90"/>
        <v>298.61479562586919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0.89209066649744551</v>
      </c>
      <c r="AV102" s="21">
        <f>EXP(-LN(2)/25)*AV101+(1-EXP(-LN(2)/25))/(LN(2)/25)*Calculateur!AQ102*Calculateur!AS102*VLOOKUP('Données projet'!$B$10,Paramètres!$A$1:$I$89,3,0)*0.475*44/12</f>
        <v>3.0508042308417527</v>
      </c>
      <c r="AW102" s="21">
        <f>EXP(-LN(2)/2)*AW101+(1-EXP(-LN(2)/2))/(LN(2)/2)*AQ102*AT102*VLOOKUP('Données projet'!$B$10,Paramètres!$A$1:$I$89,3,0)*0.475*44/12</f>
        <v>1.2450787231825295E-9</v>
      </c>
      <c r="AX102" s="21">
        <f t="shared" si="60"/>
        <v>3.9428948985842771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5.6843418860808015E-14</v>
      </c>
      <c r="BE102" s="13">
        <f>BD102*VLOOKUP('Données projet'!$B$11,Paramètres!$A$1:$I$89,3,0)*VLOOKUP('Données projet'!$B$11,Paramètres!$A$1:$I$89,5,0)</f>
        <v>4.6111381379887463E-14</v>
      </c>
      <c r="BF102" s="13">
        <f t="shared" si="91"/>
        <v>7.5804141040779151E-13</v>
      </c>
      <c r="BG102" s="20">
        <f t="shared" si="61"/>
        <v>1.4005661123635408E-12</v>
      </c>
      <c r="BH102" s="59">
        <f t="shared" si="62"/>
        <v>293.33333333333474</v>
      </c>
      <c r="BI102" s="59">
        <f ca="1">AVERAGE(OFFSET($BH$3,0,0,'Données projet'!$E$11+1,1))-AVERAGE(OFFSET($H$3,0,0,'Données projet'!$E$11+1,1))</f>
        <v>230.68538392491388</v>
      </c>
      <c r="BJ102" s="59">
        <f t="shared" si="92"/>
        <v>267.97457956620724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1.2557460116810211</v>
      </c>
      <c r="BR102" s="21">
        <f>EXP(-LN(2)/2)*BR101+(1-EXP(-LN(2)/2))/(LN(2)/2)*BL102*BO102*VLOOKUP('Données projet'!$B$11,Paramètres!$A$1:$I$89,3,0)*0.475*44/12</f>
        <v>4.516203299190044E-10</v>
      </c>
      <c r="BS102" s="22">
        <f t="shared" si="63"/>
        <v>1.2557460121326414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3.7</v>
      </c>
      <c r="BY102" s="12">
        <f>IF('Données projet'!$A$114&gt;35,BY101+BX102-CG101,IF(A102&lt;'Données projet'!$A$114,$BV$205^A102,IF(A102='Données projet'!$A$114,'Données projet'!$B$114,BY101+BX102-CG101)))</f>
        <v>226.29999999999998</v>
      </c>
      <c r="BZ102" s="13">
        <f>BY102*VLOOKUP('Données projet'!$B$12,Paramètres!$A$1:$I$89,3,0)*VLOOKUP('Données projet'!$B$12,Paramètres!$A$1:$I$89,5,0)</f>
        <v>257.71044000000001</v>
      </c>
      <c r="CA102" s="13">
        <f t="shared" si="93"/>
        <v>62.234085338028265</v>
      </c>
      <c r="CB102" s="20">
        <f t="shared" si="64"/>
        <v>557.23671496373254</v>
      </c>
      <c r="CC102" s="59">
        <f t="shared" si="65"/>
        <v>850.5700482970658</v>
      </c>
      <c r="CD102" s="59">
        <f ca="1">AVERAGE(OFFSET($CC$3,0,0,'Données projet'!$E$12+1,1))-AVERAGE(OFFSET($H$3,0,0,'Données projet'!$E$12+1,1))</f>
        <v>242.1473060698724</v>
      </c>
      <c r="CE102" s="59">
        <f t="shared" si="94"/>
        <v>96.127995920458659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0</v>
      </c>
      <c r="CZ102" s="59">
        <f t="shared" si="96"/>
        <v>0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0</v>
      </c>
      <c r="DU102" s="59">
        <f t="shared" si="98"/>
        <v>0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1.3596945791505279E-13</v>
      </c>
      <c r="P103" s="13">
        <f t="shared" si="87"/>
        <v>1.9708830566360721E-12</v>
      </c>
      <c r="Q103" s="20">
        <f t="shared" si="107"/>
        <v>3.669434796176543E-12</v>
      </c>
      <c r="R103" s="59">
        <f t="shared" si="55"/>
        <v>293.33333333333701</v>
      </c>
      <c r="S103" s="59">
        <f ca="1">AVERAGE(OFFSET($R$3,0,0,'Données projet'!$E$9+1,1))-AVERAGE(OFFSET($H$3,0,0,'Données projet'!$E$9+1,1))</f>
        <v>212.98969326021802</v>
      </c>
      <c r="T103" s="59">
        <f t="shared" si="88"/>
        <v>422.91218020922895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18.632706585637454</v>
      </c>
      <c r="AA103" s="21">
        <f>EXP(-LN(2)/25)*AA102+(1-EXP(-LN(2)/25))/(LN(2)/25)*Calculateur!V103*Calculateur!X103*VLOOKUP('Données projet'!$B$9,Paramètres!$A$1:$I$89,3,0)*0.475*44/12</f>
        <v>9.6985870690120777</v>
      </c>
      <c r="AB103" s="21">
        <f>EXP(-LN(2)/2)*AB102+(1-EXP(-LN(2)/2))/(LN(2)/2)*V103*Y103*VLOOKUP('Données projet'!$B$9,Paramètres!$A$1:$I$89,3,0)*0.475*44/12</f>
        <v>1.4934285517087308E-8</v>
      </c>
      <c r="AC103" s="22">
        <f t="shared" si="57"/>
        <v>28.331293669583818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-7.9580786405131221E-13</v>
      </c>
      <c r="AJ103" s="13">
        <f>AI103*VLOOKUP('Données projet'!$B$10,Paramètres!$A$1:$I$89,3,0)*VLOOKUP('Données projet'!$B$10,Paramètres!$A$1:$I$89,5,0)</f>
        <v>-4.758931027026848E-13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318.09371753144256</v>
      </c>
      <c r="AO103" s="59">
        <f t="shared" si="90"/>
        <v>298.61479562586919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0.87459731264900964</v>
      </c>
      <c r="AV103" s="21">
        <f>EXP(-LN(2)/25)*AV102+(1-EXP(-LN(2)/25))/(LN(2)/25)*Calculateur!AQ103*Calculateur!AS103*VLOOKUP('Données projet'!$B$10,Paramètres!$A$1:$I$89,3,0)*0.475*44/12</f>
        <v>2.967379828714563</v>
      </c>
      <c r="AW103" s="21">
        <f>EXP(-LN(2)/2)*AW102+(1-EXP(-LN(2)/2))/(LN(2)/2)*AQ103*AT103*VLOOKUP('Données projet'!$B$10,Paramètres!$A$1:$I$89,3,0)*0.475*44/12</f>
        <v>8.8040360827345489E-10</v>
      </c>
      <c r="AX103" s="21">
        <f t="shared" si="60"/>
        <v>3.8419771422439761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5.6843418860808015E-14</v>
      </c>
      <c r="BE103" s="13">
        <f>BD103*VLOOKUP('Données projet'!$B$11,Paramètres!$A$1:$I$89,3,0)*VLOOKUP('Données projet'!$B$11,Paramètres!$A$1:$I$89,5,0)</f>
        <v>4.6111381379887463E-14</v>
      </c>
      <c r="BF103" s="13">
        <f t="shared" si="91"/>
        <v>7.5804141040779151E-13</v>
      </c>
      <c r="BG103" s="20">
        <f t="shared" si="61"/>
        <v>1.4005661123635408E-12</v>
      </c>
      <c r="BH103" s="59">
        <f t="shared" si="62"/>
        <v>293.33333333333474</v>
      </c>
      <c r="BI103" s="59">
        <f ca="1">AVERAGE(OFFSET($BH$3,0,0,'Données projet'!$E$11+1,1))-AVERAGE(OFFSET($H$3,0,0,'Données projet'!$E$11+1,1))</f>
        <v>230.68538392491388</v>
      </c>
      <c r="BJ103" s="59">
        <f t="shared" si="92"/>
        <v>267.97457956620724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1.2214075709547909</v>
      </c>
      <c r="BR103" s="21">
        <f>EXP(-LN(2)/2)*BR102+(1-EXP(-LN(2)/2))/(LN(2)/2)*BL103*BO103*VLOOKUP('Données projet'!$B$11,Paramètres!$A$1:$I$89,3,0)*0.475*44/12</f>
        <v>3.1934379780743384E-10</v>
      </c>
      <c r="BS103" s="22">
        <f t="shared" si="63"/>
        <v>1.2214075712741348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230</v>
      </c>
      <c r="BW103" s="12">
        <f>VLOOKUP(A103,'Données projet'!$A$113:$I$133,9,0)</f>
        <v>3.7</v>
      </c>
      <c r="BX103" s="12">
        <f t="array" ref="BX103">INDEX(BW:BW,MIN(IF(ISNUMBER(BW103:BW299),ROW(BW103:BW299),"")))</f>
        <v>3.7</v>
      </c>
      <c r="BY103" s="12">
        <f>IF('Données projet'!$A$114&gt;35,BY102+BX103-CG102,IF(A103&lt;'Données projet'!$A$114,$BV$205^A103,IF(A103='Données projet'!$A$114,'Données projet'!$B$114,BY102+BX103-CG102)))</f>
        <v>229.99999999999997</v>
      </c>
      <c r="BZ103" s="13">
        <f>BY103*VLOOKUP('Données projet'!$B$12,Paramètres!$A$1:$I$89,3,0)*VLOOKUP('Données projet'!$B$12,Paramètres!$A$1:$I$89,5,0)</f>
        <v>261.92399999999998</v>
      </c>
      <c r="CA103" s="13">
        <f t="shared" si="93"/>
        <v>63.132320859995644</v>
      </c>
      <c r="CB103" s="20">
        <f t="shared" si="64"/>
        <v>566.13975883115904</v>
      </c>
      <c r="CC103" s="59">
        <f t="shared" si="65"/>
        <v>859.4730921644923</v>
      </c>
      <c r="CD103" s="59">
        <f ca="1">AVERAGE(OFFSET($CC$3,0,0,'Données projet'!$E$12+1,1))-AVERAGE(OFFSET($H$3,0,0,'Données projet'!$E$12+1,1))</f>
        <v>242.1473060698724</v>
      </c>
      <c r="CE103" s="59">
        <f t="shared" si="94"/>
        <v>96.127995920458659</v>
      </c>
      <c r="CF103" s="15">
        <f>IF(ISNA(VLOOKUP(A103,'Données projet'!$A$113:$I$133,3,0)),0,VLOOKUP(A103,'Données projet'!$A$113:$I$133,3,0))</f>
        <v>7</v>
      </c>
      <c r="CG103" s="15">
        <f>IF(ISNA(VLOOKUP(A103,'Données projet'!$A$113:$I$133,4,0)),0,VLOOKUP(A103,'Données projet'!$A$113:$I$133,4,0))</f>
        <v>28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0</v>
      </c>
      <c r="CZ103" s="59">
        <f t="shared" si="96"/>
        <v>0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0</v>
      </c>
      <c r="DU103" s="59">
        <f t="shared" si="98"/>
        <v>0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1.3596945791505279E-13</v>
      </c>
      <c r="P104" s="13">
        <f t="shared" si="87"/>
        <v>1.9708830566360721E-12</v>
      </c>
      <c r="Q104" s="20">
        <f t="shared" si="107"/>
        <v>3.669434796176543E-12</v>
      </c>
      <c r="R104" s="59">
        <f t="shared" si="55"/>
        <v>293.33333333333701</v>
      </c>
      <c r="S104" s="59">
        <f ca="1">AVERAGE(OFFSET($R$3,0,0,'Données projet'!$E$9+1,1))-AVERAGE(OFFSET($H$3,0,0,'Données projet'!$E$9+1,1))</f>
        <v>212.98969326021802</v>
      </c>
      <c r="T104" s="59">
        <f t="shared" si="88"/>
        <v>422.91218020922895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18.267330574321939</v>
      </c>
      <c r="AA104" s="21">
        <f>EXP(-LN(2)/25)*AA103+(1-EXP(-LN(2)/25))/(LN(2)/25)*Calculateur!V104*Calculateur!X104*VLOOKUP('Données projet'!$B$9,Paramètres!$A$1:$I$89,3,0)*0.475*44/12</f>
        <v>9.4333786955834142</v>
      </c>
      <c r="AB104" s="21">
        <f>EXP(-LN(2)/2)*AB103+(1-EXP(-LN(2)/2))/(LN(2)/2)*V104*Y104*VLOOKUP('Données projet'!$B$9,Paramètres!$A$1:$I$89,3,0)*0.475*44/12</f>
        <v>1.0560134561308481E-8</v>
      </c>
      <c r="AC104" s="22">
        <f t="shared" si="57"/>
        <v>27.700709280465489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-7.9580786405131221E-13</v>
      </c>
      <c r="AJ104" s="13">
        <f>AI104*VLOOKUP('Données projet'!$B$10,Paramètres!$A$1:$I$89,3,0)*VLOOKUP('Données projet'!$B$10,Paramètres!$A$1:$I$89,5,0)</f>
        <v>-4.758931027026848E-13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318.09371753144256</v>
      </c>
      <c r="AO104" s="59">
        <f t="shared" si="90"/>
        <v>298.61479562586919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0.85744699279964931</v>
      </c>
      <c r="AV104" s="21">
        <f>EXP(-LN(2)/25)*AV103+(1-EXP(-LN(2)/25))/(LN(2)/25)*Calculateur!AQ104*Calculateur!AS104*VLOOKUP('Données projet'!$B$10,Paramètres!$A$1:$I$89,3,0)*0.475*44/12</f>
        <v>2.8862366712506402</v>
      </c>
      <c r="AW104" s="21">
        <f>EXP(-LN(2)/2)*AW103+(1-EXP(-LN(2)/2))/(LN(2)/2)*AQ104*AT104*VLOOKUP('Données projet'!$B$10,Paramètres!$A$1:$I$89,3,0)*0.475*44/12</f>
        <v>6.2253936159126476E-10</v>
      </c>
      <c r="AX104" s="21">
        <f t="shared" si="60"/>
        <v>3.7436836646728286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5.6843418860808015E-14</v>
      </c>
      <c r="BE104" s="13">
        <f>BD104*VLOOKUP('Données projet'!$B$11,Paramètres!$A$1:$I$89,3,0)*VLOOKUP('Données projet'!$B$11,Paramètres!$A$1:$I$89,5,0)</f>
        <v>4.6111381379887463E-14</v>
      </c>
      <c r="BF104" s="13">
        <f t="shared" si="91"/>
        <v>7.5804141040779151E-13</v>
      </c>
      <c r="BG104" s="20">
        <f t="shared" si="61"/>
        <v>1.4005661123635408E-12</v>
      </c>
      <c r="BH104" s="59">
        <f t="shared" si="62"/>
        <v>293.33333333333474</v>
      </c>
      <c r="BI104" s="59">
        <f ca="1">AVERAGE(OFFSET($BH$3,0,0,'Données projet'!$E$11+1,1))-AVERAGE(OFFSET($H$3,0,0,'Données projet'!$E$11+1,1))</f>
        <v>230.68538392491388</v>
      </c>
      <c r="BJ104" s="59">
        <f t="shared" si="92"/>
        <v>267.97457956620724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1.1880081166959995</v>
      </c>
      <c r="BR104" s="21">
        <f>EXP(-LN(2)/2)*BR103+(1-EXP(-LN(2)/2))/(LN(2)/2)*BL104*BO104*VLOOKUP('Données projet'!$B$11,Paramètres!$A$1:$I$89,3,0)*0.475*44/12</f>
        <v>2.258101649595022E-10</v>
      </c>
      <c r="BS104" s="22">
        <f t="shared" si="63"/>
        <v>1.1880081169218097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3.1</v>
      </c>
      <c r="BY104" s="12">
        <f>IF('Données projet'!$A$114&gt;35,BY103+BX104-CG103,IF(A104&lt;'Données projet'!$A$114,$BV$205^A104,IF(A104='Données projet'!$A$114,'Données projet'!$B$114,BY103+BX104-CG103)))</f>
        <v>205.09999999999997</v>
      </c>
      <c r="BZ104" s="13">
        <f>BY104*VLOOKUP('Données projet'!$B$12,Paramètres!$A$1:$I$89,3,0)*VLOOKUP('Données projet'!$B$12,Paramètres!$A$1:$I$89,5,0)</f>
        <v>233.56787999999997</v>
      </c>
      <c r="CA104" s="13">
        <f t="shared" si="93"/>
        <v>57.053448096740226</v>
      </c>
      <c r="CB104" s="20">
        <f t="shared" si="64"/>
        <v>506.16547976848915</v>
      </c>
      <c r="CC104" s="59">
        <f t="shared" si="65"/>
        <v>799.49881310182241</v>
      </c>
      <c r="CD104" s="59">
        <f ca="1">AVERAGE(OFFSET($CC$3,0,0,'Données projet'!$E$12+1,1))-AVERAGE(OFFSET($H$3,0,0,'Données projet'!$E$12+1,1))</f>
        <v>242.1473060698724</v>
      </c>
      <c r="CE104" s="59">
        <f t="shared" si="94"/>
        <v>96.127995920458659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0</v>
      </c>
      <c r="CZ104" s="59">
        <f t="shared" si="96"/>
        <v>0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0</v>
      </c>
      <c r="DU104" s="59">
        <f t="shared" si="98"/>
        <v>0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1.3596945791505279E-13</v>
      </c>
      <c r="P105" s="13">
        <f t="shared" si="87"/>
        <v>1.9708830566360721E-12</v>
      </c>
      <c r="Q105" s="20">
        <f t="shared" si="107"/>
        <v>3.669434796176543E-12</v>
      </c>
      <c r="R105" s="59">
        <f t="shared" si="55"/>
        <v>293.33333333333701</v>
      </c>
      <c r="S105" s="59">
        <f ca="1">AVERAGE(OFFSET($R$3,0,0,'Données projet'!$E$9+1,1))-AVERAGE(OFFSET($H$3,0,0,'Données projet'!$E$9+1,1))</f>
        <v>212.98969326021802</v>
      </c>
      <c r="T105" s="59">
        <f t="shared" si="88"/>
        <v>422.91218020922895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17.909119363730959</v>
      </c>
      <c r="AA105" s="21">
        <f>EXP(-LN(2)/25)*AA104+(1-EXP(-LN(2)/25))/(LN(2)/25)*Calculateur!V105*Calculateur!X105*VLOOKUP('Données projet'!$B$9,Paramètres!$A$1:$I$89,3,0)*0.475*44/12</f>
        <v>9.1754224590728608</v>
      </c>
      <c r="AB105" s="21">
        <f>EXP(-LN(2)/2)*AB104+(1-EXP(-LN(2)/2))/(LN(2)/2)*V105*Y105*VLOOKUP('Données projet'!$B$9,Paramètres!$A$1:$I$89,3,0)*0.475*44/12</f>
        <v>7.467142758543654E-9</v>
      </c>
      <c r="AC105" s="22">
        <f t="shared" si="57"/>
        <v>27.084541830270965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-7.9580786405131221E-13</v>
      </c>
      <c r="AJ105" s="13">
        <f>AI105*VLOOKUP('Données projet'!$B$10,Paramètres!$A$1:$I$89,3,0)*VLOOKUP('Données projet'!$B$10,Paramètres!$A$1:$I$89,5,0)</f>
        <v>-4.758931027026848E-13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318.09371753144256</v>
      </c>
      <c r="AO105" s="59">
        <f t="shared" si="90"/>
        <v>298.61479562586919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0.84063298026187272</v>
      </c>
      <c r="AV105" s="21">
        <f>EXP(-LN(2)/25)*AV104+(1-EXP(-LN(2)/25))/(LN(2)/25)*Calculateur!AQ105*Calculateur!AS105*VLOOKUP('Données projet'!$B$10,Paramètres!$A$1:$I$89,3,0)*0.475*44/12</f>
        <v>2.8073123776947013</v>
      </c>
      <c r="AW105" s="21">
        <f>EXP(-LN(2)/2)*AW104+(1-EXP(-LN(2)/2))/(LN(2)/2)*AQ105*AT105*VLOOKUP('Données projet'!$B$10,Paramètres!$A$1:$I$89,3,0)*0.475*44/12</f>
        <v>4.4020180413672745E-10</v>
      </c>
      <c r="AX105" s="21">
        <f t="shared" si="60"/>
        <v>3.6479453583967758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5.6843418860808015E-14</v>
      </c>
      <c r="BE105" s="13">
        <f>BD105*VLOOKUP('Données projet'!$B$11,Paramètres!$A$1:$I$89,3,0)*VLOOKUP('Données projet'!$B$11,Paramètres!$A$1:$I$89,5,0)</f>
        <v>4.6111381379887463E-14</v>
      </c>
      <c r="BF105" s="13">
        <f t="shared" si="91"/>
        <v>7.5804141040779151E-13</v>
      </c>
      <c r="BG105" s="20">
        <f t="shared" si="61"/>
        <v>1.4005661123635408E-12</v>
      </c>
      <c r="BH105" s="59">
        <f t="shared" si="62"/>
        <v>293.33333333333474</v>
      </c>
      <c r="BI105" s="59">
        <f ca="1">AVERAGE(OFFSET($BH$3,0,0,'Données projet'!$E$11+1,1))-AVERAGE(OFFSET($H$3,0,0,'Données projet'!$E$11+1,1))</f>
        <v>230.68538392491388</v>
      </c>
      <c r="BJ105" s="59">
        <f t="shared" si="92"/>
        <v>267.97457956620724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1.1555219722703158</v>
      </c>
      <c r="BR105" s="21">
        <f>EXP(-LN(2)/2)*BR104+(1-EXP(-LN(2)/2))/(LN(2)/2)*BL105*BO105*VLOOKUP('Données projet'!$B$11,Paramètres!$A$1:$I$89,3,0)*0.475*44/12</f>
        <v>1.5967189890371692E-10</v>
      </c>
      <c r="BS105" s="22">
        <f t="shared" si="63"/>
        <v>1.1555219724299877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3.1</v>
      </c>
      <c r="BY105" s="12">
        <f>IF('Données projet'!$A$114&gt;35,BY104+BX105-CG104,IF(A105&lt;'Données projet'!$A$114,$BV$205^A105,IF(A105='Données projet'!$A$114,'Données projet'!$B$114,BY104+BX105-CG104)))</f>
        <v>208.19999999999996</v>
      </c>
      <c r="BZ105" s="13">
        <f>BY105*VLOOKUP('Données projet'!$B$12,Paramètres!$A$1:$I$89,3,0)*VLOOKUP('Données projet'!$B$12,Paramètres!$A$1:$I$89,5,0)</f>
        <v>237.09815999999995</v>
      </c>
      <c r="CA105" s="13">
        <f t="shared" si="93"/>
        <v>57.814744131423225</v>
      </c>
      <c r="CB105" s="20">
        <f t="shared" si="64"/>
        <v>513.63997469556193</v>
      </c>
      <c r="CC105" s="59">
        <f t="shared" si="65"/>
        <v>806.97330802889519</v>
      </c>
      <c r="CD105" s="59">
        <f ca="1">AVERAGE(OFFSET($CC$3,0,0,'Données projet'!$E$12+1,1))-AVERAGE(OFFSET($H$3,0,0,'Données projet'!$E$12+1,1))</f>
        <v>242.1473060698724</v>
      </c>
      <c r="CE105" s="59">
        <f t="shared" si="94"/>
        <v>96.127995920458659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0</v>
      </c>
      <c r="CZ105" s="59">
        <f t="shared" si="96"/>
        <v>0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0</v>
      </c>
      <c r="DU105" s="59">
        <f t="shared" si="98"/>
        <v>0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1.3596945791505279E-13</v>
      </c>
      <c r="P106" s="13">
        <f t="shared" si="87"/>
        <v>1.9708830566360721E-12</v>
      </c>
      <c r="Q106" s="20">
        <f t="shared" si="107"/>
        <v>3.669434796176543E-12</v>
      </c>
      <c r="R106" s="59">
        <f t="shared" si="55"/>
        <v>293.33333333333701</v>
      </c>
      <c r="S106" s="59">
        <f ca="1">AVERAGE(OFFSET($R$3,0,0,'Données projet'!$E$9+1,1))-AVERAGE(OFFSET($H$3,0,0,'Données projet'!$E$9+1,1))</f>
        <v>212.98969326021802</v>
      </c>
      <c r="T106" s="59">
        <f t="shared" si="88"/>
        <v>422.91218020922895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17.557932456492402</v>
      </c>
      <c r="AA106" s="21">
        <f>EXP(-LN(2)/25)*AA105+(1-EXP(-LN(2)/25))/(LN(2)/25)*Calculateur!V106*Calculateur!X106*VLOOKUP('Données projet'!$B$9,Paramètres!$A$1:$I$89,3,0)*0.475*44/12</f>
        <v>8.9245200494150172</v>
      </c>
      <c r="AB106" s="21">
        <f>EXP(-LN(2)/2)*AB105+(1-EXP(-LN(2)/2))/(LN(2)/2)*V106*Y106*VLOOKUP('Données projet'!$B$9,Paramètres!$A$1:$I$89,3,0)*0.475*44/12</f>
        <v>5.2800672806542405E-9</v>
      </c>
      <c r="AC106" s="22">
        <f t="shared" si="57"/>
        <v>26.482452511187486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-7.9580786405131221E-13</v>
      </c>
      <c r="AJ106" s="13">
        <f>AI106*VLOOKUP('Données projet'!$B$10,Paramètres!$A$1:$I$89,3,0)*VLOOKUP('Données projet'!$B$10,Paramètres!$A$1:$I$89,5,0)</f>
        <v>-4.758931027026848E-13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318.09371753144256</v>
      </c>
      <c r="AO106" s="59">
        <f t="shared" si="90"/>
        <v>298.61479562586919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0.82414868025442689</v>
      </c>
      <c r="AV106" s="21">
        <f>EXP(-LN(2)/25)*AV105+(1-EXP(-LN(2)/25))/(LN(2)/25)*Calculateur!AQ106*Calculateur!AS106*VLOOKUP('Données projet'!$B$10,Paramètres!$A$1:$I$89,3,0)*0.475*44/12</f>
        <v>2.7305462730964978</v>
      </c>
      <c r="AW106" s="21">
        <f>EXP(-LN(2)/2)*AW105+(1-EXP(-LN(2)/2))/(LN(2)/2)*AQ106*AT106*VLOOKUP('Données projet'!$B$10,Paramètres!$A$1:$I$89,3,0)*0.475*44/12</f>
        <v>3.1126968079563238E-10</v>
      </c>
      <c r="AX106" s="21">
        <f t="shared" si="60"/>
        <v>3.5546949536621946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5.6843418860808015E-14</v>
      </c>
      <c r="BE106" s="13">
        <f>BD106*VLOOKUP('Données projet'!$B$11,Paramètres!$A$1:$I$89,3,0)*VLOOKUP('Données projet'!$B$11,Paramètres!$A$1:$I$89,5,0)</f>
        <v>4.6111381379887463E-14</v>
      </c>
      <c r="BF106" s="13">
        <f t="shared" si="91"/>
        <v>7.5804141040779151E-13</v>
      </c>
      <c r="BG106" s="20">
        <f t="shared" si="61"/>
        <v>1.4005661123635408E-12</v>
      </c>
      <c r="BH106" s="59">
        <f t="shared" si="62"/>
        <v>293.33333333333474</v>
      </c>
      <c r="BI106" s="59">
        <f ca="1">AVERAGE(OFFSET($BH$3,0,0,'Données projet'!$E$11+1,1))-AVERAGE(OFFSET($H$3,0,0,'Données projet'!$E$11+1,1))</f>
        <v>230.68538392491388</v>
      </c>
      <c r="BJ106" s="59">
        <f t="shared" si="92"/>
        <v>267.97457956620724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1.1239241631723245</v>
      </c>
      <c r="BR106" s="21">
        <f>EXP(-LN(2)/2)*BR105+(1-EXP(-LN(2)/2))/(LN(2)/2)*BL106*BO106*VLOOKUP('Données projet'!$B$11,Paramètres!$A$1:$I$89,3,0)*0.475*44/12</f>
        <v>1.129050824797511E-10</v>
      </c>
      <c r="BS106" s="22">
        <f t="shared" si="63"/>
        <v>1.1239241632852295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3.1</v>
      </c>
      <c r="BY106" s="12">
        <f>IF('Données projet'!$A$114&gt;35,BY105+BX106-CG105,IF(A106&lt;'Données projet'!$A$114,$BV$205^A106,IF(A106='Données projet'!$A$114,'Données projet'!$B$114,BY105+BX106-CG105)))</f>
        <v>211.29999999999995</v>
      </c>
      <c r="BZ106" s="13">
        <f>BY106*VLOOKUP('Données projet'!$B$12,Paramètres!$A$1:$I$89,3,0)*VLOOKUP('Données projet'!$B$12,Paramètres!$A$1:$I$89,5,0)</f>
        <v>240.62843999999996</v>
      </c>
      <c r="CA106" s="13">
        <f t="shared" si="93"/>
        <v>58.574721823791833</v>
      </c>
      <c r="CB106" s="20">
        <f t="shared" si="64"/>
        <v>521.11217350977063</v>
      </c>
      <c r="CC106" s="59">
        <f t="shared" si="65"/>
        <v>814.44550684310389</v>
      </c>
      <c r="CD106" s="59">
        <f ca="1">AVERAGE(OFFSET($CC$3,0,0,'Données projet'!$E$12+1,1))-AVERAGE(OFFSET($H$3,0,0,'Données projet'!$E$12+1,1))</f>
        <v>242.1473060698724</v>
      </c>
      <c r="CE106" s="59">
        <f t="shared" si="94"/>
        <v>96.127995920458659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0</v>
      </c>
      <c r="CZ106" s="59">
        <f t="shared" si="96"/>
        <v>0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0</v>
      </c>
      <c r="DU106" s="59">
        <f t="shared" si="98"/>
        <v>0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1.3596945791505279E-13</v>
      </c>
      <c r="P107" s="13">
        <f t="shared" si="87"/>
        <v>1.9708830566360721E-12</v>
      </c>
      <c r="Q107" s="20">
        <f t="shared" si="107"/>
        <v>3.669434796176543E-12</v>
      </c>
      <c r="R107" s="59">
        <f t="shared" si="55"/>
        <v>293.33333333333701</v>
      </c>
      <c r="S107" s="59">
        <f ca="1">AVERAGE(OFFSET($R$3,0,0,'Données projet'!$E$9+1,1))-AVERAGE(OFFSET($H$3,0,0,'Données projet'!$E$9+1,1))</f>
        <v>212.98969326021802</v>
      </c>
      <c r="T107" s="59">
        <f t="shared" si="88"/>
        <v>422.91218020922895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17.21363211030193</v>
      </c>
      <c r="AA107" s="21">
        <f>EXP(-LN(2)/25)*AA106+(1-EXP(-LN(2)/25))/(LN(2)/25)*Calculateur!V107*Calculateur!X107*VLOOKUP('Données projet'!$B$9,Paramètres!$A$1:$I$89,3,0)*0.475*44/12</f>
        <v>8.6804785793436512</v>
      </c>
      <c r="AB107" s="21">
        <f>EXP(-LN(2)/2)*AB106+(1-EXP(-LN(2)/2))/(LN(2)/2)*V107*Y107*VLOOKUP('Données projet'!$B$9,Paramètres!$A$1:$I$89,3,0)*0.475*44/12</f>
        <v>3.733571379271827E-9</v>
      </c>
      <c r="AC107" s="22">
        <f t="shared" si="57"/>
        <v>25.894110693379151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-7.9580786405131221E-13</v>
      </c>
      <c r="AJ107" s="13">
        <f>AI107*VLOOKUP('Données projet'!$B$10,Paramètres!$A$1:$I$89,3,0)*VLOOKUP('Données projet'!$B$10,Paramètres!$A$1:$I$89,5,0)</f>
        <v>-4.758931027026848E-13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318.09371753144256</v>
      </c>
      <c r="AO107" s="59">
        <f t="shared" si="90"/>
        <v>298.61479562586919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0.80798762731569695</v>
      </c>
      <c r="AV107" s="21">
        <f>EXP(-LN(2)/25)*AV106+(1-EXP(-LN(2)/25))/(LN(2)/25)*Calculateur!AQ107*Calculateur!AS107*VLOOKUP('Données projet'!$B$10,Paramètres!$A$1:$I$89,3,0)*0.475*44/12</f>
        <v>2.6558793416654862</v>
      </c>
      <c r="AW107" s="21">
        <f>EXP(-LN(2)/2)*AW106+(1-EXP(-LN(2)/2))/(LN(2)/2)*AQ107*AT107*VLOOKUP('Données projet'!$B$10,Paramètres!$A$1:$I$89,3,0)*0.475*44/12</f>
        <v>2.2010090206836372E-10</v>
      </c>
      <c r="AX107" s="21">
        <f t="shared" si="60"/>
        <v>3.463866969201284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5.6843418860808015E-14</v>
      </c>
      <c r="BE107" s="13">
        <f>BD107*VLOOKUP('Données projet'!$B$11,Paramètres!$A$1:$I$89,3,0)*VLOOKUP('Données projet'!$B$11,Paramètres!$A$1:$I$89,5,0)</f>
        <v>4.6111381379887463E-14</v>
      </c>
      <c r="BF107" s="13">
        <f t="shared" si="91"/>
        <v>7.5804141040779151E-13</v>
      </c>
      <c r="BG107" s="20">
        <f t="shared" si="61"/>
        <v>1.4005661123635408E-12</v>
      </c>
      <c r="BH107" s="59">
        <f t="shared" si="62"/>
        <v>293.33333333333474</v>
      </c>
      <c r="BI107" s="59">
        <f ca="1">AVERAGE(OFFSET($BH$3,0,0,'Données projet'!$E$11+1,1))-AVERAGE(OFFSET($H$3,0,0,'Données projet'!$E$11+1,1))</f>
        <v>230.68538392491388</v>
      </c>
      <c r="BJ107" s="59">
        <f t="shared" si="92"/>
        <v>267.97457956620724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1.0931903978257742</v>
      </c>
      <c r="BR107" s="21">
        <f>EXP(-LN(2)/2)*BR106+(1-EXP(-LN(2)/2))/(LN(2)/2)*BL107*BO107*VLOOKUP('Données projet'!$B$11,Paramètres!$A$1:$I$89,3,0)*0.475*44/12</f>
        <v>7.983594945185846E-11</v>
      </c>
      <c r="BS107" s="22">
        <f t="shared" si="63"/>
        <v>1.0931903979056101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3.1</v>
      </c>
      <c r="BY107" s="12">
        <f>IF('Données projet'!$A$114&gt;35,BY106+BX107-CG106,IF(A107&lt;'Données projet'!$A$114,$BV$205^A107,IF(A107='Données projet'!$A$114,'Données projet'!$B$114,BY106+BX107-CG106)))</f>
        <v>214.39999999999995</v>
      </c>
      <c r="BZ107" s="13">
        <f>BY107*VLOOKUP('Données projet'!$B$12,Paramètres!$A$1:$I$89,3,0)*VLOOKUP('Données projet'!$B$12,Paramètres!$A$1:$I$89,5,0)</f>
        <v>244.15871999999996</v>
      </c>
      <c r="CA107" s="13">
        <f t="shared" si="93"/>
        <v>59.333402749839792</v>
      </c>
      <c r="CB107" s="20">
        <f t="shared" si="64"/>
        <v>528.58211378930412</v>
      </c>
      <c r="CC107" s="59">
        <f t="shared" si="65"/>
        <v>821.91544712263749</v>
      </c>
      <c r="CD107" s="59">
        <f ca="1">AVERAGE(OFFSET($CC$3,0,0,'Données projet'!$E$12+1,1))-AVERAGE(OFFSET($H$3,0,0,'Données projet'!$E$12+1,1))</f>
        <v>242.1473060698724</v>
      </c>
      <c r="CE107" s="59">
        <f t="shared" si="94"/>
        <v>96.127995920458659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0</v>
      </c>
      <c r="CZ107" s="59">
        <f t="shared" si="96"/>
        <v>0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0</v>
      </c>
      <c r="DU107" s="59">
        <f t="shared" si="98"/>
        <v>0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1.3596945791505279E-13</v>
      </c>
      <c r="P108" s="13">
        <f t="shared" si="87"/>
        <v>1.9708830566360721E-12</v>
      </c>
      <c r="Q108" s="20">
        <f t="shared" si="107"/>
        <v>3.669434796176543E-12</v>
      </c>
      <c r="R108" s="59">
        <f t="shared" si="55"/>
        <v>293.33333333333701</v>
      </c>
      <c r="S108" s="59">
        <f ca="1">AVERAGE(OFFSET($R$3,0,0,'Données projet'!$E$9+1,1))-AVERAGE(OFFSET($H$3,0,0,'Données projet'!$E$9+1,1))</f>
        <v>212.98969326021802</v>
      </c>
      <c r="T108" s="59">
        <f t="shared" si="88"/>
        <v>422.91218020922895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16.876083283897778</v>
      </c>
      <c r="AA108" s="21">
        <f>EXP(-LN(2)/25)*AA107+(1-EXP(-LN(2)/25))/(LN(2)/25)*Calculateur!V108*Calculateur!X108*VLOOKUP('Données projet'!$B$9,Paramètres!$A$1:$I$89,3,0)*0.475*44/12</f>
        <v>8.4431104361049698</v>
      </c>
      <c r="AB108" s="21">
        <f>EXP(-LN(2)/2)*AB107+(1-EXP(-LN(2)/2))/(LN(2)/2)*V108*Y108*VLOOKUP('Données projet'!$B$9,Paramètres!$A$1:$I$89,3,0)*0.475*44/12</f>
        <v>2.6400336403271203E-9</v>
      </c>
      <c r="AC108" s="22">
        <f t="shared" si="57"/>
        <v>25.31919372264278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-7.9580786405131221E-13</v>
      </c>
      <c r="AJ108" s="13">
        <f>AI108*VLOOKUP('Données projet'!$B$10,Paramètres!$A$1:$I$89,3,0)*VLOOKUP('Données projet'!$B$10,Paramètres!$A$1:$I$89,5,0)</f>
        <v>-4.758931027026848E-13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318.09371753144256</v>
      </c>
      <c r="AO108" s="59">
        <f t="shared" si="90"/>
        <v>298.61479562586919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0.79214348276782653</v>
      </c>
      <c r="AV108" s="21">
        <f>EXP(-LN(2)/25)*AV107+(1-EXP(-LN(2)/25))/(LN(2)/25)*Calculateur!AQ108*Calculateur!AS108*VLOOKUP('Données projet'!$B$10,Paramètres!$A$1:$I$89,3,0)*0.475*44/12</f>
        <v>2.5832541814010188</v>
      </c>
      <c r="AW108" s="21">
        <f>EXP(-LN(2)/2)*AW107+(1-EXP(-LN(2)/2))/(LN(2)/2)*AQ108*AT108*VLOOKUP('Données projet'!$B$10,Paramètres!$A$1:$I$89,3,0)*0.475*44/12</f>
        <v>1.5563484039781619E-10</v>
      </c>
      <c r="AX108" s="21">
        <f t="shared" si="60"/>
        <v>3.3753976643244803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5.6843418860808015E-14</v>
      </c>
      <c r="BE108" s="13">
        <f>BD108*VLOOKUP('Données projet'!$B$11,Paramètres!$A$1:$I$89,3,0)*VLOOKUP('Données projet'!$B$11,Paramètres!$A$1:$I$89,5,0)</f>
        <v>4.6111381379887463E-14</v>
      </c>
      <c r="BF108" s="13">
        <f t="shared" si="91"/>
        <v>7.5804141040779151E-13</v>
      </c>
      <c r="BG108" s="20">
        <f t="shared" si="61"/>
        <v>1.4005661123635408E-12</v>
      </c>
      <c r="BH108" s="59">
        <f t="shared" si="62"/>
        <v>293.33333333333474</v>
      </c>
      <c r="BI108" s="59">
        <f ca="1">AVERAGE(OFFSET($BH$3,0,0,'Données projet'!$E$11+1,1))-AVERAGE(OFFSET($H$3,0,0,'Données projet'!$E$11+1,1))</f>
        <v>230.68538392491388</v>
      </c>
      <c r="BJ108" s="59">
        <f t="shared" si="92"/>
        <v>267.97457956620724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1.0632970489088438</v>
      </c>
      <c r="BR108" s="21">
        <f>EXP(-LN(2)/2)*BR107+(1-EXP(-LN(2)/2))/(LN(2)/2)*BL108*BO108*VLOOKUP('Données projet'!$B$11,Paramètres!$A$1:$I$89,3,0)*0.475*44/12</f>
        <v>5.645254123987555E-11</v>
      </c>
      <c r="BS108" s="22">
        <f t="shared" si="63"/>
        <v>1.0632970489652964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3.1</v>
      </c>
      <c r="BY108" s="12">
        <f>IF('Données projet'!$A$114&gt;35,BY107+BX108-CG107,IF(A108&lt;'Données projet'!$A$114,$BV$205^A108,IF(A108='Données projet'!$A$114,'Données projet'!$B$114,BY107+BX108-CG107)))</f>
        <v>217.49999999999994</v>
      </c>
      <c r="BZ108" s="13">
        <f>BY108*VLOOKUP('Données projet'!$B$12,Paramètres!$A$1:$I$89,3,0)*VLOOKUP('Données projet'!$B$12,Paramètres!$A$1:$I$89,5,0)</f>
        <v>247.68899999999994</v>
      </c>
      <c r="CA108" s="13">
        <f t="shared" si="93"/>
        <v>60.090807825802337</v>
      </c>
      <c r="CB108" s="20">
        <f t="shared" si="64"/>
        <v>536.04983196327225</v>
      </c>
      <c r="CC108" s="59">
        <f t="shared" si="65"/>
        <v>829.38316529660551</v>
      </c>
      <c r="CD108" s="59">
        <f ca="1">AVERAGE(OFFSET($CC$3,0,0,'Données projet'!$E$12+1,1))-AVERAGE(OFFSET($H$3,0,0,'Données projet'!$E$12+1,1))</f>
        <v>242.1473060698724</v>
      </c>
      <c r="CE108" s="59">
        <f t="shared" si="94"/>
        <v>96.127995920458659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0</v>
      </c>
      <c r="CZ108" s="59">
        <f t="shared" si="96"/>
        <v>0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0</v>
      </c>
      <c r="DU108" s="59">
        <f t="shared" si="98"/>
        <v>0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1.3596945791505279E-13</v>
      </c>
      <c r="P109" s="13">
        <f t="shared" si="87"/>
        <v>1.9708830566360721E-12</v>
      </c>
      <c r="Q109" s="20">
        <f t="shared" si="107"/>
        <v>3.669434796176543E-12</v>
      </c>
      <c r="R109" s="59">
        <f t="shared" si="55"/>
        <v>293.33333333333701</v>
      </c>
      <c r="S109" s="59">
        <f ca="1">AVERAGE(OFFSET($R$3,0,0,'Données projet'!$E$9+1,1))-AVERAGE(OFFSET($H$3,0,0,'Données projet'!$E$9+1,1))</f>
        <v>212.98969326021802</v>
      </c>
      <c r="T109" s="59">
        <f t="shared" si="88"/>
        <v>422.91218020922895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16.545153584094958</v>
      </c>
      <c r="AA109" s="21">
        <f>EXP(-LN(2)/25)*AA108+(1-EXP(-LN(2)/25))/(LN(2)/25)*Calculateur!V109*Calculateur!X109*VLOOKUP('Données projet'!$B$9,Paramètres!$A$1:$I$89,3,0)*0.475*44/12</f>
        <v>8.2122331372257982</v>
      </c>
      <c r="AB109" s="21">
        <f>EXP(-LN(2)/2)*AB108+(1-EXP(-LN(2)/2))/(LN(2)/2)*V109*Y109*VLOOKUP('Données projet'!$B$9,Paramètres!$A$1:$I$89,3,0)*0.475*44/12</f>
        <v>1.8667856896359135E-9</v>
      </c>
      <c r="AC109" s="22">
        <f t="shared" si="57"/>
        <v>24.75738672318754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-7.9580786405131221E-13</v>
      </c>
      <c r="AJ109" s="13">
        <f>AI109*VLOOKUP('Données projet'!$B$10,Paramètres!$A$1:$I$89,3,0)*VLOOKUP('Données projet'!$B$10,Paramètres!$A$1:$I$89,5,0)</f>
        <v>-4.758931027026848E-13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318.09371753144256</v>
      </c>
      <c r="AO109" s="59">
        <f t="shared" si="90"/>
        <v>298.61479562586919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0.77661003223056591</v>
      </c>
      <c r="AV109" s="21">
        <f>EXP(-LN(2)/25)*AV108+(1-EXP(-LN(2)/25))/(LN(2)/25)*Calculateur!AQ109*Calculateur!AS109*VLOOKUP('Données projet'!$B$10,Paramètres!$A$1:$I$89,3,0)*0.475*44/12</f>
        <v>2.5126149599631749</v>
      </c>
      <c r="AW109" s="21">
        <f>EXP(-LN(2)/2)*AW108+(1-EXP(-LN(2)/2))/(LN(2)/2)*AQ109*AT109*VLOOKUP('Données projet'!$B$10,Paramètres!$A$1:$I$89,3,0)*0.475*44/12</f>
        <v>1.1005045103418186E-10</v>
      </c>
      <c r="AX109" s="21">
        <f t="shared" si="60"/>
        <v>3.2892249923037915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5.6843418860808015E-14</v>
      </c>
      <c r="BE109" s="13">
        <f>BD109*VLOOKUP('Données projet'!$B$11,Paramètres!$A$1:$I$89,3,0)*VLOOKUP('Données projet'!$B$11,Paramètres!$A$1:$I$89,5,0)</f>
        <v>4.6111381379887463E-14</v>
      </c>
      <c r="BF109" s="13">
        <f t="shared" si="91"/>
        <v>7.5804141040779151E-13</v>
      </c>
      <c r="BG109" s="20">
        <f t="shared" si="61"/>
        <v>1.4005661123635408E-12</v>
      </c>
      <c r="BH109" s="59">
        <f t="shared" si="62"/>
        <v>293.33333333333474</v>
      </c>
      <c r="BI109" s="59">
        <f ca="1">AVERAGE(OFFSET($BH$3,0,0,'Données projet'!$E$11+1,1))-AVERAGE(OFFSET($H$3,0,0,'Données projet'!$E$11+1,1))</f>
        <v>230.68538392491388</v>
      </c>
      <c r="BJ109" s="59">
        <f t="shared" si="92"/>
        <v>267.97457956620724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1.0342211351900699</v>
      </c>
      <c r="BR109" s="21">
        <f>EXP(-LN(2)/2)*BR108+(1-EXP(-LN(2)/2))/(LN(2)/2)*BL109*BO109*VLOOKUP('Données projet'!$B$11,Paramètres!$A$1:$I$89,3,0)*0.475*44/12</f>
        <v>3.991797472592923E-11</v>
      </c>
      <c r="BS109" s="22">
        <f t="shared" si="63"/>
        <v>1.0342211352299879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3.1</v>
      </c>
      <c r="BY109" s="12">
        <f>IF('Données projet'!$A$114&gt;35,BY108+BX109-CG108,IF(A109&lt;'Données projet'!$A$114,$BV$205^A109,IF(A109='Données projet'!$A$114,'Données projet'!$B$114,BY108+BX109-CG108)))</f>
        <v>220.59999999999994</v>
      </c>
      <c r="BZ109" s="13">
        <f>BY109*VLOOKUP('Données projet'!$B$12,Paramètres!$A$1:$I$89,3,0)*VLOOKUP('Données projet'!$B$12,Paramètres!$A$1:$I$89,5,0)</f>
        <v>251.21927999999994</v>
      </c>
      <c r="CA109" s="13">
        <f t="shared" si="93"/>
        <v>60.846957337440259</v>
      </c>
      <c r="CB109" s="20">
        <f t="shared" si="64"/>
        <v>543.51536336270829</v>
      </c>
      <c r="CC109" s="59">
        <f t="shared" si="65"/>
        <v>836.84869669604154</v>
      </c>
      <c r="CD109" s="59">
        <f ca="1">AVERAGE(OFFSET($CC$3,0,0,'Données projet'!$E$12+1,1))-AVERAGE(OFFSET($H$3,0,0,'Données projet'!$E$12+1,1))</f>
        <v>242.1473060698724</v>
      </c>
      <c r="CE109" s="59">
        <f t="shared" si="94"/>
        <v>96.127995920458659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0</v>
      </c>
      <c r="CZ109" s="59">
        <f t="shared" si="96"/>
        <v>0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0</v>
      </c>
      <c r="DU109" s="59">
        <f t="shared" si="98"/>
        <v>0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1.3596945791505279E-13</v>
      </c>
      <c r="P110" s="13">
        <f t="shared" si="87"/>
        <v>1.9708830566360721E-12</v>
      </c>
      <c r="Q110" s="20">
        <f t="shared" si="107"/>
        <v>3.669434796176543E-12</v>
      </c>
      <c r="R110" s="59">
        <f t="shared" si="55"/>
        <v>293.33333333333701</v>
      </c>
      <c r="S110" s="59">
        <f ca="1">AVERAGE(OFFSET($R$3,0,0,'Données projet'!$E$9+1,1))-AVERAGE(OFFSET($H$3,0,0,'Données projet'!$E$9+1,1))</f>
        <v>212.98969326021802</v>
      </c>
      <c r="T110" s="59">
        <f t="shared" si="88"/>
        <v>422.91218020922895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16.220713213858083</v>
      </c>
      <c r="AA110" s="21">
        <f>EXP(-LN(2)/25)*AA109+(1-EXP(-LN(2)/25))/(LN(2)/25)*Calculateur!V110*Calculateur!X110*VLOOKUP('Données projet'!$B$9,Paramètres!$A$1:$I$89,3,0)*0.475*44/12</f>
        <v>7.9876691902257875</v>
      </c>
      <c r="AB110" s="21">
        <f>EXP(-LN(2)/2)*AB109+(1-EXP(-LN(2)/2))/(LN(2)/2)*V110*Y110*VLOOKUP('Données projet'!$B$9,Paramètres!$A$1:$I$89,3,0)*0.475*44/12</f>
        <v>1.3200168201635601E-9</v>
      </c>
      <c r="AC110" s="22">
        <f t="shared" si="57"/>
        <v>24.208382405403889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-7.9580786405131221E-13</v>
      </c>
      <c r="AJ110" s="13">
        <f>AI110*VLOOKUP('Données projet'!$B$10,Paramètres!$A$1:$I$89,3,0)*VLOOKUP('Données projet'!$B$10,Paramètres!$A$1:$I$89,5,0)</f>
        <v>-4.758931027026848E-13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318.09371753144256</v>
      </c>
      <c r="AO110" s="59">
        <f t="shared" si="90"/>
        <v>298.61479562586919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0.7613811831838716</v>
      </c>
      <c r="AV110" s="21">
        <f>EXP(-LN(2)/25)*AV109+(1-EXP(-LN(2)/25))/(LN(2)/25)*Calculateur!AQ110*Calculateur!AS110*VLOOKUP('Données projet'!$B$10,Paramètres!$A$1:$I$89,3,0)*0.475*44/12</f>
        <v>2.4439073717503037</v>
      </c>
      <c r="AW110" s="21">
        <f>EXP(-LN(2)/2)*AW109+(1-EXP(-LN(2)/2))/(LN(2)/2)*AQ110*AT110*VLOOKUP('Données projet'!$B$10,Paramètres!$A$1:$I$89,3,0)*0.475*44/12</f>
        <v>7.7817420198908095E-11</v>
      </c>
      <c r="AX110" s="21">
        <f t="shared" si="60"/>
        <v>3.2052885550119927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5.6843418860808015E-14</v>
      </c>
      <c r="BE110" s="13">
        <f>BD110*VLOOKUP('Données projet'!$B$11,Paramètres!$A$1:$I$89,3,0)*VLOOKUP('Données projet'!$B$11,Paramètres!$A$1:$I$89,5,0)</f>
        <v>4.6111381379887463E-14</v>
      </c>
      <c r="BF110" s="13">
        <f t="shared" si="91"/>
        <v>7.5804141040779151E-13</v>
      </c>
      <c r="BG110" s="20">
        <f t="shared" si="61"/>
        <v>1.4005661123635408E-12</v>
      </c>
      <c r="BH110" s="59">
        <f t="shared" si="62"/>
        <v>293.33333333333474</v>
      </c>
      <c r="BI110" s="59">
        <f ca="1">AVERAGE(OFFSET($BH$3,0,0,'Données projet'!$E$11+1,1))-AVERAGE(OFFSET($H$3,0,0,'Données projet'!$E$11+1,1))</f>
        <v>230.68538392491388</v>
      </c>
      <c r="BJ110" s="59">
        <f t="shared" si="92"/>
        <v>267.97457956620724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1.0059403038609716</v>
      </c>
      <c r="BR110" s="21">
        <f>EXP(-LN(2)/2)*BR109+(1-EXP(-LN(2)/2))/(LN(2)/2)*BL110*BO110*VLOOKUP('Données projet'!$B$11,Paramètres!$A$1:$I$89,3,0)*0.475*44/12</f>
        <v>2.8226270619937775E-11</v>
      </c>
      <c r="BS110" s="22">
        <f t="shared" si="63"/>
        <v>1.0059403038891979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3.1</v>
      </c>
      <c r="BY110" s="12">
        <f>IF('Données projet'!$A$114&gt;35,BY109+BX110-CG109,IF(A110&lt;'Données projet'!$A$114,$BV$205^A110,IF(A110='Données projet'!$A$114,'Données projet'!$B$114,BY109+BX110-CG109)))</f>
        <v>223.69999999999993</v>
      </c>
      <c r="BZ110" s="13">
        <f>BY110*VLOOKUP('Données projet'!$B$12,Paramètres!$A$1:$I$89,3,0)*VLOOKUP('Données projet'!$B$12,Paramètres!$A$1:$I$89,5,0)</f>
        <v>254.74955999999995</v>
      </c>
      <c r="CA110" s="13">
        <f t="shared" si="93"/>
        <v>61.601870967631797</v>
      </c>
      <c r="CB110" s="20">
        <f t="shared" si="64"/>
        <v>550.9787422686253</v>
      </c>
      <c r="CC110" s="59">
        <f t="shared" si="65"/>
        <v>844.31207560195867</v>
      </c>
      <c r="CD110" s="59">
        <f ca="1">AVERAGE(OFFSET($CC$3,0,0,'Données projet'!$E$12+1,1))-AVERAGE(OFFSET($H$3,0,0,'Données projet'!$E$12+1,1))</f>
        <v>242.1473060698724</v>
      </c>
      <c r="CE110" s="59">
        <f t="shared" si="94"/>
        <v>96.127995920458659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0</v>
      </c>
      <c r="CZ110" s="59">
        <f t="shared" si="96"/>
        <v>0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0</v>
      </c>
      <c r="DU110" s="59">
        <f t="shared" si="98"/>
        <v>0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1.3596945791505279E-13</v>
      </c>
      <c r="P111" s="13">
        <f t="shared" si="87"/>
        <v>1.9708830566360721E-12</v>
      </c>
      <c r="Q111" s="20">
        <f t="shared" si="107"/>
        <v>3.669434796176543E-12</v>
      </c>
      <c r="R111" s="59">
        <f t="shared" si="55"/>
        <v>293.33333333333701</v>
      </c>
      <c r="S111" s="59">
        <f ca="1">AVERAGE(OFFSET($R$3,0,0,'Données projet'!$E$9+1,1))-AVERAGE(OFFSET($H$3,0,0,'Données projet'!$E$9+1,1))</f>
        <v>212.98969326021802</v>
      </c>
      <c r="T111" s="59">
        <f t="shared" si="88"/>
        <v>422.91218020922895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15.902634921392469</v>
      </c>
      <c r="AA111" s="21">
        <f>EXP(-LN(2)/25)*AA110+(1-EXP(-LN(2)/25))/(LN(2)/25)*Calculateur!V111*Calculateur!X111*VLOOKUP('Données projet'!$B$9,Paramètres!$A$1:$I$89,3,0)*0.475*44/12</f>
        <v>7.7692459561657969</v>
      </c>
      <c r="AB111" s="21">
        <f>EXP(-LN(2)/2)*AB110+(1-EXP(-LN(2)/2))/(LN(2)/2)*V111*Y111*VLOOKUP('Données projet'!$B$9,Paramètres!$A$1:$I$89,3,0)*0.475*44/12</f>
        <v>9.3339284481795676E-10</v>
      </c>
      <c r="AC111" s="22">
        <f t="shared" si="57"/>
        <v>23.67188087849166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-7.9580786405131221E-13</v>
      </c>
      <c r="AJ111" s="13">
        <f>AI111*VLOOKUP('Données projet'!$B$10,Paramètres!$A$1:$I$89,3,0)*VLOOKUP('Données projet'!$B$10,Paramètres!$A$1:$I$89,5,0)</f>
        <v>-4.758931027026848E-13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318.09371753144256</v>
      </c>
      <c r="AO111" s="59">
        <f t="shared" si="90"/>
        <v>298.61479562586919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0.74645096257830224</v>
      </c>
      <c r="AV111" s="21">
        <f>EXP(-LN(2)/25)*AV110+(1-EXP(-LN(2)/25))/(LN(2)/25)*Calculateur!AQ111*Calculateur!AS111*VLOOKUP('Données projet'!$B$10,Paramètres!$A$1:$I$89,3,0)*0.475*44/12</f>
        <v>2.3770785961502887</v>
      </c>
      <c r="AW111" s="21">
        <f>EXP(-LN(2)/2)*AW110+(1-EXP(-LN(2)/2))/(LN(2)/2)*AQ111*AT111*VLOOKUP('Données projet'!$B$10,Paramètres!$A$1:$I$89,3,0)*0.475*44/12</f>
        <v>5.5025225517090931E-11</v>
      </c>
      <c r="AX111" s="21">
        <f t="shared" si="60"/>
        <v>3.1235295587836163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5.6843418860808015E-14</v>
      </c>
      <c r="BE111" s="13">
        <f>BD111*VLOOKUP('Données projet'!$B$11,Paramètres!$A$1:$I$89,3,0)*VLOOKUP('Données projet'!$B$11,Paramètres!$A$1:$I$89,5,0)</f>
        <v>4.6111381379887463E-14</v>
      </c>
      <c r="BF111" s="13">
        <f t="shared" si="91"/>
        <v>7.5804141040779151E-13</v>
      </c>
      <c r="BG111" s="20">
        <f t="shared" si="61"/>
        <v>1.4005661123635408E-12</v>
      </c>
      <c r="BH111" s="59">
        <f t="shared" si="62"/>
        <v>293.33333333333474</v>
      </c>
      <c r="BI111" s="59">
        <f ca="1">AVERAGE(OFFSET($BH$3,0,0,'Données projet'!$E$11+1,1))-AVERAGE(OFFSET($H$3,0,0,'Données projet'!$E$11+1,1))</f>
        <v>230.68538392491388</v>
      </c>
      <c r="BJ111" s="59">
        <f t="shared" si="92"/>
        <v>267.97457956620724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0.97843281335179177</v>
      </c>
      <c r="BR111" s="21">
        <f>EXP(-LN(2)/2)*BR110+(1-EXP(-LN(2)/2))/(LN(2)/2)*BL111*BO111*VLOOKUP('Données projet'!$B$11,Paramètres!$A$1:$I$89,3,0)*0.475*44/12</f>
        <v>1.9958987362964615E-11</v>
      </c>
      <c r="BS111" s="22">
        <f t="shared" si="63"/>
        <v>0.97843281337175081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3.1</v>
      </c>
      <c r="BY111" s="12">
        <f>IF('Données projet'!$A$114&gt;35,BY110+BX111-CG110,IF(A111&lt;'Données projet'!$A$114,$BV$205^A111,IF(A111='Données projet'!$A$114,'Données projet'!$B$114,BY110+BX111-CG110)))</f>
        <v>226.79999999999993</v>
      </c>
      <c r="BZ111" s="13">
        <f>BY111*VLOOKUP('Données projet'!$B$12,Paramètres!$A$1:$I$89,3,0)*VLOOKUP('Données projet'!$B$12,Paramètres!$A$1:$I$89,5,0)</f>
        <v>258.27983999999992</v>
      </c>
      <c r="CA111" s="13">
        <f t="shared" si="93"/>
        <v>62.355567822391407</v>
      </c>
      <c r="CB111" s="20">
        <f t="shared" si="64"/>
        <v>558.44000195733156</v>
      </c>
      <c r="CC111" s="59">
        <f t="shared" si="65"/>
        <v>851.77333529066482</v>
      </c>
      <c r="CD111" s="59">
        <f ca="1">AVERAGE(OFFSET($CC$3,0,0,'Données projet'!$E$12+1,1))-AVERAGE(OFFSET($H$3,0,0,'Données projet'!$E$12+1,1))</f>
        <v>242.1473060698724</v>
      </c>
      <c r="CE111" s="59">
        <f t="shared" si="94"/>
        <v>96.127995920458659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0</v>
      </c>
      <c r="CZ111" s="59">
        <f t="shared" si="96"/>
        <v>0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0</v>
      </c>
      <c r="DU111" s="59">
        <f t="shared" si="98"/>
        <v>0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1.3596945791505279E-13</v>
      </c>
      <c r="P112" s="13">
        <f t="shared" si="87"/>
        <v>1.9708830566360721E-12</v>
      </c>
      <c r="Q112" s="20">
        <f t="shared" si="107"/>
        <v>3.669434796176543E-12</v>
      </c>
      <c r="R112" s="59">
        <f t="shared" si="55"/>
        <v>293.33333333333701</v>
      </c>
      <c r="S112" s="59">
        <f ca="1">AVERAGE(OFFSET($R$3,0,0,'Données projet'!$E$9+1,1))-AVERAGE(OFFSET($H$3,0,0,'Données projet'!$E$9+1,1))</f>
        <v>212.98969326021802</v>
      </c>
      <c r="T112" s="59">
        <f t="shared" si="88"/>
        <v>422.91218020922895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15.590793950233504</v>
      </c>
      <c r="AA112" s="21">
        <f>EXP(-LN(2)/25)*AA111+(1-EXP(-LN(2)/25))/(LN(2)/25)*Calculateur!V112*Calculateur!X112*VLOOKUP('Données projet'!$B$9,Paramètres!$A$1:$I$89,3,0)*0.475*44/12</f>
        <v>7.5567955169275551</v>
      </c>
      <c r="AB112" s="21">
        <f>EXP(-LN(2)/2)*AB111+(1-EXP(-LN(2)/2))/(LN(2)/2)*V112*Y112*VLOOKUP('Données projet'!$B$9,Paramètres!$A$1:$I$89,3,0)*0.475*44/12</f>
        <v>6.6000841008178007E-10</v>
      </c>
      <c r="AC112" s="22">
        <f t="shared" si="57"/>
        <v>23.147589467821067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-7.9580786405131221E-13</v>
      </c>
      <c r="AJ112" s="13">
        <f>AI112*VLOOKUP('Données projet'!$B$10,Paramètres!$A$1:$I$89,3,0)*VLOOKUP('Données projet'!$B$10,Paramètres!$A$1:$I$89,5,0)</f>
        <v>-4.758931027026848E-13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318.09371753144256</v>
      </c>
      <c r="AO112" s="59">
        <f t="shared" si="90"/>
        <v>298.61479562586919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0.73181351449227272</v>
      </c>
      <c r="AV112" s="21">
        <f>EXP(-LN(2)/25)*AV111+(1-EXP(-LN(2)/25))/(LN(2)/25)*Calculateur!AQ112*Calculateur!AS112*VLOOKUP('Données projet'!$B$10,Paramètres!$A$1:$I$89,3,0)*0.475*44/12</f>
        <v>2.3120772569334287</v>
      </c>
      <c r="AW112" s="21">
        <f>EXP(-LN(2)/2)*AW111+(1-EXP(-LN(2)/2))/(LN(2)/2)*AQ112*AT112*VLOOKUP('Données projet'!$B$10,Paramètres!$A$1:$I$89,3,0)*0.475*44/12</f>
        <v>3.8908710099454048E-11</v>
      </c>
      <c r="AX112" s="21">
        <f t="shared" si="60"/>
        <v>3.0438907714646102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5.6843418860808015E-14</v>
      </c>
      <c r="BE112" s="13">
        <f>BD112*VLOOKUP('Données projet'!$B$11,Paramètres!$A$1:$I$89,3,0)*VLOOKUP('Données projet'!$B$11,Paramètres!$A$1:$I$89,5,0)</f>
        <v>4.6111381379887463E-14</v>
      </c>
      <c r="BF112" s="13">
        <f t="shared" si="91"/>
        <v>7.5804141040779151E-13</v>
      </c>
      <c r="BG112" s="20">
        <f t="shared" si="61"/>
        <v>1.4005661123635408E-12</v>
      </c>
      <c r="BH112" s="59">
        <f t="shared" si="62"/>
        <v>293.33333333333474</v>
      </c>
      <c r="BI112" s="59">
        <f ca="1">AVERAGE(OFFSET($BH$3,0,0,'Données projet'!$E$11+1,1))-AVERAGE(OFFSET($H$3,0,0,'Données projet'!$E$11+1,1))</f>
        <v>230.68538392491388</v>
      </c>
      <c r="BJ112" s="59">
        <f t="shared" si="92"/>
        <v>267.97457956620724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0.95167751661714162</v>
      </c>
      <c r="BR112" s="21">
        <f>EXP(-LN(2)/2)*BR111+(1-EXP(-LN(2)/2))/(LN(2)/2)*BL112*BO112*VLOOKUP('Données projet'!$B$11,Paramètres!$A$1:$I$89,3,0)*0.475*44/12</f>
        <v>1.4113135309968887E-11</v>
      </c>
      <c r="BS112" s="22">
        <f t="shared" si="63"/>
        <v>0.95167751663125477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3.1</v>
      </c>
      <c r="BY112" s="12">
        <f>IF('Données projet'!$A$114&gt;35,BY111+BX112-CG111,IF(A112&lt;'Données projet'!$A$114,$BV$205^A112,IF(A112='Données projet'!$A$114,'Données projet'!$B$114,BY111+BX112-CG111)))</f>
        <v>229.89999999999992</v>
      </c>
      <c r="BZ112" s="13">
        <f>BY112*VLOOKUP('Données projet'!$B$12,Paramètres!$A$1:$I$89,3,0)*VLOOKUP('Données projet'!$B$12,Paramètres!$A$1:$I$89,5,0)</f>
        <v>261.81011999999993</v>
      </c>
      <c r="CA112" s="13">
        <f t="shared" si="93"/>
        <v>63.108066455425636</v>
      </c>
      <c r="CB112" s="20">
        <f t="shared" si="64"/>
        <v>565.89917474319952</v>
      </c>
      <c r="CC112" s="59">
        <f t="shared" si="65"/>
        <v>859.23250807653289</v>
      </c>
      <c r="CD112" s="59">
        <f ca="1">AVERAGE(OFFSET($CC$3,0,0,'Données projet'!$E$12+1,1))-AVERAGE(OFFSET($H$3,0,0,'Données projet'!$E$12+1,1))</f>
        <v>242.1473060698724</v>
      </c>
      <c r="CE112" s="59">
        <f t="shared" si="94"/>
        <v>96.127995920458659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0</v>
      </c>
      <c r="CZ112" s="59">
        <f t="shared" si="96"/>
        <v>0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0</v>
      </c>
      <c r="DU112" s="59">
        <f t="shared" si="98"/>
        <v>0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1.3596945791505279E-13</v>
      </c>
      <c r="P113" s="13">
        <f t="shared" si="87"/>
        <v>1.9708830566360721E-12</v>
      </c>
      <c r="Q113" s="20">
        <f t="shared" si="107"/>
        <v>3.669434796176543E-12</v>
      </c>
      <c r="R113" s="59">
        <f t="shared" si="55"/>
        <v>293.33333333333701</v>
      </c>
      <c r="S113" s="59">
        <f ca="1">AVERAGE(OFFSET($R$3,0,0,'Données projet'!$E$9+1,1))-AVERAGE(OFFSET($H$3,0,0,'Données projet'!$E$9+1,1))</f>
        <v>212.98969326021802</v>
      </c>
      <c r="T113" s="59">
        <f t="shared" si="88"/>
        <v>422.91218020922895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15.285067990314754</v>
      </c>
      <c r="AA113" s="21">
        <f>EXP(-LN(2)/25)*AA112+(1-EXP(-LN(2)/25))/(LN(2)/25)*Calculateur!V113*Calculateur!X113*VLOOKUP('Données projet'!$B$9,Paramètres!$A$1:$I$89,3,0)*0.475*44/12</f>
        <v>7.3501545461225666</v>
      </c>
      <c r="AB113" s="21">
        <f>EXP(-LN(2)/2)*AB112+(1-EXP(-LN(2)/2))/(LN(2)/2)*V113*Y113*VLOOKUP('Données projet'!$B$9,Paramètres!$A$1:$I$89,3,0)*0.475*44/12</f>
        <v>4.6669642240897838E-10</v>
      </c>
      <c r="AC113" s="22">
        <f t="shared" si="57"/>
        <v>22.635222536904017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-7.9580786405131221E-13</v>
      </c>
      <c r="AJ113" s="13">
        <f>AI113*VLOOKUP('Données projet'!$B$10,Paramètres!$A$1:$I$89,3,0)*VLOOKUP('Données projet'!$B$10,Paramètres!$A$1:$I$89,5,0)</f>
        <v>-4.758931027026848E-13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318.09371753144256</v>
      </c>
      <c r="AO113" s="59">
        <f t="shared" si="90"/>
        <v>298.61479562586919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0.71746309783524853</v>
      </c>
      <c r="AV113" s="21">
        <f>EXP(-LN(2)/25)*AV112+(1-EXP(-LN(2)/25))/(LN(2)/25)*Calculateur!AQ113*Calculateur!AS113*VLOOKUP('Données projet'!$B$10,Paramètres!$A$1:$I$89,3,0)*0.475*44/12</f>
        <v>2.2488533827557253</v>
      </c>
      <c r="AW113" s="21">
        <f>EXP(-LN(2)/2)*AW112+(1-EXP(-LN(2)/2))/(LN(2)/2)*AQ113*AT113*VLOOKUP('Données projet'!$B$10,Paramètres!$A$1:$I$89,3,0)*0.475*44/12</f>
        <v>2.7512612758545465E-11</v>
      </c>
      <c r="AX113" s="21">
        <f t="shared" si="60"/>
        <v>2.9663164806184867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5.6843418860808015E-14</v>
      </c>
      <c r="BE113" s="13">
        <f>BD113*VLOOKUP('Données projet'!$B$11,Paramètres!$A$1:$I$89,3,0)*VLOOKUP('Données projet'!$B$11,Paramètres!$A$1:$I$89,5,0)</f>
        <v>4.6111381379887463E-14</v>
      </c>
      <c r="BF113" s="13">
        <f t="shared" si="91"/>
        <v>7.5804141040779151E-13</v>
      </c>
      <c r="BG113" s="20">
        <f t="shared" si="61"/>
        <v>1.4005661123635408E-12</v>
      </c>
      <c r="BH113" s="59">
        <f t="shared" si="62"/>
        <v>293.33333333333474</v>
      </c>
      <c r="BI113" s="59">
        <f ca="1">AVERAGE(OFFSET($BH$3,0,0,'Données projet'!$E$11+1,1))-AVERAGE(OFFSET($H$3,0,0,'Données projet'!$E$11+1,1))</f>
        <v>230.68538392491388</v>
      </c>
      <c r="BJ113" s="59">
        <f t="shared" si="92"/>
        <v>267.97457956620724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0.92565384487870039</v>
      </c>
      <c r="BR113" s="21">
        <f>EXP(-LN(2)/2)*BR112+(1-EXP(-LN(2)/2))/(LN(2)/2)*BL113*BO113*VLOOKUP('Données projet'!$B$11,Paramètres!$A$1:$I$89,3,0)*0.475*44/12</f>
        <v>9.9794936814823075E-12</v>
      </c>
      <c r="BS113" s="22">
        <f t="shared" si="63"/>
        <v>0.92565384488867986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233</v>
      </c>
      <c r="BW113" s="12">
        <f>VLOOKUP(A113,'Données projet'!$A$113:$I$133,9,0)</f>
        <v>3.1</v>
      </c>
      <c r="BX113" s="12">
        <f t="array" ref="BX113">INDEX(BW:BW,MIN(IF(ISNUMBER(BW113:BW309),ROW(BW113:BW309),"")))</f>
        <v>3.1</v>
      </c>
      <c r="BY113" s="12">
        <f>IF('Données projet'!$A$114&gt;35,BY112+BX113-CG112,IF(A113&lt;'Données projet'!$A$114,$BV$205^A113,IF(A113='Données projet'!$A$114,'Données projet'!$B$114,BY112+BX113-CG112)))</f>
        <v>232.99999999999991</v>
      </c>
      <c r="BZ113" s="13">
        <f>BY113*VLOOKUP('Données projet'!$B$12,Paramètres!$A$1:$I$89,3,0)*VLOOKUP('Données projet'!$B$12,Paramètres!$A$1:$I$89,5,0)</f>
        <v>265.34039999999993</v>
      </c>
      <c r="CA113" s="13">
        <f t="shared" si="93"/>
        <v>63.85938489132635</v>
      </c>
      <c r="CB113" s="20">
        <f t="shared" si="64"/>
        <v>573.35629201905988</v>
      </c>
      <c r="CC113" s="59">
        <f t="shared" si="65"/>
        <v>866.68962535239325</v>
      </c>
      <c r="CD113" s="59">
        <f ca="1">AVERAGE(OFFSET($CC$3,0,0,'Données projet'!$E$12+1,1))-AVERAGE(OFFSET($H$3,0,0,'Données projet'!$E$12+1,1))</f>
        <v>242.1473060698724</v>
      </c>
      <c r="CE113" s="59">
        <f t="shared" si="94"/>
        <v>96.127995920458659</v>
      </c>
      <c r="CF113" s="15">
        <f>IF(ISNA(VLOOKUP(A113,'Données projet'!$A$113:$I$133,3,0)),0,VLOOKUP(A113,'Données projet'!$A$113:$I$133,3,0))</f>
        <v>8</v>
      </c>
      <c r="CG113" s="15">
        <f>IF(ISNA(VLOOKUP(A113,'Données projet'!$A$113:$I$133,4,0)),0,VLOOKUP(A113,'Données projet'!$A$113:$I$133,4,0))</f>
        <v>27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0</v>
      </c>
      <c r="CZ113" s="59">
        <f t="shared" si="96"/>
        <v>0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0</v>
      </c>
      <c r="DU113" s="59">
        <f t="shared" si="98"/>
        <v>0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1.3596945791505279E-13</v>
      </c>
      <c r="P114" s="13">
        <f t="shared" si="87"/>
        <v>1.9708830566360721E-12</v>
      </c>
      <c r="Q114" s="20">
        <f t="shared" si="107"/>
        <v>3.669434796176543E-12</v>
      </c>
      <c r="R114" s="59">
        <f t="shared" si="55"/>
        <v>293.33333333333701</v>
      </c>
      <c r="S114" s="59">
        <f ca="1">AVERAGE(OFFSET($R$3,0,0,'Données projet'!$E$9+1,1))-AVERAGE(OFFSET($H$3,0,0,'Données projet'!$E$9+1,1))</f>
        <v>212.98969326021802</v>
      </c>
      <c r="T114" s="59">
        <f t="shared" si="88"/>
        <v>422.91218020922895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14.985337129995589</v>
      </c>
      <c r="AA114" s="21">
        <f>EXP(-LN(2)/25)*AA113+(1-EXP(-LN(2)/25))/(LN(2)/25)*Calculateur!V114*Calculateur!X114*VLOOKUP('Données projet'!$B$9,Paramètres!$A$1:$I$89,3,0)*0.475*44/12</f>
        <v>7.149164183531016</v>
      </c>
      <c r="AB114" s="21">
        <f>EXP(-LN(2)/2)*AB113+(1-EXP(-LN(2)/2))/(LN(2)/2)*V114*Y114*VLOOKUP('Données projet'!$B$9,Paramètres!$A$1:$I$89,3,0)*0.475*44/12</f>
        <v>3.3000420504089003E-10</v>
      </c>
      <c r="AC114" s="22">
        <f t="shared" si="57"/>
        <v>22.13450131385661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-7.9580786405131221E-13</v>
      </c>
      <c r="AJ114" s="13">
        <f>AI114*VLOOKUP('Données projet'!$B$10,Paramètres!$A$1:$I$89,3,0)*VLOOKUP('Données projet'!$B$10,Paramètres!$A$1:$I$89,5,0)</f>
        <v>-4.758931027026848E-13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318.09371753144256</v>
      </c>
      <c r="AO114" s="59">
        <f t="shared" si="90"/>
        <v>298.61479562586919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0.7033940840959787</v>
      </c>
      <c r="AV114" s="21">
        <f>EXP(-LN(2)/25)*AV113+(1-EXP(-LN(2)/25))/(LN(2)/25)*Calculateur!AQ114*Calculateur!AS114*VLOOKUP('Données projet'!$B$10,Paramètres!$A$1:$I$89,3,0)*0.475*44/12</f>
        <v>2.1873583687422102</v>
      </c>
      <c r="AW114" s="21">
        <f>EXP(-LN(2)/2)*AW113+(1-EXP(-LN(2)/2))/(LN(2)/2)*AQ114*AT114*VLOOKUP('Données projet'!$B$10,Paramètres!$A$1:$I$89,3,0)*0.475*44/12</f>
        <v>1.9454355049727024E-11</v>
      </c>
      <c r="AX114" s="21">
        <f t="shared" si="60"/>
        <v>2.8907524528576434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5.6843418860808015E-14</v>
      </c>
      <c r="BE114" s="13">
        <f>BD114*VLOOKUP('Données projet'!$B$11,Paramètres!$A$1:$I$89,3,0)*VLOOKUP('Données projet'!$B$11,Paramètres!$A$1:$I$89,5,0)</f>
        <v>4.6111381379887463E-14</v>
      </c>
      <c r="BF114" s="13">
        <f t="shared" si="91"/>
        <v>7.5804141040779151E-13</v>
      </c>
      <c r="BG114" s="20">
        <f t="shared" si="61"/>
        <v>1.4005661123635408E-12</v>
      </c>
      <c r="BH114" s="59">
        <f t="shared" si="62"/>
        <v>293.33333333333474</v>
      </c>
      <c r="BI114" s="59">
        <f ca="1">AVERAGE(OFFSET($BH$3,0,0,'Données projet'!$E$11+1,1))-AVERAGE(OFFSET($H$3,0,0,'Données projet'!$E$11+1,1))</f>
        <v>230.68538392491388</v>
      </c>
      <c r="BJ114" s="59">
        <f t="shared" si="92"/>
        <v>267.97457956620724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0.9003417918124722</v>
      </c>
      <c r="BR114" s="21">
        <f>EXP(-LN(2)/2)*BR113+(1-EXP(-LN(2)/2))/(LN(2)/2)*BL114*BO114*VLOOKUP('Données projet'!$B$11,Paramètres!$A$1:$I$89,3,0)*0.475*44/12</f>
        <v>7.0565676549844437E-12</v>
      </c>
      <c r="BS114" s="22">
        <f t="shared" si="63"/>
        <v>0.90034179181952878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2.8</v>
      </c>
      <c r="BY114" s="12">
        <f>IF('Données projet'!$A$114&gt;35,BY113+BX114-CG113,IF(A114&lt;'Données projet'!$A$114,$BV$205^A114,IF(A114='Données projet'!$A$114,'Données projet'!$B$114,BY113+BX114-CG113)))</f>
        <v>208.79999999999993</v>
      </c>
      <c r="BZ114" s="13">
        <f>BY114*VLOOKUP('Données projet'!$B$12,Paramètres!$A$1:$I$89,3,0)*VLOOKUP('Données projet'!$B$12,Paramètres!$A$1:$I$89,5,0)</f>
        <v>237.78143999999992</v>
      </c>
      <c r="CA114" s="13">
        <f t="shared" si="93"/>
        <v>57.9619387969109</v>
      </c>
      <c r="CB114" s="20">
        <f t="shared" si="64"/>
        <v>515.08638473795293</v>
      </c>
      <c r="CC114" s="59">
        <f t="shared" si="65"/>
        <v>808.4197180712863</v>
      </c>
      <c r="CD114" s="59">
        <f ca="1">AVERAGE(OFFSET($CC$3,0,0,'Données projet'!$E$12+1,1))-AVERAGE(OFFSET($H$3,0,0,'Données projet'!$E$12+1,1))</f>
        <v>242.1473060698724</v>
      </c>
      <c r="CE114" s="59">
        <f t="shared" si="94"/>
        <v>96.127995920458659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0</v>
      </c>
      <c r="CZ114" s="59">
        <f t="shared" si="96"/>
        <v>0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0</v>
      </c>
      <c r="DU114" s="59">
        <f t="shared" si="98"/>
        <v>0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1.3596945791505279E-13</v>
      </c>
      <c r="P115" s="13">
        <f t="shared" si="87"/>
        <v>1.9708830566360721E-12</v>
      </c>
      <c r="Q115" s="20">
        <f t="shared" si="107"/>
        <v>3.669434796176543E-12</v>
      </c>
      <c r="R115" s="59">
        <f t="shared" si="55"/>
        <v>293.33333333333701</v>
      </c>
      <c r="S115" s="59">
        <f ca="1">AVERAGE(OFFSET($R$3,0,0,'Données projet'!$E$9+1,1))-AVERAGE(OFFSET($H$3,0,0,'Données projet'!$E$9+1,1))</f>
        <v>212.98969326021802</v>
      </c>
      <c r="T115" s="59">
        <f t="shared" si="88"/>
        <v>422.91218020922895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14.69148380902951</v>
      </c>
      <c r="AA115" s="21">
        <f>EXP(-LN(2)/25)*AA114+(1-EXP(-LN(2)/25))/(LN(2)/25)*Calculateur!V115*Calculateur!X115*VLOOKUP('Données projet'!$B$9,Paramètres!$A$1:$I$89,3,0)*0.475*44/12</f>
        <v>6.9536699129741555</v>
      </c>
      <c r="AB115" s="21">
        <f>EXP(-LN(2)/2)*AB114+(1-EXP(-LN(2)/2))/(LN(2)/2)*V115*Y115*VLOOKUP('Données projet'!$B$9,Paramètres!$A$1:$I$89,3,0)*0.475*44/12</f>
        <v>2.3334821120448919E-10</v>
      </c>
      <c r="AC115" s="22">
        <f t="shared" si="57"/>
        <v>21.645153722237016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-7.9580786405131221E-13</v>
      </c>
      <c r="AJ115" s="13">
        <f>AI115*VLOOKUP('Données projet'!$B$10,Paramètres!$A$1:$I$89,3,0)*VLOOKUP('Données projet'!$B$10,Paramètres!$A$1:$I$89,5,0)</f>
        <v>-4.758931027026848E-13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318.09371753144256</v>
      </c>
      <c r="AO115" s="59">
        <f t="shared" si="90"/>
        <v>298.61479562586919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0.68960095513488484</v>
      </c>
      <c r="AV115" s="21">
        <f>EXP(-LN(2)/25)*AV114+(1-EXP(-LN(2)/25))/(LN(2)/25)*Calculateur!AQ115*Calculateur!AS115*VLOOKUP('Données projet'!$B$10,Paramètres!$A$1:$I$89,3,0)*0.475*44/12</f>
        <v>2.127544939120777</v>
      </c>
      <c r="AW115" s="21">
        <f>EXP(-LN(2)/2)*AW114+(1-EXP(-LN(2)/2))/(LN(2)/2)*AQ115*AT115*VLOOKUP('Données projet'!$B$10,Paramètres!$A$1:$I$89,3,0)*0.475*44/12</f>
        <v>1.3756306379272733E-11</v>
      </c>
      <c r="AX115" s="21">
        <f t="shared" si="60"/>
        <v>2.8171458942694181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5.6843418860808015E-14</v>
      </c>
      <c r="BE115" s="13">
        <f>BD115*VLOOKUP('Données projet'!$B$11,Paramètres!$A$1:$I$89,3,0)*VLOOKUP('Données projet'!$B$11,Paramètres!$A$1:$I$89,5,0)</f>
        <v>4.6111381379887463E-14</v>
      </c>
      <c r="BF115" s="13">
        <f t="shared" si="91"/>
        <v>7.5804141040779151E-13</v>
      </c>
      <c r="BG115" s="20">
        <f t="shared" si="61"/>
        <v>1.4005661123635408E-12</v>
      </c>
      <c r="BH115" s="59">
        <f t="shared" si="62"/>
        <v>293.33333333333474</v>
      </c>
      <c r="BI115" s="59">
        <f ca="1">AVERAGE(OFFSET($BH$3,0,0,'Données projet'!$E$11+1,1))-AVERAGE(OFFSET($H$3,0,0,'Données projet'!$E$11+1,1))</f>
        <v>230.68538392491388</v>
      </c>
      <c r="BJ115" s="59">
        <f t="shared" si="92"/>
        <v>267.97457956620724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0.87572189816844304</v>
      </c>
      <c r="BR115" s="21">
        <f>EXP(-LN(2)/2)*BR114+(1-EXP(-LN(2)/2))/(LN(2)/2)*BL115*BO115*VLOOKUP('Données projet'!$B$11,Paramètres!$A$1:$I$89,3,0)*0.475*44/12</f>
        <v>4.9897468407411538E-12</v>
      </c>
      <c r="BS115" s="22">
        <f t="shared" si="63"/>
        <v>0.87572189817343282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2.8</v>
      </c>
      <c r="BY115" s="12">
        <f>IF('Données projet'!$A$114&gt;35,BY114+BX115-CG114,IF(A115&lt;'Données projet'!$A$114,$BV$205^A115,IF(A115='Données projet'!$A$114,'Données projet'!$B$114,BY114+BX115-CG114)))</f>
        <v>211.59999999999994</v>
      </c>
      <c r="BZ115" s="13">
        <f>BY115*VLOOKUP('Données projet'!$B$12,Paramètres!$A$1:$I$89,3,0)*VLOOKUP('Données projet'!$B$12,Paramètres!$A$1:$I$89,5,0)</f>
        <v>240.97007999999994</v>
      </c>
      <c r="CA115" s="13">
        <f t="shared" si="93"/>
        <v>58.648198893942364</v>
      </c>
      <c r="CB115" s="20">
        <f t="shared" si="64"/>
        <v>521.83516907361616</v>
      </c>
      <c r="CC115" s="59">
        <f t="shared" si="65"/>
        <v>815.16850240694953</v>
      </c>
      <c r="CD115" s="59">
        <f ca="1">AVERAGE(OFFSET($CC$3,0,0,'Données projet'!$E$12+1,1))-AVERAGE(OFFSET($H$3,0,0,'Données projet'!$E$12+1,1))</f>
        <v>242.1473060698724</v>
      </c>
      <c r="CE115" s="59">
        <f t="shared" si="94"/>
        <v>96.127995920458659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0</v>
      </c>
      <c r="CZ115" s="59">
        <f t="shared" si="96"/>
        <v>0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0</v>
      </c>
      <c r="DU115" s="59">
        <f t="shared" si="98"/>
        <v>0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1.3596945791505279E-13</v>
      </c>
      <c r="P116" s="13">
        <f t="shared" si="87"/>
        <v>1.9708830566360721E-12</v>
      </c>
      <c r="Q116" s="20">
        <f t="shared" si="107"/>
        <v>3.669434796176543E-12</v>
      </c>
      <c r="R116" s="59">
        <f t="shared" si="55"/>
        <v>293.33333333333701</v>
      </c>
      <c r="S116" s="59">
        <f ca="1">AVERAGE(OFFSET($R$3,0,0,'Données projet'!$E$9+1,1))-AVERAGE(OFFSET($H$3,0,0,'Données projet'!$E$9+1,1))</f>
        <v>212.98969326021802</v>
      </c>
      <c r="T116" s="59">
        <f t="shared" si="88"/>
        <v>422.91218020922895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14.403392772454747</v>
      </c>
      <c r="AA116" s="21">
        <f>EXP(-LN(2)/25)*AA115+(1-EXP(-LN(2)/25))/(LN(2)/25)*Calculateur!V116*Calculateur!X116*VLOOKUP('Données projet'!$B$9,Paramètres!$A$1:$I$89,3,0)*0.475*44/12</f>
        <v>6.7635214435262689</v>
      </c>
      <c r="AB116" s="21">
        <f>EXP(-LN(2)/2)*AB115+(1-EXP(-LN(2)/2))/(LN(2)/2)*V116*Y116*VLOOKUP('Données projet'!$B$9,Paramètres!$A$1:$I$89,3,0)*0.475*44/12</f>
        <v>1.6500210252044502E-10</v>
      </c>
      <c r="AC116" s="22">
        <f t="shared" si="57"/>
        <v>21.166914216146019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-7.9580786405131221E-13</v>
      </c>
      <c r="AJ116" s="13">
        <f>AI116*VLOOKUP('Données projet'!$B$10,Paramètres!$A$1:$I$89,3,0)*VLOOKUP('Données projet'!$B$10,Paramètres!$A$1:$I$89,5,0)</f>
        <v>-4.758931027026848E-13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318.09371753144256</v>
      </c>
      <c r="AO116" s="59">
        <f t="shared" si="90"/>
        <v>298.61479562586919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0.67607830101974009</v>
      </c>
      <c r="AV116" s="21">
        <f>EXP(-LN(2)/25)*AV115+(1-EXP(-LN(2)/25))/(LN(2)/25)*Calculateur!AQ116*Calculateur!AS116*VLOOKUP('Données projet'!$B$10,Paramètres!$A$1:$I$89,3,0)*0.475*44/12</f>
        <v>2.0693671108777938</v>
      </c>
      <c r="AW116" s="21">
        <f>EXP(-LN(2)/2)*AW115+(1-EXP(-LN(2)/2))/(LN(2)/2)*AQ116*AT116*VLOOKUP('Données projet'!$B$10,Paramètres!$A$1:$I$89,3,0)*0.475*44/12</f>
        <v>9.7271775248635119E-12</v>
      </c>
      <c r="AX116" s="21">
        <f t="shared" si="60"/>
        <v>2.7454454119072613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5.6843418860808015E-14</v>
      </c>
      <c r="BE116" s="13">
        <f>BD116*VLOOKUP('Données projet'!$B$11,Paramètres!$A$1:$I$89,3,0)*VLOOKUP('Données projet'!$B$11,Paramètres!$A$1:$I$89,5,0)</f>
        <v>4.6111381379887463E-14</v>
      </c>
      <c r="BF116" s="13">
        <f t="shared" si="91"/>
        <v>7.5804141040779151E-13</v>
      </c>
      <c r="BG116" s="20">
        <f t="shared" si="61"/>
        <v>1.4005661123635408E-12</v>
      </c>
      <c r="BH116" s="59">
        <f t="shared" si="62"/>
        <v>293.33333333333474</v>
      </c>
      <c r="BI116" s="59">
        <f ca="1">AVERAGE(OFFSET($BH$3,0,0,'Données projet'!$E$11+1,1))-AVERAGE(OFFSET($H$3,0,0,'Données projet'!$E$11+1,1))</f>
        <v>230.68538392491388</v>
      </c>
      <c r="BJ116" s="59">
        <f t="shared" si="92"/>
        <v>267.97457956620724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0.8517752368108138</v>
      </c>
      <c r="BR116" s="21">
        <f>EXP(-LN(2)/2)*BR115+(1-EXP(-LN(2)/2))/(LN(2)/2)*BL116*BO116*VLOOKUP('Données projet'!$B$11,Paramètres!$A$1:$I$89,3,0)*0.475*44/12</f>
        <v>3.5282838274922219E-12</v>
      </c>
      <c r="BS116" s="22">
        <f t="shared" si="63"/>
        <v>0.85177523681434208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2.8</v>
      </c>
      <c r="BY116" s="12">
        <f>IF('Données projet'!$A$114&gt;35,BY115+BX116-CG115,IF(A116&lt;'Données projet'!$A$114,$BV$205^A116,IF(A116='Données projet'!$A$114,'Données projet'!$B$114,BY115+BX116-CG115)))</f>
        <v>214.39999999999995</v>
      </c>
      <c r="BZ116" s="13">
        <f>BY116*VLOOKUP('Données projet'!$B$12,Paramètres!$A$1:$I$89,3,0)*VLOOKUP('Données projet'!$B$12,Paramètres!$A$1:$I$89,5,0)</f>
        <v>244.15871999999996</v>
      </c>
      <c r="CA116" s="13">
        <f t="shared" si="93"/>
        <v>59.333402749839792</v>
      </c>
      <c r="CB116" s="20">
        <f t="shared" si="64"/>
        <v>528.58211378930412</v>
      </c>
      <c r="CC116" s="59">
        <f t="shared" si="65"/>
        <v>821.91544712263749</v>
      </c>
      <c r="CD116" s="59">
        <f ca="1">AVERAGE(OFFSET($CC$3,0,0,'Données projet'!$E$12+1,1))-AVERAGE(OFFSET($H$3,0,0,'Données projet'!$E$12+1,1))</f>
        <v>242.1473060698724</v>
      </c>
      <c r="CE116" s="59">
        <f t="shared" si="94"/>
        <v>96.127995920458659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0</v>
      </c>
      <c r="CZ116" s="59">
        <f t="shared" si="96"/>
        <v>0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0</v>
      </c>
      <c r="DU116" s="59">
        <f t="shared" si="98"/>
        <v>0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1.3596945791505279E-13</v>
      </c>
      <c r="P117" s="13">
        <f t="shared" si="87"/>
        <v>1.9708830566360721E-12</v>
      </c>
      <c r="Q117" s="20">
        <f t="shared" si="107"/>
        <v>3.669434796176543E-12</v>
      </c>
      <c r="R117" s="59">
        <f t="shared" si="55"/>
        <v>293.33333333333701</v>
      </c>
      <c r="S117" s="59">
        <f ca="1">AVERAGE(OFFSET($R$3,0,0,'Données projet'!$E$9+1,1))-AVERAGE(OFFSET($H$3,0,0,'Données projet'!$E$9+1,1))</f>
        <v>212.98969326021802</v>
      </c>
      <c r="T117" s="59">
        <f t="shared" si="88"/>
        <v>422.91218020922895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14.120951025389035</v>
      </c>
      <c r="AA117" s="21">
        <f>EXP(-LN(2)/25)*AA116+(1-EXP(-LN(2)/25))/(LN(2)/25)*Calculateur!V117*Calculateur!X117*VLOOKUP('Données projet'!$B$9,Paramètres!$A$1:$I$89,3,0)*0.475*44/12</f>
        <v>6.5785725939749087</v>
      </c>
      <c r="AB117" s="21">
        <f>EXP(-LN(2)/2)*AB116+(1-EXP(-LN(2)/2))/(LN(2)/2)*V117*Y117*VLOOKUP('Données projet'!$B$9,Paramètres!$A$1:$I$89,3,0)*0.475*44/12</f>
        <v>1.1667410560224459E-10</v>
      </c>
      <c r="AC117" s="22">
        <f t="shared" si="57"/>
        <v>20.699523619480619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-7.9580786405131221E-13</v>
      </c>
      <c r="AJ117" s="13">
        <f>AI117*VLOOKUP('Données projet'!$B$10,Paramètres!$A$1:$I$89,3,0)*VLOOKUP('Données projet'!$B$10,Paramètres!$A$1:$I$89,5,0)</f>
        <v>-4.758931027026848E-13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318.09371753144256</v>
      </c>
      <c r="AO117" s="59">
        <f t="shared" si="90"/>
        <v>298.61479562586919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0.66282081790378877</v>
      </c>
      <c r="AV117" s="21">
        <f>EXP(-LN(2)/25)*AV116+(1-EXP(-LN(2)/25))/(LN(2)/25)*Calculateur!AQ117*Calculateur!AS117*VLOOKUP('Données projet'!$B$10,Paramètres!$A$1:$I$89,3,0)*0.475*44/12</f>
        <v>2.012780158407554</v>
      </c>
      <c r="AW117" s="21">
        <f>EXP(-LN(2)/2)*AW116+(1-EXP(-LN(2)/2))/(LN(2)/2)*AQ117*AT117*VLOOKUP('Données projet'!$B$10,Paramètres!$A$1:$I$89,3,0)*0.475*44/12</f>
        <v>6.8781531896363663E-12</v>
      </c>
      <c r="AX117" s="21">
        <f t="shared" si="60"/>
        <v>2.6756009763182207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5.6843418860808015E-14</v>
      </c>
      <c r="BE117" s="13">
        <f>BD117*VLOOKUP('Données projet'!$B$11,Paramètres!$A$1:$I$89,3,0)*VLOOKUP('Données projet'!$B$11,Paramètres!$A$1:$I$89,5,0)</f>
        <v>4.6111381379887463E-14</v>
      </c>
      <c r="BF117" s="13">
        <f t="shared" si="91"/>
        <v>7.5804141040779151E-13</v>
      </c>
      <c r="BG117" s="20">
        <f t="shared" si="61"/>
        <v>1.4005661123635408E-12</v>
      </c>
      <c r="BH117" s="59">
        <f t="shared" si="62"/>
        <v>293.33333333333474</v>
      </c>
      <c r="BI117" s="59">
        <f ca="1">AVERAGE(OFFSET($BH$3,0,0,'Données projet'!$E$11+1,1))-AVERAGE(OFFSET($H$3,0,0,'Données projet'!$E$11+1,1))</f>
        <v>230.68538392491388</v>
      </c>
      <c r="BJ117" s="59">
        <f t="shared" si="92"/>
        <v>267.97457956620724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0.82848339816730909</v>
      </c>
      <c r="BR117" s="21">
        <f>EXP(-LN(2)/2)*BR116+(1-EXP(-LN(2)/2))/(LN(2)/2)*BL117*BO117*VLOOKUP('Données projet'!$B$11,Paramètres!$A$1:$I$89,3,0)*0.475*44/12</f>
        <v>2.4948734203705769E-12</v>
      </c>
      <c r="BS117" s="22">
        <f t="shared" si="63"/>
        <v>0.82848339816980399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2.8</v>
      </c>
      <c r="BY117" s="12">
        <f>IF('Données projet'!$A$114&gt;35,BY116+BX117-CG116,IF(A117&lt;'Données projet'!$A$114,$BV$205^A117,IF(A117='Données projet'!$A$114,'Données projet'!$B$114,BY116+BX117-CG116)))</f>
        <v>217.19999999999996</v>
      </c>
      <c r="BZ117" s="13">
        <f>BY117*VLOOKUP('Données projet'!$B$12,Paramètres!$A$1:$I$89,3,0)*VLOOKUP('Données projet'!$B$12,Paramètres!$A$1:$I$89,5,0)</f>
        <v>247.34735999999992</v>
      </c>
      <c r="CA117" s="13">
        <f t="shared" si="93"/>
        <v>60.017565753622286</v>
      </c>
      <c r="CB117" s="20">
        <f t="shared" si="64"/>
        <v>535.32724568755873</v>
      </c>
      <c r="CC117" s="59">
        <f t="shared" si="65"/>
        <v>828.6605790208921</v>
      </c>
      <c r="CD117" s="59">
        <f ca="1">AVERAGE(OFFSET($CC$3,0,0,'Données projet'!$E$12+1,1))-AVERAGE(OFFSET($H$3,0,0,'Données projet'!$E$12+1,1))</f>
        <v>242.1473060698724</v>
      </c>
      <c r="CE117" s="59">
        <f t="shared" si="94"/>
        <v>96.127995920458659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0</v>
      </c>
      <c r="CZ117" s="59">
        <f t="shared" si="96"/>
        <v>0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0</v>
      </c>
      <c r="DU117" s="59">
        <f t="shared" si="98"/>
        <v>0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1.3596945791505279E-13</v>
      </c>
      <c r="P118" s="13">
        <f t="shared" si="87"/>
        <v>1.9708830566360721E-12</v>
      </c>
      <c r="Q118" s="20">
        <f t="shared" si="107"/>
        <v>3.669434796176543E-12</v>
      </c>
      <c r="R118" s="59">
        <f t="shared" si="55"/>
        <v>293.33333333333701</v>
      </c>
      <c r="S118" s="59">
        <f ca="1">AVERAGE(OFFSET($R$3,0,0,'Données projet'!$E$9+1,1))-AVERAGE(OFFSET($H$3,0,0,'Données projet'!$E$9+1,1))</f>
        <v>212.98969326021802</v>
      </c>
      <c r="T118" s="59">
        <f t="shared" si="88"/>
        <v>422.91218020922895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13.844047788710824</v>
      </c>
      <c r="AA118" s="21">
        <f>EXP(-LN(2)/25)*AA117+(1-EXP(-LN(2)/25))/(LN(2)/25)*Calculateur!V118*Calculateur!X118*VLOOKUP('Données projet'!$B$9,Paramètres!$A$1:$I$89,3,0)*0.475*44/12</f>
        <v>6.3986811804405672</v>
      </c>
      <c r="AB118" s="21">
        <f>EXP(-LN(2)/2)*AB117+(1-EXP(-LN(2)/2))/(LN(2)/2)*V118*Y118*VLOOKUP('Données projet'!$B$9,Paramètres!$A$1:$I$89,3,0)*0.475*44/12</f>
        <v>8.2501051260222508E-11</v>
      </c>
      <c r="AC118" s="22">
        <f t="shared" si="57"/>
        <v>20.242728969233895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-7.9580786405131221E-13</v>
      </c>
      <c r="AJ118" s="13">
        <f>AI118*VLOOKUP('Données projet'!$B$10,Paramètres!$A$1:$I$89,3,0)*VLOOKUP('Données projet'!$B$10,Paramètres!$A$1:$I$89,5,0)</f>
        <v>-4.758931027026848E-13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318.09371753144256</v>
      </c>
      <c r="AO118" s="59">
        <f t="shared" si="90"/>
        <v>298.61479562586919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0.64982330594547499</v>
      </c>
      <c r="AV118" s="21">
        <f>EXP(-LN(2)/25)*AV117+(1-EXP(-LN(2)/25))/(LN(2)/25)*Calculateur!AQ118*Calculateur!AS118*VLOOKUP('Données projet'!$B$10,Paramètres!$A$1:$I$89,3,0)*0.475*44/12</f>
        <v>1.9577405791283911</v>
      </c>
      <c r="AW118" s="21">
        <f>EXP(-LN(2)/2)*AW117+(1-EXP(-LN(2)/2))/(LN(2)/2)*AQ118*AT118*VLOOKUP('Données projet'!$B$10,Paramètres!$A$1:$I$89,3,0)*0.475*44/12</f>
        <v>4.863588762431756E-12</v>
      </c>
      <c r="AX118" s="21">
        <f t="shared" si="60"/>
        <v>2.6075638850787297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5.6843418860808015E-14</v>
      </c>
      <c r="BE118" s="13">
        <f>BD118*VLOOKUP('Données projet'!$B$11,Paramètres!$A$1:$I$89,3,0)*VLOOKUP('Données projet'!$B$11,Paramètres!$A$1:$I$89,5,0)</f>
        <v>4.6111381379887463E-14</v>
      </c>
      <c r="BF118" s="13">
        <f t="shared" si="91"/>
        <v>7.5804141040779151E-13</v>
      </c>
      <c r="BG118" s="20">
        <f t="shared" si="61"/>
        <v>1.4005661123635408E-12</v>
      </c>
      <c r="BH118" s="59">
        <f t="shared" si="62"/>
        <v>293.33333333333474</v>
      </c>
      <c r="BI118" s="59">
        <f ca="1">AVERAGE(OFFSET($BH$3,0,0,'Données projet'!$E$11+1,1))-AVERAGE(OFFSET($H$3,0,0,'Données projet'!$E$11+1,1))</f>
        <v>230.68538392491388</v>
      </c>
      <c r="BJ118" s="59">
        <f t="shared" si="92"/>
        <v>267.97457956620724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0.80582847607637564</v>
      </c>
      <c r="BR118" s="21">
        <f>EXP(-LN(2)/2)*BR117+(1-EXP(-LN(2)/2))/(LN(2)/2)*BL118*BO118*VLOOKUP('Données projet'!$B$11,Paramètres!$A$1:$I$89,3,0)*0.475*44/12</f>
        <v>1.7641419137461109E-12</v>
      </c>
      <c r="BS118" s="22">
        <f t="shared" si="63"/>
        <v>0.80582847607813979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2.8</v>
      </c>
      <c r="BY118" s="12">
        <f>IF('Données projet'!$A$114&gt;35,BY117+BX118-CG117,IF(A118&lt;'Données projet'!$A$114,$BV$205^A118,IF(A118='Données projet'!$A$114,'Données projet'!$B$114,BY117+BX118-CG117)))</f>
        <v>219.99999999999997</v>
      </c>
      <c r="BZ118" s="13">
        <f>BY118*VLOOKUP('Données projet'!$B$12,Paramètres!$A$1:$I$89,3,0)*VLOOKUP('Données projet'!$B$12,Paramètres!$A$1:$I$89,5,0)</f>
        <v>250.53599999999994</v>
      </c>
      <c r="CA118" s="13">
        <f t="shared" si="93"/>
        <v>60.700702874726744</v>
      </c>
      <c r="CB118" s="20">
        <f t="shared" si="64"/>
        <v>542.07059084014895</v>
      </c>
      <c r="CC118" s="59">
        <f t="shared" si="65"/>
        <v>835.40392417348221</v>
      </c>
      <c r="CD118" s="59">
        <f ca="1">AVERAGE(OFFSET($CC$3,0,0,'Données projet'!$E$12+1,1))-AVERAGE(OFFSET($H$3,0,0,'Données projet'!$E$12+1,1))</f>
        <v>242.1473060698724</v>
      </c>
      <c r="CE118" s="59">
        <f t="shared" si="94"/>
        <v>96.127995920458659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0</v>
      </c>
      <c r="CZ118" s="59">
        <f t="shared" si="96"/>
        <v>0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0</v>
      </c>
      <c r="DU118" s="59">
        <f t="shared" si="98"/>
        <v>0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1.3596945791505279E-13</v>
      </c>
      <c r="P119" s="13">
        <f t="shared" si="87"/>
        <v>1.9708830566360721E-12</v>
      </c>
      <c r="Q119" s="20">
        <f t="shared" si="107"/>
        <v>3.669434796176543E-12</v>
      </c>
      <c r="R119" s="59">
        <f t="shared" si="55"/>
        <v>293.33333333333701</v>
      </c>
      <c r="S119" s="59">
        <f ca="1">AVERAGE(OFFSET($R$3,0,0,'Données projet'!$E$9+1,1))-AVERAGE(OFFSET($H$3,0,0,'Données projet'!$E$9+1,1))</f>
        <v>212.98969326021802</v>
      </c>
      <c r="T119" s="59">
        <f t="shared" si="88"/>
        <v>422.91218020922895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13.572574455609576</v>
      </c>
      <c r="AA119" s="21">
        <f>EXP(-LN(2)/25)*AA118+(1-EXP(-LN(2)/25))/(LN(2)/25)*Calculateur!V119*Calculateur!X119*VLOOKUP('Données projet'!$B$9,Paramètres!$A$1:$I$89,3,0)*0.475*44/12</f>
        <v>6.2237089070694012</v>
      </c>
      <c r="AB119" s="21">
        <f>EXP(-LN(2)/2)*AB118+(1-EXP(-LN(2)/2))/(LN(2)/2)*V119*Y119*VLOOKUP('Données projet'!$B$9,Paramètres!$A$1:$I$89,3,0)*0.475*44/12</f>
        <v>5.8337052801122297E-11</v>
      </c>
      <c r="AC119" s="22">
        <f t="shared" si="57"/>
        <v>19.796283362737313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-7.9580786405131221E-13</v>
      </c>
      <c r="AJ119" s="13">
        <f>AI119*VLOOKUP('Données projet'!$B$10,Paramètres!$A$1:$I$89,3,0)*VLOOKUP('Données projet'!$B$10,Paramètres!$A$1:$I$89,5,0)</f>
        <v>-4.758931027026848E-13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318.09371753144256</v>
      </c>
      <c r="AO119" s="59">
        <f t="shared" si="90"/>
        <v>298.61479562586919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0.63708066726896428</v>
      </c>
      <c r="AV119" s="21">
        <f>EXP(-LN(2)/25)*AV118+(1-EXP(-LN(2)/25))/(LN(2)/25)*Calculateur!AQ119*Calculateur!AS119*VLOOKUP('Données projet'!$B$10,Paramètres!$A$1:$I$89,3,0)*0.475*44/12</f>
        <v>1.9042060600390227</v>
      </c>
      <c r="AW119" s="21">
        <f>EXP(-LN(2)/2)*AW118+(1-EXP(-LN(2)/2))/(LN(2)/2)*AQ119*AT119*VLOOKUP('Données projet'!$B$10,Paramètres!$A$1:$I$89,3,0)*0.475*44/12</f>
        <v>3.4390765948181832E-12</v>
      </c>
      <c r="AX119" s="21">
        <f t="shared" si="60"/>
        <v>2.5412867273114261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5.6843418860808015E-14</v>
      </c>
      <c r="BE119" s="13">
        <f>BD119*VLOOKUP('Données projet'!$B$11,Paramètres!$A$1:$I$89,3,0)*VLOOKUP('Données projet'!$B$11,Paramètres!$A$1:$I$89,5,0)</f>
        <v>4.6111381379887463E-14</v>
      </c>
      <c r="BF119" s="13">
        <f t="shared" si="91"/>
        <v>7.5804141040779151E-13</v>
      </c>
      <c r="BG119" s="20">
        <f t="shared" si="61"/>
        <v>1.4005661123635408E-12</v>
      </c>
      <c r="BH119" s="59">
        <f t="shared" si="62"/>
        <v>293.33333333333474</v>
      </c>
      <c r="BI119" s="59">
        <f ca="1">AVERAGE(OFFSET($BH$3,0,0,'Données projet'!$E$11+1,1))-AVERAGE(OFFSET($H$3,0,0,'Données projet'!$E$11+1,1))</f>
        <v>230.68538392491388</v>
      </c>
      <c r="BJ119" s="59">
        <f t="shared" si="92"/>
        <v>267.97457956620724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0.78379305402138932</v>
      </c>
      <c r="BR119" s="21">
        <f>EXP(-LN(2)/2)*BR118+(1-EXP(-LN(2)/2))/(LN(2)/2)*BL119*BO119*VLOOKUP('Données projet'!$B$11,Paramètres!$A$1:$I$89,3,0)*0.475*44/12</f>
        <v>1.2474367101852884E-12</v>
      </c>
      <c r="BS119" s="22">
        <f t="shared" si="63"/>
        <v>0.78379305402263677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2.8</v>
      </c>
      <c r="BY119" s="12">
        <f>IF('Données projet'!$A$114&gt;35,BY118+BX119-CG118,IF(A119&lt;'Données projet'!$A$114,$BV$205^A119,IF(A119='Données projet'!$A$114,'Données projet'!$B$114,BY118+BX119-CG118)))</f>
        <v>222.79999999999998</v>
      </c>
      <c r="BZ119" s="13">
        <f>BY119*VLOOKUP('Données projet'!$B$12,Paramètres!$A$1:$I$89,3,0)*VLOOKUP('Données projet'!$B$12,Paramètres!$A$1:$I$89,5,0)</f>
        <v>253.72463999999997</v>
      </c>
      <c r="CA119" s="13">
        <f t="shared" si="93"/>
        <v>61.382828679639545</v>
      </c>
      <c r="CB119" s="20">
        <f t="shared" si="64"/>
        <v>548.81217461703875</v>
      </c>
      <c r="CC119" s="59">
        <f t="shared" si="65"/>
        <v>842.14550795037212</v>
      </c>
      <c r="CD119" s="59">
        <f ca="1">AVERAGE(OFFSET($CC$3,0,0,'Données projet'!$E$12+1,1))-AVERAGE(OFFSET($H$3,0,0,'Données projet'!$E$12+1,1))</f>
        <v>242.1473060698724</v>
      </c>
      <c r="CE119" s="59">
        <f t="shared" si="94"/>
        <v>96.127995920458659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0</v>
      </c>
      <c r="CZ119" s="59">
        <f t="shared" si="96"/>
        <v>0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0</v>
      </c>
      <c r="DU119" s="59">
        <f t="shared" si="98"/>
        <v>0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1.3596945791505279E-13</v>
      </c>
      <c r="P120" s="13">
        <f t="shared" si="87"/>
        <v>1.9708830566360721E-12</v>
      </c>
      <c r="Q120" s="20">
        <f t="shared" si="107"/>
        <v>3.669434796176543E-12</v>
      </c>
      <c r="R120" s="59">
        <f t="shared" si="55"/>
        <v>293.33333333333701</v>
      </c>
      <c r="S120" s="59">
        <f ca="1">AVERAGE(OFFSET($R$3,0,0,'Données projet'!$E$9+1,1))-AVERAGE(OFFSET($H$3,0,0,'Données projet'!$E$9+1,1))</f>
        <v>212.98969326021802</v>
      </c>
      <c r="T120" s="59">
        <f t="shared" si="88"/>
        <v>422.91218020922895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13.30642454898806</v>
      </c>
      <c r="AA120" s="21">
        <f>EXP(-LN(2)/25)*AA119+(1-EXP(-LN(2)/25))/(LN(2)/25)*Calculateur!V120*Calculateur!X120*VLOOKUP('Données projet'!$B$9,Paramètres!$A$1:$I$89,3,0)*0.475*44/12</f>
        <v>6.0535212597149615</v>
      </c>
      <c r="AB120" s="21">
        <f>EXP(-LN(2)/2)*AB119+(1-EXP(-LN(2)/2))/(LN(2)/2)*V120*Y120*VLOOKUP('Données projet'!$B$9,Paramètres!$A$1:$I$89,3,0)*0.475*44/12</f>
        <v>4.1250525630111254E-11</v>
      </c>
      <c r="AC120" s="22">
        <f t="shared" si="57"/>
        <v>19.359945808744271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-7.9580786405131221E-13</v>
      </c>
      <c r="AJ120" s="13">
        <f>AI120*VLOOKUP('Données projet'!$B$10,Paramètres!$A$1:$I$89,3,0)*VLOOKUP('Données projet'!$B$10,Paramètres!$A$1:$I$89,5,0)</f>
        <v>-4.758931027026848E-13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318.09371753144256</v>
      </c>
      <c r="AO120" s="59">
        <f t="shared" si="90"/>
        <v>298.61479562586919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0.6245879039646578</v>
      </c>
      <c r="AV120" s="21">
        <f>EXP(-LN(2)/25)*AV119+(1-EXP(-LN(2)/25))/(LN(2)/25)*Calculateur!AQ120*Calculateur!AS120*VLOOKUP('Données projet'!$B$10,Paramètres!$A$1:$I$89,3,0)*0.475*44/12</f>
        <v>1.852135445189411</v>
      </c>
      <c r="AW120" s="21">
        <f>EXP(-LN(2)/2)*AW119+(1-EXP(-LN(2)/2))/(LN(2)/2)*AQ120*AT120*VLOOKUP('Données projet'!$B$10,Paramètres!$A$1:$I$89,3,0)*0.475*44/12</f>
        <v>2.431794381215878E-12</v>
      </c>
      <c r="AX120" s="21">
        <f t="shared" si="60"/>
        <v>2.4767233491565008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5.6843418860808015E-14</v>
      </c>
      <c r="BE120" s="13">
        <f>BD120*VLOOKUP('Données projet'!$B$11,Paramètres!$A$1:$I$89,3,0)*VLOOKUP('Données projet'!$B$11,Paramètres!$A$1:$I$89,5,0)</f>
        <v>4.6111381379887463E-14</v>
      </c>
      <c r="BF120" s="13">
        <f t="shared" si="91"/>
        <v>7.5804141040779151E-13</v>
      </c>
      <c r="BG120" s="20">
        <f t="shared" si="61"/>
        <v>1.4005661123635408E-12</v>
      </c>
      <c r="BH120" s="59">
        <f t="shared" si="62"/>
        <v>293.33333333333474</v>
      </c>
      <c r="BI120" s="59">
        <f ca="1">AVERAGE(OFFSET($BH$3,0,0,'Données projet'!$E$11+1,1))-AVERAGE(OFFSET($H$3,0,0,'Données projet'!$E$11+1,1))</f>
        <v>230.68538392491388</v>
      </c>
      <c r="BJ120" s="59">
        <f t="shared" si="92"/>
        <v>267.97457956620724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0.76236019174128911</v>
      </c>
      <c r="BR120" s="21">
        <f>EXP(-LN(2)/2)*BR119+(1-EXP(-LN(2)/2))/(LN(2)/2)*BL120*BO120*VLOOKUP('Données projet'!$B$11,Paramètres!$A$1:$I$89,3,0)*0.475*44/12</f>
        <v>8.8207095687305546E-13</v>
      </c>
      <c r="BS120" s="22">
        <f t="shared" si="63"/>
        <v>0.76236019174217118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2.8</v>
      </c>
      <c r="BY120" s="12">
        <f>IF('Données projet'!$A$114&gt;35,BY119+BX120-CG119,IF(A120&lt;'Données projet'!$A$114,$BV$205^A120,IF(A120='Données projet'!$A$114,'Données projet'!$B$114,BY119+BX120-CG119)))</f>
        <v>225.6</v>
      </c>
      <c r="BZ120" s="13">
        <f>BY120*VLOOKUP('Données projet'!$B$12,Paramètres!$A$1:$I$89,3,0)*VLOOKUP('Données projet'!$B$12,Paramètres!$A$1:$I$89,5,0)</f>
        <v>256.91327999999999</v>
      </c>
      <c r="CA120" s="13">
        <f t="shared" si="93"/>
        <v>62.063957347667966</v>
      </c>
      <c r="CB120" s="20">
        <f t="shared" si="64"/>
        <v>555.55202171385497</v>
      </c>
      <c r="CC120" s="59">
        <f t="shared" si="65"/>
        <v>848.88535504718834</v>
      </c>
      <c r="CD120" s="59">
        <f ca="1">AVERAGE(OFFSET($CC$3,0,0,'Données projet'!$E$12+1,1))-AVERAGE(OFFSET($H$3,0,0,'Données projet'!$E$12+1,1))</f>
        <v>242.1473060698724</v>
      </c>
      <c r="CE120" s="59">
        <f t="shared" si="94"/>
        <v>96.127995920458659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0</v>
      </c>
      <c r="CZ120" s="59">
        <f t="shared" si="96"/>
        <v>0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0</v>
      </c>
      <c r="DU120" s="59">
        <f t="shared" si="98"/>
        <v>0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1.3596945791505279E-13</v>
      </c>
      <c r="P121" s="13">
        <f t="shared" si="87"/>
        <v>1.9708830566360721E-12</v>
      </c>
      <c r="Q121" s="20">
        <f t="shared" si="107"/>
        <v>3.669434796176543E-12</v>
      </c>
      <c r="R121" s="59">
        <f t="shared" si="55"/>
        <v>293.33333333333701</v>
      </c>
      <c r="S121" s="59">
        <f ca="1">AVERAGE(OFFSET($R$3,0,0,'Données projet'!$E$9+1,1))-AVERAGE(OFFSET($H$3,0,0,'Données projet'!$E$9+1,1))</f>
        <v>212.98969326021802</v>
      </c>
      <c r="T121" s="59">
        <f t="shared" si="88"/>
        <v>422.91218020922895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13.045493679699979</v>
      </c>
      <c r="AA121" s="21">
        <f>EXP(-LN(2)/25)*AA120+(1-EXP(-LN(2)/25))/(LN(2)/25)*Calculateur!V121*Calculateur!X121*VLOOKUP('Données projet'!$B$9,Paramètres!$A$1:$I$89,3,0)*0.475*44/12</f>
        <v>5.8879874025272079</v>
      </c>
      <c r="AB121" s="21">
        <f>EXP(-LN(2)/2)*AB120+(1-EXP(-LN(2)/2))/(LN(2)/2)*V121*Y121*VLOOKUP('Données projet'!$B$9,Paramètres!$A$1:$I$89,3,0)*0.475*44/12</f>
        <v>2.9168526400561149E-11</v>
      </c>
      <c r="AC121" s="22">
        <f t="shared" si="57"/>
        <v>18.933481082256353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-7.9580786405131221E-13</v>
      </c>
      <c r="AJ121" s="13">
        <f>AI121*VLOOKUP('Données projet'!$B$10,Paramètres!$A$1:$I$89,3,0)*VLOOKUP('Données projet'!$B$10,Paramètres!$A$1:$I$89,5,0)</f>
        <v>-4.758931027026848E-13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318.09371753144256</v>
      </c>
      <c r="AO121" s="59">
        <f t="shared" si="90"/>
        <v>298.61479562586919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0.61234011612891548</v>
      </c>
      <c r="AV121" s="21">
        <f>EXP(-LN(2)/25)*AV120+(1-EXP(-LN(2)/25))/(LN(2)/25)*Calculateur!AQ121*Calculateur!AS121*VLOOKUP('Données projet'!$B$10,Paramètres!$A$1:$I$89,3,0)*0.475*44/12</f>
        <v>1.8014887040411365</v>
      </c>
      <c r="AW121" s="21">
        <f>EXP(-LN(2)/2)*AW120+(1-EXP(-LN(2)/2))/(LN(2)/2)*AQ121*AT121*VLOOKUP('Données projet'!$B$10,Paramètres!$A$1:$I$89,3,0)*0.475*44/12</f>
        <v>1.7195382974090916E-12</v>
      </c>
      <c r="AX121" s="21">
        <f t="shared" si="60"/>
        <v>2.4138288201717715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5.6843418860808015E-14</v>
      </c>
      <c r="BE121" s="13">
        <f>BD121*VLOOKUP('Données projet'!$B$11,Paramètres!$A$1:$I$89,3,0)*VLOOKUP('Données projet'!$B$11,Paramètres!$A$1:$I$89,5,0)</f>
        <v>4.6111381379887463E-14</v>
      </c>
      <c r="BF121" s="13">
        <f t="shared" si="91"/>
        <v>7.5804141040779151E-13</v>
      </c>
      <c r="BG121" s="20">
        <f t="shared" si="61"/>
        <v>1.4005661123635408E-12</v>
      </c>
      <c r="BH121" s="59">
        <f t="shared" si="62"/>
        <v>293.33333333333474</v>
      </c>
      <c r="BI121" s="59">
        <f ca="1">AVERAGE(OFFSET($BH$3,0,0,'Données projet'!$E$11+1,1))-AVERAGE(OFFSET($H$3,0,0,'Données projet'!$E$11+1,1))</f>
        <v>230.68538392491388</v>
      </c>
      <c r="BJ121" s="59">
        <f t="shared" si="92"/>
        <v>267.97457956620724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0.74151341220734346</v>
      </c>
      <c r="BR121" s="21">
        <f>EXP(-LN(2)/2)*BR120+(1-EXP(-LN(2)/2))/(LN(2)/2)*BL121*BO121*VLOOKUP('Données projet'!$B$11,Paramètres!$A$1:$I$89,3,0)*0.475*44/12</f>
        <v>6.2371835509264422E-13</v>
      </c>
      <c r="BS121" s="22">
        <f t="shared" si="63"/>
        <v>0.74151341220796718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2.8</v>
      </c>
      <c r="BY121" s="12">
        <f>IF('Données projet'!$A$114&gt;35,BY120+BX121-CG120,IF(A121&lt;'Données projet'!$A$114,$BV$205^A121,IF(A121='Données projet'!$A$114,'Données projet'!$B$114,BY120+BX121-CG120)))</f>
        <v>228.4</v>
      </c>
      <c r="BZ121" s="13">
        <f>BY121*VLOOKUP('Données projet'!$B$12,Paramètres!$A$1:$I$89,3,0)*VLOOKUP('Données projet'!$B$12,Paramètres!$A$1:$I$89,5,0)</f>
        <v>260.10192000000001</v>
      </c>
      <c r="CA121" s="13">
        <f t="shared" si="93"/>
        <v>62.74410268590654</v>
      </c>
      <c r="CB121" s="20">
        <f t="shared" si="64"/>
        <v>562.2901561779538</v>
      </c>
      <c r="CC121" s="59">
        <f t="shared" si="65"/>
        <v>855.62348951128706</v>
      </c>
      <c r="CD121" s="59">
        <f ca="1">AVERAGE(OFFSET($CC$3,0,0,'Données projet'!$E$12+1,1))-AVERAGE(OFFSET($H$3,0,0,'Données projet'!$E$12+1,1))</f>
        <v>242.1473060698724</v>
      </c>
      <c r="CE121" s="59">
        <f t="shared" si="94"/>
        <v>96.127995920458659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0</v>
      </c>
      <c r="CZ121" s="59">
        <f t="shared" si="96"/>
        <v>0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0</v>
      </c>
      <c r="DU121" s="59">
        <f t="shared" si="98"/>
        <v>0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1.3596945791505279E-13</v>
      </c>
      <c r="P122" s="13">
        <f t="shared" si="87"/>
        <v>1.9708830566360721E-12</v>
      </c>
      <c r="Q122" s="20">
        <f t="shared" si="107"/>
        <v>3.669434796176543E-12</v>
      </c>
      <c r="R122" s="59">
        <f t="shared" si="55"/>
        <v>293.33333333333701</v>
      </c>
      <c r="S122" s="59">
        <f ca="1">AVERAGE(OFFSET($R$3,0,0,'Données projet'!$E$9+1,1))-AVERAGE(OFFSET($H$3,0,0,'Données projet'!$E$9+1,1))</f>
        <v>212.98969326021802</v>
      </c>
      <c r="T122" s="59">
        <f t="shared" si="88"/>
        <v>422.91218020922895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12.789679505606522</v>
      </c>
      <c r="AA122" s="21">
        <f>EXP(-LN(2)/25)*AA121+(1-EXP(-LN(2)/25))/(LN(2)/25)*Calculateur!V122*Calculateur!X122*VLOOKUP('Données projet'!$B$9,Paramètres!$A$1:$I$89,3,0)*0.475*44/12</f>
        <v>5.7269800773693014</v>
      </c>
      <c r="AB122" s="21">
        <f>EXP(-LN(2)/2)*AB121+(1-EXP(-LN(2)/2))/(LN(2)/2)*V122*Y122*VLOOKUP('Données projet'!$B$9,Paramètres!$A$1:$I$89,3,0)*0.475*44/12</f>
        <v>2.0625262815055627E-11</v>
      </c>
      <c r="AC122" s="22">
        <f t="shared" si="57"/>
        <v>18.516659582996446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-7.9580786405131221E-13</v>
      </c>
      <c r="AJ122" s="13">
        <f>AI122*VLOOKUP('Données projet'!$B$10,Paramètres!$A$1:$I$89,3,0)*VLOOKUP('Données projet'!$B$10,Paramètres!$A$1:$I$89,5,0)</f>
        <v>-4.758931027026848E-13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318.09371753144256</v>
      </c>
      <c r="AO122" s="59">
        <f t="shared" si="90"/>
        <v>298.61479562586919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0.60033249994221916</v>
      </c>
      <c r="AV122" s="21">
        <f>EXP(-LN(2)/25)*AV121+(1-EXP(-LN(2)/25))/(LN(2)/25)*Calculateur!AQ122*Calculateur!AS122*VLOOKUP('Données projet'!$B$10,Paramètres!$A$1:$I$89,3,0)*0.475*44/12</f>
        <v>1.7522269006929581</v>
      </c>
      <c r="AW122" s="21">
        <f>EXP(-LN(2)/2)*AW121+(1-EXP(-LN(2)/2))/(LN(2)/2)*AQ122*AT122*VLOOKUP('Données projet'!$B$10,Paramètres!$A$1:$I$89,3,0)*0.475*44/12</f>
        <v>1.215897190607939E-12</v>
      </c>
      <c r="AX122" s="21">
        <f t="shared" si="60"/>
        <v>2.3525594006363932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5.6843418860808015E-14</v>
      </c>
      <c r="BE122" s="13">
        <f>BD122*VLOOKUP('Données projet'!$B$11,Paramètres!$A$1:$I$89,3,0)*VLOOKUP('Données projet'!$B$11,Paramètres!$A$1:$I$89,5,0)</f>
        <v>4.6111381379887463E-14</v>
      </c>
      <c r="BF122" s="13">
        <f t="shared" si="91"/>
        <v>7.5804141040779151E-13</v>
      </c>
      <c r="BG122" s="20">
        <f t="shared" si="61"/>
        <v>1.4005661123635408E-12</v>
      </c>
      <c r="BH122" s="59">
        <f t="shared" si="62"/>
        <v>293.33333333333474</v>
      </c>
      <c r="BI122" s="59">
        <f ca="1">AVERAGE(OFFSET($BH$3,0,0,'Données projet'!$E$11+1,1))-AVERAGE(OFFSET($H$3,0,0,'Données projet'!$E$11+1,1))</f>
        <v>230.68538392491388</v>
      </c>
      <c r="BJ122" s="59">
        <f t="shared" si="92"/>
        <v>267.97457956620724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0.7212366889560381</v>
      </c>
      <c r="BR122" s="21">
        <f>EXP(-LN(2)/2)*BR121+(1-EXP(-LN(2)/2))/(LN(2)/2)*BL122*BO122*VLOOKUP('Données projet'!$B$11,Paramètres!$A$1:$I$89,3,0)*0.475*44/12</f>
        <v>4.4103547843652773E-13</v>
      </c>
      <c r="BS122" s="22">
        <f t="shared" si="63"/>
        <v>0.72123668895647908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2.8</v>
      </c>
      <c r="BY122" s="12">
        <f>IF('Données projet'!$A$114&gt;35,BY121+BX122-CG121,IF(A122&lt;'Données projet'!$A$114,$BV$205^A122,IF(A122='Données projet'!$A$114,'Données projet'!$B$114,BY121+BX122-CG121)))</f>
        <v>231.20000000000002</v>
      </c>
      <c r="BZ122" s="13">
        <f>BY122*VLOOKUP('Données projet'!$B$12,Paramètres!$A$1:$I$89,3,0)*VLOOKUP('Données projet'!$B$12,Paramètres!$A$1:$I$89,5,0)</f>
        <v>263.29056000000003</v>
      </c>
      <c r="CA122" s="13">
        <f t="shared" si="93"/>
        <v>63.423278143448627</v>
      </c>
      <c r="CB122" s="20">
        <f t="shared" si="64"/>
        <v>569.02660143317291</v>
      </c>
      <c r="CC122" s="59">
        <f t="shared" si="65"/>
        <v>862.35993476650629</v>
      </c>
      <c r="CD122" s="59">
        <f ca="1">AVERAGE(OFFSET($CC$3,0,0,'Données projet'!$E$12+1,1))-AVERAGE(OFFSET($H$3,0,0,'Données projet'!$E$12+1,1))</f>
        <v>242.1473060698724</v>
      </c>
      <c r="CE122" s="59">
        <f t="shared" si="94"/>
        <v>96.127995920458659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0</v>
      </c>
      <c r="CZ122" s="59">
        <f t="shared" si="96"/>
        <v>0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0</v>
      </c>
      <c r="DU122" s="59">
        <f t="shared" si="98"/>
        <v>0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1.3596945791505279E-13</v>
      </c>
      <c r="P123" s="13">
        <f t="shared" si="87"/>
        <v>1.9708830566360721E-12</v>
      </c>
      <c r="Q123" s="20">
        <f t="shared" si="107"/>
        <v>3.669434796176543E-12</v>
      </c>
      <c r="R123" s="59">
        <f t="shared" si="55"/>
        <v>293.33333333333701</v>
      </c>
      <c r="S123" s="59">
        <f ca="1">AVERAGE(OFFSET($R$3,0,0,'Données projet'!$E$9+1,1))-AVERAGE(OFFSET($H$3,0,0,'Données projet'!$E$9+1,1))</f>
        <v>212.98969326021802</v>
      </c>
      <c r="T123" s="59">
        <f t="shared" si="88"/>
        <v>422.91218020922895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12.538881691435797</v>
      </c>
      <c r="AA123" s="21">
        <f>EXP(-LN(2)/25)*AA122+(1-EXP(-LN(2)/25))/(LN(2)/25)*Calculateur!V123*Calculateur!X123*VLOOKUP('Données projet'!$B$9,Paramètres!$A$1:$I$89,3,0)*0.475*44/12</f>
        <v>5.5703755059848445</v>
      </c>
      <c r="AB123" s="21">
        <f>EXP(-LN(2)/2)*AB122+(1-EXP(-LN(2)/2))/(LN(2)/2)*V123*Y123*VLOOKUP('Données projet'!$B$9,Paramètres!$A$1:$I$89,3,0)*0.475*44/12</f>
        <v>1.4584263200280574E-11</v>
      </c>
      <c r="AC123" s="22">
        <f t="shared" si="57"/>
        <v>18.109257197435227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-7.9580786405131221E-13</v>
      </c>
      <c r="AJ123" s="13">
        <f>AI123*VLOOKUP('Données projet'!$B$10,Paramètres!$A$1:$I$89,3,0)*VLOOKUP('Données projet'!$B$10,Paramètres!$A$1:$I$89,5,0)</f>
        <v>-4.758931027026848E-13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318.09371753144256</v>
      </c>
      <c r="AO123" s="59">
        <f t="shared" si="90"/>
        <v>298.61479562586919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0.58856034578502125</v>
      </c>
      <c r="AV123" s="21">
        <f>EXP(-LN(2)/25)*AV122+(1-EXP(-LN(2)/25))/(LN(2)/25)*Calculateur!AQ123*Calculateur!AS123*VLOOKUP('Données projet'!$B$10,Paramètres!$A$1:$I$89,3,0)*0.475*44/12</f>
        <v>1.7043121639479011</v>
      </c>
      <c r="AW123" s="21">
        <f>EXP(-LN(2)/2)*AW122+(1-EXP(-LN(2)/2))/(LN(2)/2)*AQ123*AT123*VLOOKUP('Données projet'!$B$10,Paramètres!$A$1:$I$89,3,0)*0.475*44/12</f>
        <v>8.5976914870454579E-13</v>
      </c>
      <c r="AX123" s="21">
        <f t="shared" si="60"/>
        <v>2.2928725097337823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5.6843418860808015E-14</v>
      </c>
      <c r="BE123" s="13">
        <f>BD123*VLOOKUP('Données projet'!$B$11,Paramètres!$A$1:$I$89,3,0)*VLOOKUP('Données projet'!$B$11,Paramètres!$A$1:$I$89,5,0)</f>
        <v>4.6111381379887463E-14</v>
      </c>
      <c r="BF123" s="13">
        <f t="shared" si="91"/>
        <v>7.5804141040779151E-13</v>
      </c>
      <c r="BG123" s="20">
        <f t="shared" si="61"/>
        <v>1.4005661123635408E-12</v>
      </c>
      <c r="BH123" s="59">
        <f t="shared" si="62"/>
        <v>293.33333333333474</v>
      </c>
      <c r="BI123" s="59">
        <f ca="1">AVERAGE(OFFSET($BH$3,0,0,'Données projet'!$E$11+1,1))-AVERAGE(OFFSET($H$3,0,0,'Données projet'!$E$11+1,1))</f>
        <v>230.68538392491388</v>
      </c>
      <c r="BJ123" s="59">
        <f t="shared" si="92"/>
        <v>267.97457956620724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0.70151443376834621</v>
      </c>
      <c r="BR123" s="21">
        <f>EXP(-LN(2)/2)*BR122+(1-EXP(-LN(2)/2))/(LN(2)/2)*BL123*BO123*VLOOKUP('Données projet'!$B$11,Paramètres!$A$1:$I$89,3,0)*0.475*44/12</f>
        <v>3.1185917754632211E-13</v>
      </c>
      <c r="BS123" s="22">
        <f t="shared" si="63"/>
        <v>0.70151443376865807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234</v>
      </c>
      <c r="BW123" s="12">
        <f>VLOOKUP(A123,'Données projet'!$A$113:$I$133,9,0)</f>
        <v>2.8</v>
      </c>
      <c r="BX123" s="12">
        <f t="array" ref="BX123">INDEX(BW:BW,MIN(IF(ISNUMBER(BW123:BW319),ROW(BW123:BW319),"")))</f>
        <v>2.8</v>
      </c>
      <c r="BY123" s="12">
        <f>IF('Données projet'!$A$114&gt;35,BY122+BX123-CG122,IF(A123&lt;'Données projet'!$A$114,$BV$205^A123,IF(A123='Données projet'!$A$114,'Données projet'!$B$114,BY122+BX123-CG122)))</f>
        <v>234.00000000000003</v>
      </c>
      <c r="BZ123" s="13">
        <f>BY123*VLOOKUP('Données projet'!$B$12,Paramètres!$A$1:$I$89,3,0)*VLOOKUP('Données projet'!$B$12,Paramètres!$A$1:$I$89,5,0)</f>
        <v>266.47920000000005</v>
      </c>
      <c r="CA123" s="13">
        <f t="shared" si="93"/>
        <v>64.101496824889679</v>
      </c>
      <c r="CB123" s="20">
        <f t="shared" si="64"/>
        <v>575.76138030334971</v>
      </c>
      <c r="CC123" s="59">
        <f t="shared" si="65"/>
        <v>869.09471363668308</v>
      </c>
      <c r="CD123" s="59">
        <f ca="1">AVERAGE(OFFSET($CC$3,0,0,'Données projet'!$E$12+1,1))-AVERAGE(OFFSET($H$3,0,0,'Données projet'!$E$12+1,1))</f>
        <v>242.1473060698724</v>
      </c>
      <c r="CE123" s="59">
        <f t="shared" si="94"/>
        <v>96.127995920458659</v>
      </c>
      <c r="CF123" s="15">
        <f>IF(ISNA(VLOOKUP(A123,'Données projet'!$A$113:$I$133,3,0)),0,VLOOKUP(A123,'Données projet'!$A$113:$I$133,3,0))</f>
        <v>9</v>
      </c>
      <c r="CG123" s="15">
        <f>IF(ISNA(VLOOKUP(A123,'Données projet'!$A$113:$I$133,4,0)),0,VLOOKUP(A123,'Données projet'!$A$113:$I$133,4,0))</f>
        <v>234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0</v>
      </c>
      <c r="CZ123" s="59">
        <f t="shared" si="96"/>
        <v>0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0</v>
      </c>
      <c r="DU123" s="59">
        <f t="shared" si="98"/>
        <v>0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1.3596945791505279E-13</v>
      </c>
      <c r="P124" s="13">
        <f t="shared" si="87"/>
        <v>1.9708830566360721E-12</v>
      </c>
      <c r="Q124" s="20">
        <f t="shared" si="107"/>
        <v>3.669434796176543E-12</v>
      </c>
      <c r="R124" s="59">
        <f t="shared" si="55"/>
        <v>293.33333333333701</v>
      </c>
      <c r="S124" s="59">
        <f ca="1">AVERAGE(OFFSET($R$3,0,0,'Données projet'!$E$9+1,1))-AVERAGE(OFFSET($H$3,0,0,'Données projet'!$E$9+1,1))</f>
        <v>212.98969326021802</v>
      </c>
      <c r="T124" s="59">
        <f t="shared" si="88"/>
        <v>422.91218020922895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12.2930018694294</v>
      </c>
      <c r="AA124" s="21">
        <f>EXP(-LN(2)/25)*AA123+(1-EXP(-LN(2)/25))/(LN(2)/25)*Calculateur!V124*Calculateur!X124*VLOOKUP('Données projet'!$B$9,Paramètres!$A$1:$I$89,3,0)*0.475*44/12</f>
        <v>5.4180532948403721</v>
      </c>
      <c r="AB124" s="21">
        <f>EXP(-LN(2)/2)*AB123+(1-EXP(-LN(2)/2))/(LN(2)/2)*V124*Y124*VLOOKUP('Données projet'!$B$9,Paramètres!$A$1:$I$89,3,0)*0.475*44/12</f>
        <v>1.0312631407527814E-11</v>
      </c>
      <c r="AC124" s="22">
        <f t="shared" si="57"/>
        <v>17.711055164280086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-7.9580786405131221E-13</v>
      </c>
      <c r="AJ124" s="13">
        <f>AI124*VLOOKUP('Données projet'!$B$10,Paramètres!$A$1:$I$89,3,0)*VLOOKUP('Données projet'!$B$10,Paramètres!$A$1:$I$89,5,0)</f>
        <v>-4.758931027026848E-13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318.09371753144256</v>
      </c>
      <c r="AO124" s="59">
        <f t="shared" si="90"/>
        <v>298.61479562586919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0.57701903639054097</v>
      </c>
      <c r="AV124" s="21">
        <f>EXP(-LN(2)/25)*AV123+(1-EXP(-LN(2)/25))/(LN(2)/25)*Calculateur!AQ124*Calculateur!AS124*VLOOKUP('Données projet'!$B$10,Paramètres!$A$1:$I$89,3,0)*0.475*44/12</f>
        <v>1.6577076581988643</v>
      </c>
      <c r="AW124" s="21">
        <f>EXP(-LN(2)/2)*AW123+(1-EXP(-LN(2)/2))/(LN(2)/2)*AQ124*AT124*VLOOKUP('Données projet'!$B$10,Paramètres!$A$1:$I$89,3,0)*0.475*44/12</f>
        <v>6.0794859530396949E-13</v>
      </c>
      <c r="AX124" s="21">
        <f t="shared" si="60"/>
        <v>2.2347266945900133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5.6843418860808015E-14</v>
      </c>
      <c r="BE124" s="13">
        <f>BD124*VLOOKUP('Données projet'!$B$11,Paramètres!$A$1:$I$89,3,0)*VLOOKUP('Données projet'!$B$11,Paramètres!$A$1:$I$89,5,0)</f>
        <v>4.6111381379887463E-14</v>
      </c>
      <c r="BF124" s="13">
        <f t="shared" si="91"/>
        <v>7.5804141040779151E-13</v>
      </c>
      <c r="BG124" s="20">
        <f t="shared" si="61"/>
        <v>1.4005661123635408E-12</v>
      </c>
      <c r="BH124" s="59">
        <f t="shared" si="62"/>
        <v>293.33333333333474</v>
      </c>
      <c r="BI124" s="59">
        <f ca="1">AVERAGE(OFFSET($BH$3,0,0,'Données projet'!$E$11+1,1))-AVERAGE(OFFSET($H$3,0,0,'Données projet'!$E$11+1,1))</f>
        <v>230.68538392491388</v>
      </c>
      <c r="BJ124" s="59">
        <f t="shared" si="92"/>
        <v>267.97457956620724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0.68233148468591009</v>
      </c>
      <c r="BR124" s="21">
        <f>EXP(-LN(2)/2)*BR123+(1-EXP(-LN(2)/2))/(LN(2)/2)*BL124*BO124*VLOOKUP('Données projet'!$B$11,Paramètres!$A$1:$I$89,3,0)*0.475*44/12</f>
        <v>2.2051773921826387E-13</v>
      </c>
      <c r="BS124" s="22">
        <f t="shared" si="63"/>
        <v>0.68233148468613058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2.8421709430404007E-14</v>
      </c>
      <c r="BZ124" s="13">
        <f>BY124*VLOOKUP('Données projet'!$B$12,Paramètres!$A$1:$I$89,3,0)*VLOOKUP('Données projet'!$B$12,Paramètres!$A$1:$I$89,5,0)</f>
        <v>3.2366642699344085E-14</v>
      </c>
      <c r="CA124" s="13">
        <f t="shared" si="93"/>
        <v>5.5446527398450045E-13</v>
      </c>
      <c r="CB124" s="20">
        <f t="shared" si="64"/>
        <v>1.0220655882243624E-12</v>
      </c>
      <c r="CC124" s="59">
        <f t="shared" si="65"/>
        <v>293.33333333333434</v>
      </c>
      <c r="CD124" s="59">
        <f ca="1">AVERAGE(OFFSET($CC$3,0,0,'Données projet'!$E$12+1,1))-AVERAGE(OFFSET($H$3,0,0,'Données projet'!$E$12+1,1))</f>
        <v>242.1473060698724</v>
      </c>
      <c r="CE124" s="59">
        <f t="shared" si="94"/>
        <v>96.127995920458659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0</v>
      </c>
      <c r="CZ124" s="59">
        <f t="shared" si="96"/>
        <v>0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0</v>
      </c>
      <c r="DU124" s="59">
        <f t="shared" si="98"/>
        <v>0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1.3596945791505279E-13</v>
      </c>
      <c r="P125" s="13">
        <f t="shared" si="87"/>
        <v>1.9708830566360721E-12</v>
      </c>
      <c r="Q125" s="20">
        <f t="shared" si="107"/>
        <v>3.669434796176543E-12</v>
      </c>
      <c r="R125" s="59">
        <f t="shared" si="55"/>
        <v>293.33333333333701</v>
      </c>
      <c r="S125" s="59">
        <f ca="1">AVERAGE(OFFSET($R$3,0,0,'Données projet'!$E$9+1,1))-AVERAGE(OFFSET($H$3,0,0,'Données projet'!$E$9+1,1))</f>
        <v>212.98969326021802</v>
      </c>
      <c r="T125" s="59">
        <f t="shared" si="88"/>
        <v>422.91218020922895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12.051943600760664</v>
      </c>
      <c r="AA125" s="21">
        <f>EXP(-LN(2)/25)*AA124+(1-EXP(-LN(2)/25))/(LN(2)/25)*Calculateur!V125*Calculateur!X125*VLOOKUP('Données projet'!$B$9,Paramètres!$A$1:$I$89,3,0)*0.475*44/12</f>
        <v>5.2698963425699228</v>
      </c>
      <c r="AB125" s="21">
        <f>EXP(-LN(2)/2)*AB124+(1-EXP(-LN(2)/2))/(LN(2)/2)*V125*Y125*VLOOKUP('Données projet'!$B$9,Paramètres!$A$1:$I$89,3,0)*0.475*44/12</f>
        <v>7.2921316001402871E-12</v>
      </c>
      <c r="AC125" s="22">
        <f t="shared" si="57"/>
        <v>17.321839943337881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-7.9580786405131221E-13</v>
      </c>
      <c r="AJ125" s="13">
        <f>AI125*VLOOKUP('Données projet'!$B$10,Paramètres!$A$1:$I$89,3,0)*VLOOKUP('Données projet'!$B$10,Paramètres!$A$1:$I$89,5,0)</f>
        <v>-4.758931027026848E-13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318.09371753144256</v>
      </c>
      <c r="AO125" s="59">
        <f t="shared" si="90"/>
        <v>298.61479562586919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0.5657040450337828</v>
      </c>
      <c r="AV125" s="21">
        <f>EXP(-LN(2)/25)*AV124+(1-EXP(-LN(2)/25))/(LN(2)/25)*Calculateur!AQ125*Calculateur!AS125*VLOOKUP('Données projet'!$B$10,Paramètres!$A$1:$I$89,3,0)*0.475*44/12</f>
        <v>1.6123775551103594</v>
      </c>
      <c r="AW125" s="21">
        <f>EXP(-LN(2)/2)*AW124+(1-EXP(-LN(2)/2))/(LN(2)/2)*AQ125*AT125*VLOOKUP('Données projet'!$B$10,Paramètres!$A$1:$I$89,3,0)*0.475*44/12</f>
        <v>4.298845743522729E-13</v>
      </c>
      <c r="AX125" s="21">
        <f t="shared" si="60"/>
        <v>2.178081600144572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5.6843418860808015E-14</v>
      </c>
      <c r="BE125" s="13">
        <f>BD125*VLOOKUP('Données projet'!$B$11,Paramètres!$A$1:$I$89,3,0)*VLOOKUP('Données projet'!$B$11,Paramètres!$A$1:$I$89,5,0)</f>
        <v>4.6111381379887463E-14</v>
      </c>
      <c r="BF125" s="13">
        <f t="shared" si="91"/>
        <v>7.5804141040779151E-13</v>
      </c>
      <c r="BG125" s="20">
        <f t="shared" si="61"/>
        <v>1.4005661123635408E-12</v>
      </c>
      <c r="BH125" s="59">
        <f t="shared" si="62"/>
        <v>293.33333333333474</v>
      </c>
      <c r="BI125" s="59">
        <f ca="1">AVERAGE(OFFSET($BH$3,0,0,'Données projet'!$E$11+1,1))-AVERAGE(OFFSET($H$3,0,0,'Données projet'!$E$11+1,1))</f>
        <v>230.68538392491388</v>
      </c>
      <c r="BJ125" s="59">
        <f t="shared" si="92"/>
        <v>267.97457956620724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0.66367309435492061</v>
      </c>
      <c r="BR125" s="21">
        <f>EXP(-LN(2)/2)*BR124+(1-EXP(-LN(2)/2))/(LN(2)/2)*BL125*BO125*VLOOKUP('Données projet'!$B$11,Paramètres!$A$1:$I$89,3,0)*0.475*44/12</f>
        <v>1.5592958877316106E-13</v>
      </c>
      <c r="BS125" s="22">
        <f t="shared" si="63"/>
        <v>0.66367309435507649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2.8421709430404007E-14</v>
      </c>
      <c r="BZ125" s="13">
        <f>BY125*VLOOKUP('Données projet'!$B$12,Paramètres!$A$1:$I$89,3,0)*VLOOKUP('Données projet'!$B$12,Paramètres!$A$1:$I$89,5,0)</f>
        <v>3.2366642699344085E-14</v>
      </c>
      <c r="CA125" s="13">
        <f t="shared" si="93"/>
        <v>5.5446527398450045E-13</v>
      </c>
      <c r="CB125" s="20">
        <f t="shared" si="64"/>
        <v>1.0220655882243624E-12</v>
      </c>
      <c r="CC125" s="59">
        <f t="shared" si="65"/>
        <v>293.33333333333434</v>
      </c>
      <c r="CD125" s="59">
        <f ca="1">AVERAGE(OFFSET($CC$3,0,0,'Données projet'!$E$12+1,1))-AVERAGE(OFFSET($H$3,0,0,'Données projet'!$E$12+1,1))</f>
        <v>242.1473060698724</v>
      </c>
      <c r="CE125" s="59">
        <f t="shared" si="94"/>
        <v>96.127995920458659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0</v>
      </c>
      <c r="CZ125" s="59">
        <f t="shared" si="96"/>
        <v>0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0</v>
      </c>
      <c r="DU125" s="59">
        <f t="shared" si="98"/>
        <v>0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1.3596945791505279E-13</v>
      </c>
      <c r="P126" s="13">
        <f t="shared" si="87"/>
        <v>1.9708830566360721E-12</v>
      </c>
      <c r="Q126" s="20">
        <f t="shared" si="107"/>
        <v>3.669434796176543E-12</v>
      </c>
      <c r="R126" s="59">
        <f t="shared" si="55"/>
        <v>293.33333333333701</v>
      </c>
      <c r="S126" s="59">
        <f ca="1">AVERAGE(OFFSET($R$3,0,0,'Données projet'!$E$9+1,1))-AVERAGE(OFFSET($H$3,0,0,'Données projet'!$E$9+1,1))</f>
        <v>212.98969326021802</v>
      </c>
      <c r="T126" s="59">
        <f t="shared" si="88"/>
        <v>422.91218020922895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11.815612337709497</v>
      </c>
      <c r="AA126" s="21">
        <f>EXP(-LN(2)/25)*AA125+(1-EXP(-LN(2)/25))/(LN(2)/25)*Calculateur!V126*Calculateur!X126*VLOOKUP('Données projet'!$B$9,Paramètres!$A$1:$I$89,3,0)*0.475*44/12</f>
        <v>5.1257907499505437</v>
      </c>
      <c r="AB126" s="21">
        <f>EXP(-LN(2)/2)*AB125+(1-EXP(-LN(2)/2))/(LN(2)/2)*V126*Y126*VLOOKUP('Données projet'!$B$9,Paramètres!$A$1:$I$89,3,0)*0.475*44/12</f>
        <v>5.1563157037639068E-12</v>
      </c>
      <c r="AC126" s="22">
        <f t="shared" si="57"/>
        <v>16.941403087665197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-7.9580786405131221E-13</v>
      </c>
      <c r="AJ126" s="13">
        <f>AI126*VLOOKUP('Données projet'!$B$10,Paramètres!$A$1:$I$89,3,0)*VLOOKUP('Données projet'!$B$10,Paramètres!$A$1:$I$89,5,0)</f>
        <v>-4.758931027026848E-13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318.09371753144256</v>
      </c>
      <c r="AO126" s="59">
        <f t="shared" si="90"/>
        <v>298.61479562586919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0.5546109337560674</v>
      </c>
      <c r="AV126" s="21">
        <f>EXP(-LN(2)/25)*AV125+(1-EXP(-LN(2)/25))/(LN(2)/25)*Calculateur!AQ126*Calculateur!AS126*VLOOKUP('Données projet'!$B$10,Paramètres!$A$1:$I$89,3,0)*0.475*44/12</f>
        <v>1.5682870060746161</v>
      </c>
      <c r="AW126" s="21">
        <f>EXP(-LN(2)/2)*AW125+(1-EXP(-LN(2)/2))/(LN(2)/2)*AQ126*AT126*VLOOKUP('Données projet'!$B$10,Paramètres!$A$1:$I$89,3,0)*0.475*44/12</f>
        <v>3.0397429765198475E-13</v>
      </c>
      <c r="AX126" s="21">
        <f t="shared" si="60"/>
        <v>2.1228979398309873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5.6843418860808015E-14</v>
      </c>
      <c r="BE126" s="13">
        <f>BD126*VLOOKUP('Données projet'!$B$11,Paramètres!$A$1:$I$89,3,0)*VLOOKUP('Données projet'!$B$11,Paramètres!$A$1:$I$89,5,0)</f>
        <v>4.6111381379887463E-14</v>
      </c>
      <c r="BF126" s="13">
        <f t="shared" si="91"/>
        <v>7.5804141040779151E-13</v>
      </c>
      <c r="BG126" s="20">
        <f t="shared" si="61"/>
        <v>1.4005661123635408E-12</v>
      </c>
      <c r="BH126" s="59">
        <f t="shared" si="62"/>
        <v>293.33333333333474</v>
      </c>
      <c r="BI126" s="59">
        <f ca="1">AVERAGE(OFFSET($BH$3,0,0,'Données projet'!$E$11+1,1))-AVERAGE(OFFSET($H$3,0,0,'Données projet'!$E$11+1,1))</f>
        <v>230.68538392491388</v>
      </c>
      <c r="BJ126" s="59">
        <f t="shared" si="92"/>
        <v>267.97457956620724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0.64552491868873407</v>
      </c>
      <c r="BR126" s="21">
        <f>EXP(-LN(2)/2)*BR125+(1-EXP(-LN(2)/2))/(LN(2)/2)*BL126*BO126*VLOOKUP('Données projet'!$B$11,Paramètres!$A$1:$I$89,3,0)*0.475*44/12</f>
        <v>1.1025886960913193E-13</v>
      </c>
      <c r="BS126" s="22">
        <f t="shared" si="63"/>
        <v>0.64552491868884432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2.8421709430404007E-14</v>
      </c>
      <c r="BZ126" s="13">
        <f>BY126*VLOOKUP('Données projet'!$B$12,Paramètres!$A$1:$I$89,3,0)*VLOOKUP('Données projet'!$B$12,Paramètres!$A$1:$I$89,5,0)</f>
        <v>3.2366642699344085E-14</v>
      </c>
      <c r="CA126" s="13">
        <f t="shared" si="93"/>
        <v>5.5446527398450045E-13</v>
      </c>
      <c r="CB126" s="20">
        <f t="shared" si="64"/>
        <v>1.0220655882243624E-12</v>
      </c>
      <c r="CC126" s="59">
        <f t="shared" si="65"/>
        <v>293.33333333333434</v>
      </c>
      <c r="CD126" s="59">
        <f ca="1">AVERAGE(OFFSET($CC$3,0,0,'Données projet'!$E$12+1,1))-AVERAGE(OFFSET($H$3,0,0,'Données projet'!$E$12+1,1))</f>
        <v>242.1473060698724</v>
      </c>
      <c r="CE126" s="59">
        <f t="shared" si="94"/>
        <v>96.127995920458659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0</v>
      </c>
      <c r="CZ126" s="59">
        <f t="shared" si="96"/>
        <v>0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0</v>
      </c>
      <c r="DU126" s="59">
        <f t="shared" si="98"/>
        <v>0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1.3596945791505279E-13</v>
      </c>
      <c r="P127" s="13">
        <f t="shared" si="87"/>
        <v>1.9708830566360721E-12</v>
      </c>
      <c r="Q127" s="20">
        <f t="shared" si="107"/>
        <v>3.669434796176543E-12</v>
      </c>
      <c r="R127" s="59">
        <f t="shared" si="55"/>
        <v>293.33333333333701</v>
      </c>
      <c r="S127" s="59">
        <f ca="1">AVERAGE(OFFSET($R$3,0,0,'Données projet'!$E$9+1,1))-AVERAGE(OFFSET($H$3,0,0,'Données projet'!$E$9+1,1))</f>
        <v>212.98969326021802</v>
      </c>
      <c r="T127" s="59">
        <f t="shared" si="88"/>
        <v>422.91218020922895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11.583915386578926</v>
      </c>
      <c r="AA127" s="21">
        <f>EXP(-LN(2)/25)*AA126+(1-EXP(-LN(2)/25))/(LN(2)/25)*Calculateur!V127*Calculateur!X127*VLOOKUP('Données projet'!$B$9,Paramètres!$A$1:$I$89,3,0)*0.475*44/12</f>
        <v>4.9856257323395257</v>
      </c>
      <c r="AB127" s="21">
        <f>EXP(-LN(2)/2)*AB126+(1-EXP(-LN(2)/2))/(LN(2)/2)*V127*Y127*VLOOKUP('Données projet'!$B$9,Paramètres!$A$1:$I$89,3,0)*0.475*44/12</f>
        <v>3.6460658000701436E-12</v>
      </c>
      <c r="AC127" s="22">
        <f t="shared" si="57"/>
        <v>16.569541118922096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-7.9580786405131221E-13</v>
      </c>
      <c r="AJ127" s="13">
        <f>AI127*VLOOKUP('Données projet'!$B$10,Paramètres!$A$1:$I$89,3,0)*VLOOKUP('Données projet'!$B$10,Paramètres!$A$1:$I$89,5,0)</f>
        <v>-4.758931027026848E-13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318.09371753144256</v>
      </c>
      <c r="AO127" s="59">
        <f t="shared" si="90"/>
        <v>298.61479562586919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0.54373535162437825</v>
      </c>
      <c r="AV127" s="21">
        <f>EXP(-LN(2)/25)*AV126+(1-EXP(-LN(2)/25))/(LN(2)/25)*Calculateur!AQ127*Calculateur!AS127*VLOOKUP('Données projet'!$B$10,Paramètres!$A$1:$I$89,3,0)*0.475*44/12</f>
        <v>1.5254021154208766</v>
      </c>
      <c r="AW127" s="21">
        <f>EXP(-LN(2)/2)*AW126+(1-EXP(-LN(2)/2))/(LN(2)/2)*AQ127*AT127*VLOOKUP('Données projet'!$B$10,Paramètres!$A$1:$I$89,3,0)*0.475*44/12</f>
        <v>2.1494228717613645E-13</v>
      </c>
      <c r="AX127" s="21">
        <f t="shared" si="60"/>
        <v>2.0691374670454699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5.6843418860808015E-14</v>
      </c>
      <c r="BE127" s="13">
        <f>BD127*VLOOKUP('Données projet'!$B$11,Paramètres!$A$1:$I$89,3,0)*VLOOKUP('Données projet'!$B$11,Paramètres!$A$1:$I$89,5,0)</f>
        <v>4.6111381379887463E-14</v>
      </c>
      <c r="BF127" s="13">
        <f t="shared" si="91"/>
        <v>7.5804141040779151E-13</v>
      </c>
      <c r="BG127" s="20">
        <f t="shared" si="61"/>
        <v>1.4005661123635408E-12</v>
      </c>
      <c r="BH127" s="59">
        <f t="shared" si="62"/>
        <v>293.33333333333474</v>
      </c>
      <c r="BI127" s="59">
        <f ca="1">AVERAGE(OFFSET($BH$3,0,0,'Données projet'!$E$11+1,1))-AVERAGE(OFFSET($H$3,0,0,'Données projet'!$E$11+1,1))</f>
        <v>230.68538392491388</v>
      </c>
      <c r="BJ127" s="59">
        <f t="shared" si="92"/>
        <v>267.97457956620724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0.62787300584051053</v>
      </c>
      <c r="BR127" s="21">
        <f>EXP(-LN(2)/2)*BR126+(1-EXP(-LN(2)/2))/(LN(2)/2)*BL127*BO127*VLOOKUP('Données projet'!$B$11,Paramètres!$A$1:$I$89,3,0)*0.475*44/12</f>
        <v>7.7964794386580528E-14</v>
      </c>
      <c r="BS127" s="22">
        <f t="shared" si="63"/>
        <v>0.62787300584058847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2.8421709430404007E-14</v>
      </c>
      <c r="BZ127" s="13">
        <f>BY127*VLOOKUP('Données projet'!$B$12,Paramètres!$A$1:$I$89,3,0)*VLOOKUP('Données projet'!$B$12,Paramètres!$A$1:$I$89,5,0)</f>
        <v>3.2366642699344085E-14</v>
      </c>
      <c r="CA127" s="13">
        <f t="shared" si="93"/>
        <v>5.5446527398450045E-13</v>
      </c>
      <c r="CB127" s="20">
        <f t="shared" si="64"/>
        <v>1.0220655882243624E-12</v>
      </c>
      <c r="CC127" s="59">
        <f t="shared" si="65"/>
        <v>293.33333333333434</v>
      </c>
      <c r="CD127" s="59">
        <f ca="1">AVERAGE(OFFSET($CC$3,0,0,'Données projet'!$E$12+1,1))-AVERAGE(OFFSET($H$3,0,0,'Données projet'!$E$12+1,1))</f>
        <v>242.1473060698724</v>
      </c>
      <c r="CE127" s="59">
        <f t="shared" si="94"/>
        <v>96.127995920458659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0</v>
      </c>
      <c r="CZ127" s="59">
        <f t="shared" si="96"/>
        <v>0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0</v>
      </c>
      <c r="DU127" s="59">
        <f t="shared" si="98"/>
        <v>0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1.3596945791505279E-13</v>
      </c>
      <c r="P128" s="13">
        <f t="shared" si="87"/>
        <v>1.9708830566360721E-12</v>
      </c>
      <c r="Q128" s="20">
        <f t="shared" si="107"/>
        <v>3.669434796176543E-12</v>
      </c>
      <c r="R128" s="59">
        <f t="shared" si="55"/>
        <v>293.33333333333701</v>
      </c>
      <c r="S128" s="59">
        <f ca="1">AVERAGE(OFFSET($R$3,0,0,'Données projet'!$E$9+1,1))-AVERAGE(OFFSET($H$3,0,0,'Données projet'!$E$9+1,1))</f>
        <v>212.98969326021802</v>
      </c>
      <c r="T128" s="59">
        <f t="shared" si="88"/>
        <v>422.91218020922895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11.35676187133884</v>
      </c>
      <c r="AA128" s="21">
        <f>EXP(-LN(2)/25)*AA127+(1-EXP(-LN(2)/25))/(LN(2)/25)*Calculateur!V128*Calculateur!X128*VLOOKUP('Données projet'!$B$9,Paramètres!$A$1:$I$89,3,0)*0.475*44/12</f>
        <v>4.8492935345060388</v>
      </c>
      <c r="AB128" s="21">
        <f>EXP(-LN(2)/2)*AB127+(1-EXP(-LN(2)/2))/(LN(2)/2)*V128*Y128*VLOOKUP('Données projet'!$B$9,Paramètres!$A$1:$I$89,3,0)*0.475*44/12</f>
        <v>2.5781578518819534E-12</v>
      </c>
      <c r="AC128" s="22">
        <f t="shared" si="57"/>
        <v>16.206055405847458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-7.9580786405131221E-13</v>
      </c>
      <c r="AJ128" s="13">
        <f>AI128*VLOOKUP('Données projet'!$B$10,Paramètres!$A$1:$I$89,3,0)*VLOOKUP('Données projet'!$B$10,Paramètres!$A$1:$I$89,5,0)</f>
        <v>-4.758931027026848E-13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318.09371753144256</v>
      </c>
      <c r="AO128" s="59">
        <f t="shared" si="90"/>
        <v>298.61479562586919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0.53307303302484133</v>
      </c>
      <c r="AV128" s="21">
        <f>EXP(-LN(2)/25)*AV127+(1-EXP(-LN(2)/25))/(LN(2)/25)*Calculateur!AQ128*Calculateur!AS128*VLOOKUP('Données projet'!$B$10,Paramètres!$A$1:$I$89,3,0)*0.475*44/12</f>
        <v>1.4836899143572817</v>
      </c>
      <c r="AW128" s="21">
        <f>EXP(-LN(2)/2)*AW127+(1-EXP(-LN(2)/2))/(LN(2)/2)*AQ128*AT128*VLOOKUP('Données projet'!$B$10,Paramètres!$A$1:$I$89,3,0)*0.475*44/12</f>
        <v>1.5198714882599237E-13</v>
      </c>
      <c r="AX128" s="21">
        <f t="shared" si="60"/>
        <v>2.0167629473822748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5.6843418860808015E-14</v>
      </c>
      <c r="BE128" s="13">
        <f>BD128*VLOOKUP('Données projet'!$B$11,Paramètres!$A$1:$I$89,3,0)*VLOOKUP('Données projet'!$B$11,Paramètres!$A$1:$I$89,5,0)</f>
        <v>4.6111381379887463E-14</v>
      </c>
      <c r="BF128" s="13">
        <f t="shared" si="91"/>
        <v>7.5804141040779151E-13</v>
      </c>
      <c r="BG128" s="20">
        <f t="shared" si="61"/>
        <v>1.4005661123635408E-12</v>
      </c>
      <c r="BH128" s="59">
        <f t="shared" si="62"/>
        <v>293.33333333333474</v>
      </c>
      <c r="BI128" s="59">
        <f ca="1">AVERAGE(OFFSET($BH$3,0,0,'Données projet'!$E$11+1,1))-AVERAGE(OFFSET($H$3,0,0,'Données projet'!$E$11+1,1))</f>
        <v>230.68538392491388</v>
      </c>
      <c r="BJ128" s="59">
        <f t="shared" si="92"/>
        <v>267.97457956620724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0.61070378547739546</v>
      </c>
      <c r="BR128" s="21">
        <f>EXP(-LN(2)/2)*BR127+(1-EXP(-LN(2)/2))/(LN(2)/2)*BL128*BO128*VLOOKUP('Données projet'!$B$11,Paramètres!$A$1:$I$89,3,0)*0.475*44/12</f>
        <v>5.5129434804565966E-14</v>
      </c>
      <c r="BS128" s="22">
        <f t="shared" si="63"/>
        <v>0.61070378547745063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2.8421709430404007E-14</v>
      </c>
      <c r="BZ128" s="13">
        <f>BY128*VLOOKUP('Données projet'!$B$12,Paramètres!$A$1:$I$89,3,0)*VLOOKUP('Données projet'!$B$12,Paramètres!$A$1:$I$89,5,0)</f>
        <v>3.2366642699344085E-14</v>
      </c>
      <c r="CA128" s="13">
        <f t="shared" si="93"/>
        <v>5.5446527398450045E-13</v>
      </c>
      <c r="CB128" s="20">
        <f t="shared" si="64"/>
        <v>1.0220655882243624E-12</v>
      </c>
      <c r="CC128" s="59">
        <f t="shared" si="65"/>
        <v>293.33333333333434</v>
      </c>
      <c r="CD128" s="59">
        <f ca="1">AVERAGE(OFFSET($CC$3,0,0,'Données projet'!$E$12+1,1))-AVERAGE(OFFSET($H$3,0,0,'Données projet'!$E$12+1,1))</f>
        <v>242.1473060698724</v>
      </c>
      <c r="CE128" s="59">
        <f t="shared" si="94"/>
        <v>96.127995920458659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0</v>
      </c>
      <c r="CZ128" s="59">
        <f t="shared" si="96"/>
        <v>0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0</v>
      </c>
      <c r="DU128" s="59">
        <f t="shared" si="98"/>
        <v>0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1.3596945791505279E-13</v>
      </c>
      <c r="P129" s="13">
        <f t="shared" si="87"/>
        <v>1.9708830566360721E-12</v>
      </c>
      <c r="Q129" s="20">
        <f t="shared" si="107"/>
        <v>3.669434796176543E-12</v>
      </c>
      <c r="R129" s="59">
        <f t="shared" si="55"/>
        <v>293.33333333333701</v>
      </c>
      <c r="S129" s="59">
        <f ca="1">AVERAGE(OFFSET($R$3,0,0,'Données projet'!$E$9+1,1))-AVERAGE(OFFSET($H$3,0,0,'Données projet'!$E$9+1,1))</f>
        <v>212.98969326021802</v>
      </c>
      <c r="T129" s="59">
        <f t="shared" si="88"/>
        <v>422.91218020922895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11.134062697982648</v>
      </c>
      <c r="AA129" s="21">
        <f>EXP(-LN(2)/25)*AA128+(1-EXP(-LN(2)/25))/(LN(2)/25)*Calculateur!V129*Calculateur!X129*VLOOKUP('Données projet'!$B$9,Paramètres!$A$1:$I$89,3,0)*0.475*44/12</f>
        <v>4.7166893477917071</v>
      </c>
      <c r="AB129" s="21">
        <f>EXP(-LN(2)/2)*AB128+(1-EXP(-LN(2)/2))/(LN(2)/2)*V129*Y129*VLOOKUP('Données projet'!$B$9,Paramètres!$A$1:$I$89,3,0)*0.475*44/12</f>
        <v>1.8230329000350718E-12</v>
      </c>
      <c r="AC129" s="22">
        <f t="shared" si="57"/>
        <v>15.850752045776177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-7.9580786405131221E-13</v>
      </c>
      <c r="AJ129" s="13">
        <f>AI129*VLOOKUP('Données projet'!$B$10,Paramètres!$A$1:$I$89,3,0)*VLOOKUP('Données projet'!$B$10,Paramètres!$A$1:$I$89,5,0)</f>
        <v>-4.758931027026848E-13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318.09371753144256</v>
      </c>
      <c r="AO129" s="59">
        <f t="shared" si="90"/>
        <v>298.61479562586919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0.52261979598966923</v>
      </c>
      <c r="AV129" s="21">
        <f>EXP(-LN(2)/25)*AV128+(1-EXP(-LN(2)/25))/(LN(2)/25)*Calculateur!AQ129*Calculateur!AS129*VLOOKUP('Données projet'!$B$10,Paramètres!$A$1:$I$89,3,0)*0.475*44/12</f>
        <v>1.4431183356253203</v>
      </c>
      <c r="AW129" s="21">
        <f>EXP(-LN(2)/2)*AW128+(1-EXP(-LN(2)/2))/(LN(2)/2)*AQ129*AT129*VLOOKUP('Données projet'!$B$10,Paramètres!$A$1:$I$89,3,0)*0.475*44/12</f>
        <v>1.0747114358806822E-13</v>
      </c>
      <c r="AX129" s="21">
        <f t="shared" si="60"/>
        <v>1.965738131615097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5.6843418860808015E-14</v>
      </c>
      <c r="BE129" s="13">
        <f>BD129*VLOOKUP('Données projet'!$B$11,Paramètres!$A$1:$I$89,3,0)*VLOOKUP('Données projet'!$B$11,Paramètres!$A$1:$I$89,5,0)</f>
        <v>4.6111381379887463E-14</v>
      </c>
      <c r="BF129" s="13">
        <f t="shared" si="91"/>
        <v>7.5804141040779151E-13</v>
      </c>
      <c r="BG129" s="20">
        <f t="shared" si="61"/>
        <v>1.4005661123635408E-12</v>
      </c>
      <c r="BH129" s="59">
        <f t="shared" si="62"/>
        <v>293.33333333333474</v>
      </c>
      <c r="BI129" s="59">
        <f ca="1">AVERAGE(OFFSET($BH$3,0,0,'Données projet'!$E$11+1,1))-AVERAGE(OFFSET($H$3,0,0,'Données projet'!$E$11+1,1))</f>
        <v>230.68538392491388</v>
      </c>
      <c r="BJ129" s="59">
        <f t="shared" si="92"/>
        <v>267.97457956620724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0.59400405834799974</v>
      </c>
      <c r="BR129" s="21">
        <f>EXP(-LN(2)/2)*BR128+(1-EXP(-LN(2)/2))/(LN(2)/2)*BL129*BO129*VLOOKUP('Données projet'!$B$11,Paramètres!$A$1:$I$89,3,0)*0.475*44/12</f>
        <v>3.8982397193290264E-14</v>
      </c>
      <c r="BS129" s="22">
        <f t="shared" si="63"/>
        <v>0.59400405834803871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2.8421709430404007E-14</v>
      </c>
      <c r="BZ129" s="13">
        <f>BY129*VLOOKUP('Données projet'!$B$12,Paramètres!$A$1:$I$89,3,0)*VLOOKUP('Données projet'!$B$12,Paramètres!$A$1:$I$89,5,0)</f>
        <v>3.2366642699344085E-14</v>
      </c>
      <c r="CA129" s="13">
        <f t="shared" si="93"/>
        <v>5.5446527398450045E-13</v>
      </c>
      <c r="CB129" s="20">
        <f t="shared" si="64"/>
        <v>1.0220655882243624E-12</v>
      </c>
      <c r="CC129" s="59">
        <f t="shared" si="65"/>
        <v>293.33333333333434</v>
      </c>
      <c r="CD129" s="59">
        <f ca="1">AVERAGE(OFFSET($CC$3,0,0,'Données projet'!$E$12+1,1))-AVERAGE(OFFSET($H$3,0,0,'Données projet'!$E$12+1,1))</f>
        <v>242.1473060698724</v>
      </c>
      <c r="CE129" s="59">
        <f t="shared" si="94"/>
        <v>96.127995920458659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0</v>
      </c>
      <c r="CZ129" s="59">
        <f t="shared" si="96"/>
        <v>0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0</v>
      </c>
      <c r="DU129" s="59">
        <f t="shared" si="98"/>
        <v>0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1.3596945791505279E-13</v>
      </c>
      <c r="P130" s="13">
        <f t="shared" si="87"/>
        <v>1.9708830566360721E-12</v>
      </c>
      <c r="Q130" s="20">
        <f t="shared" si="107"/>
        <v>3.669434796176543E-12</v>
      </c>
      <c r="R130" s="59">
        <f t="shared" si="55"/>
        <v>293.33333333333701</v>
      </c>
      <c r="S130" s="59">
        <f ca="1">AVERAGE(OFFSET($R$3,0,0,'Données projet'!$E$9+1,1))-AVERAGE(OFFSET($H$3,0,0,'Données projet'!$E$9+1,1))</f>
        <v>212.98969326021802</v>
      </c>
      <c r="T130" s="59">
        <f t="shared" si="88"/>
        <v>422.91218020922895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10.915730519582887</v>
      </c>
      <c r="AA130" s="21">
        <f>EXP(-LN(2)/25)*AA129+(1-EXP(-LN(2)/25))/(LN(2)/25)*Calculateur!V130*Calculateur!X130*VLOOKUP('Données projet'!$B$9,Paramètres!$A$1:$I$89,3,0)*0.475*44/12</f>
        <v>4.5877112295364304</v>
      </c>
      <c r="AB130" s="21">
        <f>EXP(-LN(2)/2)*AB129+(1-EXP(-LN(2)/2))/(LN(2)/2)*V130*Y130*VLOOKUP('Données projet'!$B$9,Paramètres!$A$1:$I$89,3,0)*0.475*44/12</f>
        <v>1.2890789259409767E-12</v>
      </c>
      <c r="AC130" s="22">
        <f t="shared" si="57"/>
        <v>15.503441749120608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-7.9580786405131221E-13</v>
      </c>
      <c r="AJ130" s="13">
        <f>AI130*VLOOKUP('Données projet'!$B$10,Paramètres!$A$1:$I$89,3,0)*VLOOKUP('Données projet'!$B$10,Paramètres!$A$1:$I$89,5,0)</f>
        <v>-4.758931027026848E-13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318.09371753144256</v>
      </c>
      <c r="AO130" s="59">
        <f t="shared" si="90"/>
        <v>298.61479562586919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0.51237154055691181</v>
      </c>
      <c r="AV130" s="21">
        <f>EXP(-LN(2)/25)*AV129+(1-EXP(-LN(2)/25))/(LN(2)/25)*Calculateur!AQ130*Calculateur!AS130*VLOOKUP('Données projet'!$B$10,Paramètres!$A$1:$I$89,3,0)*0.475*44/12</f>
        <v>1.4036561888473509</v>
      </c>
      <c r="AW130" s="21">
        <f>EXP(-LN(2)/2)*AW129+(1-EXP(-LN(2)/2))/(LN(2)/2)*AQ130*AT130*VLOOKUP('Données projet'!$B$10,Paramètres!$A$1:$I$89,3,0)*0.475*44/12</f>
        <v>7.5993574412996187E-14</v>
      </c>
      <c r="AX130" s="21">
        <f t="shared" si="60"/>
        <v>1.9160277294043386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5.6843418860808015E-14</v>
      </c>
      <c r="BE130" s="13">
        <f>BD130*VLOOKUP('Données projet'!$B$11,Paramètres!$A$1:$I$89,3,0)*VLOOKUP('Données projet'!$B$11,Paramètres!$A$1:$I$89,5,0)</f>
        <v>4.6111381379887463E-14</v>
      </c>
      <c r="BF130" s="13">
        <f t="shared" si="91"/>
        <v>7.5804141040779151E-13</v>
      </c>
      <c r="BG130" s="20">
        <f t="shared" si="61"/>
        <v>1.4005661123635408E-12</v>
      </c>
      <c r="BH130" s="59">
        <f t="shared" si="62"/>
        <v>293.33333333333474</v>
      </c>
      <c r="BI130" s="59">
        <f ca="1">AVERAGE(OFFSET($BH$3,0,0,'Données projet'!$E$11+1,1))-AVERAGE(OFFSET($H$3,0,0,'Données projet'!$E$11+1,1))</f>
        <v>230.68538392491388</v>
      </c>
      <c r="BJ130" s="59">
        <f t="shared" si="92"/>
        <v>267.97457956620724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0.57776098613515792</v>
      </c>
      <c r="BR130" s="21">
        <f>EXP(-LN(2)/2)*BR129+(1-EXP(-LN(2)/2))/(LN(2)/2)*BL130*BO130*VLOOKUP('Données projet'!$B$11,Paramètres!$A$1:$I$89,3,0)*0.475*44/12</f>
        <v>2.7564717402282983E-14</v>
      </c>
      <c r="BS130" s="22">
        <f t="shared" si="63"/>
        <v>0.57776098613518545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2.8421709430404007E-14</v>
      </c>
      <c r="BZ130" s="13">
        <f>BY130*VLOOKUP('Données projet'!$B$12,Paramètres!$A$1:$I$89,3,0)*VLOOKUP('Données projet'!$B$12,Paramètres!$A$1:$I$89,5,0)</f>
        <v>3.2366642699344085E-14</v>
      </c>
      <c r="CA130" s="13">
        <f t="shared" si="93"/>
        <v>5.5446527398450045E-13</v>
      </c>
      <c r="CB130" s="20">
        <f t="shared" si="64"/>
        <v>1.0220655882243624E-12</v>
      </c>
      <c r="CC130" s="59">
        <f t="shared" si="65"/>
        <v>293.33333333333434</v>
      </c>
      <c r="CD130" s="59">
        <f ca="1">AVERAGE(OFFSET($CC$3,0,0,'Données projet'!$E$12+1,1))-AVERAGE(OFFSET($H$3,0,0,'Données projet'!$E$12+1,1))</f>
        <v>242.1473060698724</v>
      </c>
      <c r="CE130" s="59">
        <f t="shared" si="94"/>
        <v>96.127995920458659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0</v>
      </c>
      <c r="CZ130" s="59">
        <f t="shared" si="96"/>
        <v>0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0</v>
      </c>
      <c r="DU130" s="59">
        <f t="shared" si="98"/>
        <v>0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1.3596945791505279E-13</v>
      </c>
      <c r="P131" s="13">
        <f t="shared" si="87"/>
        <v>1.9708830566360721E-12</v>
      </c>
      <c r="Q131" s="20">
        <f t="shared" ref="Q131:Q153" si="108">(O131+P131)*0.475*44/12</f>
        <v>3.669434796176543E-12</v>
      </c>
      <c r="R131" s="59">
        <f t="shared" ref="R131:R194" si="109">Q131+(I131+J131)*44/12</f>
        <v>293.33333333333701</v>
      </c>
      <c r="S131" s="59">
        <f ca="1">AVERAGE(OFFSET($R$3,0,0,'Données projet'!$E$9+1,1))-AVERAGE(OFFSET($H$3,0,0,'Données projet'!$E$9+1,1))</f>
        <v>212.98969326021802</v>
      </c>
      <c r="T131" s="59">
        <f t="shared" si="88"/>
        <v>422.91218020922895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10.701679702032067</v>
      </c>
      <c r="AA131" s="21">
        <f>EXP(-LN(2)/25)*AA130+(1-EXP(-LN(2)/25))/(LN(2)/25)*Calculateur!V131*Calculateur!X131*VLOOKUP('Données projet'!$B$9,Paramètres!$A$1:$I$89,3,0)*0.475*44/12</f>
        <v>4.4622600247075086</v>
      </c>
      <c r="AB131" s="21">
        <f>EXP(-LN(2)/2)*AB130+(1-EXP(-LN(2)/2))/(LN(2)/2)*V131*Y131*VLOOKUP('Données projet'!$B$9,Paramètres!$A$1:$I$89,3,0)*0.475*44/12</f>
        <v>9.1151645001753589E-13</v>
      </c>
      <c r="AC131" s="22">
        <f t="shared" si="57"/>
        <v>15.163939726740486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-7.9580786405131221E-13</v>
      </c>
      <c r="AJ131" s="13">
        <f>AI131*VLOOKUP('Données projet'!$B$10,Paramètres!$A$1:$I$89,3,0)*VLOOKUP('Données projet'!$B$10,Paramètres!$A$1:$I$89,5,0)</f>
        <v>-4.758931027026848E-13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318.09371753144256</v>
      </c>
      <c r="AO131" s="59">
        <f t="shared" si="90"/>
        <v>298.61479562586919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0.50232424716237212</v>
      </c>
      <c r="AV131" s="21">
        <f>EXP(-LN(2)/25)*AV130+(1-EXP(-LN(2)/25))/(LN(2)/25)*Calculateur!AQ131*Calculateur!AS131*VLOOKUP('Données projet'!$B$10,Paramètres!$A$1:$I$89,3,0)*0.475*44/12</f>
        <v>1.3652731365482491</v>
      </c>
      <c r="AW131" s="21">
        <f>EXP(-LN(2)/2)*AW130+(1-EXP(-LN(2)/2))/(LN(2)/2)*AQ131*AT131*VLOOKUP('Données projet'!$B$10,Paramètres!$A$1:$I$89,3,0)*0.475*44/12</f>
        <v>5.3735571794034112E-14</v>
      </c>
      <c r="AX131" s="21">
        <f t="shared" si="60"/>
        <v>1.867597383710675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5.6843418860808015E-14</v>
      </c>
      <c r="BE131" s="13">
        <f>BD131*VLOOKUP('Données projet'!$B$11,Paramètres!$A$1:$I$89,3,0)*VLOOKUP('Données projet'!$B$11,Paramètres!$A$1:$I$89,5,0)</f>
        <v>4.6111381379887463E-14</v>
      </c>
      <c r="BF131" s="13">
        <f t="shared" si="91"/>
        <v>7.5804141040779151E-13</v>
      </c>
      <c r="BG131" s="20">
        <f t="shared" si="61"/>
        <v>1.4005661123635408E-12</v>
      </c>
      <c r="BH131" s="59">
        <f t="shared" si="62"/>
        <v>293.33333333333474</v>
      </c>
      <c r="BI131" s="59">
        <f ca="1">AVERAGE(OFFSET($BH$3,0,0,'Données projet'!$E$11+1,1))-AVERAGE(OFFSET($H$3,0,0,'Données projet'!$E$11+1,1))</f>
        <v>230.68538392491388</v>
      </c>
      <c r="BJ131" s="59">
        <f t="shared" si="92"/>
        <v>267.97457956620724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0.56196208158616223</v>
      </c>
      <c r="BR131" s="21">
        <f>EXP(-LN(2)/2)*BR130+(1-EXP(-LN(2)/2))/(LN(2)/2)*BL131*BO131*VLOOKUP('Données projet'!$B$11,Paramètres!$A$1:$I$89,3,0)*0.475*44/12</f>
        <v>1.9491198596645132E-14</v>
      </c>
      <c r="BS131" s="22">
        <f t="shared" si="63"/>
        <v>0.56196208158618177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2.8421709430404007E-14</v>
      </c>
      <c r="BZ131" s="13">
        <f>BY131*VLOOKUP('Données projet'!$B$12,Paramètres!$A$1:$I$89,3,0)*VLOOKUP('Données projet'!$B$12,Paramètres!$A$1:$I$89,5,0)</f>
        <v>3.2366642699344085E-14</v>
      </c>
      <c r="CA131" s="13">
        <f t="shared" si="93"/>
        <v>5.5446527398450045E-13</v>
      </c>
      <c r="CB131" s="20">
        <f t="shared" si="64"/>
        <v>1.0220655882243624E-12</v>
      </c>
      <c r="CC131" s="59">
        <f t="shared" si="65"/>
        <v>293.33333333333434</v>
      </c>
      <c r="CD131" s="59">
        <f ca="1">AVERAGE(OFFSET($CC$3,0,0,'Données projet'!$E$12+1,1))-AVERAGE(OFFSET($H$3,0,0,'Données projet'!$E$12+1,1))</f>
        <v>242.1473060698724</v>
      </c>
      <c r="CE131" s="59">
        <f t="shared" si="94"/>
        <v>96.127995920458659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0</v>
      </c>
      <c r="CZ131" s="59">
        <f t="shared" si="96"/>
        <v>0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0</v>
      </c>
      <c r="DU131" s="59">
        <f t="shared" si="98"/>
        <v>0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1.3596945791505279E-13</v>
      </c>
      <c r="P132" s="13">
        <f t="shared" si="87"/>
        <v>1.9708830566360721E-12</v>
      </c>
      <c r="Q132" s="20">
        <f t="shared" si="108"/>
        <v>3.669434796176543E-12</v>
      </c>
      <c r="R132" s="59">
        <f t="shared" si="109"/>
        <v>293.33333333333701</v>
      </c>
      <c r="S132" s="59">
        <f ca="1">AVERAGE(OFFSET($R$3,0,0,'Données projet'!$E$9+1,1))-AVERAGE(OFFSET($H$3,0,0,'Données projet'!$E$9+1,1))</f>
        <v>212.98969326021802</v>
      </c>
      <c r="T132" s="59">
        <f t="shared" si="88"/>
        <v>422.91218020922895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10.491826290455311</v>
      </c>
      <c r="AA132" s="21">
        <f>EXP(-LN(2)/25)*AA131+(1-EXP(-LN(2)/25))/(LN(2)/25)*Calculateur!V132*Calculateur!X132*VLOOKUP('Données projet'!$B$9,Paramètres!$A$1:$I$89,3,0)*0.475*44/12</f>
        <v>4.3402392896718256</v>
      </c>
      <c r="AB132" s="21">
        <f>EXP(-LN(2)/2)*AB131+(1-EXP(-LN(2)/2))/(LN(2)/2)*V132*Y132*VLOOKUP('Données projet'!$B$9,Paramètres!$A$1:$I$89,3,0)*0.475*44/12</f>
        <v>6.4453946297048835E-13</v>
      </c>
      <c r="AC132" s="22">
        <f t="shared" ref="AC132:AC153" si="111">SUM(Z132:AB132)</f>
        <v>14.832065580127781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-7.9580786405131221E-13</v>
      </c>
      <c r="AJ132" s="13">
        <f>AI132*VLOOKUP('Données projet'!$B$10,Paramètres!$A$1:$I$89,3,0)*VLOOKUP('Données projet'!$B$10,Paramètres!$A$1:$I$89,5,0)</f>
        <v>-4.758931027026848E-13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318.09371753144256</v>
      </c>
      <c r="AO132" s="59">
        <f t="shared" si="90"/>
        <v>298.61479562586919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0.49247397506305551</v>
      </c>
      <c r="AV132" s="21">
        <f>EXP(-LN(2)/25)*AV131+(1-EXP(-LN(2)/25))/(LN(2)/25)*Calculateur!AQ132*Calculateur!AS132*VLOOKUP('Données projet'!$B$10,Paramètres!$A$1:$I$89,3,0)*0.475*44/12</f>
        <v>1.3279396708327433</v>
      </c>
      <c r="AW132" s="21">
        <f>EXP(-LN(2)/2)*AW131+(1-EXP(-LN(2)/2))/(LN(2)/2)*AQ132*AT132*VLOOKUP('Données projet'!$B$10,Paramètres!$A$1:$I$89,3,0)*0.475*44/12</f>
        <v>3.7996787206498093E-14</v>
      </c>
      <c r="AX132" s="21">
        <f t="shared" ref="AX132:AX153" si="114">SUM(AU132:AW132)</f>
        <v>1.8204136458958369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5.6843418860808015E-14</v>
      </c>
      <c r="BE132" s="13">
        <f>BD132*VLOOKUP('Données projet'!$B$11,Paramètres!$A$1:$I$89,3,0)*VLOOKUP('Données projet'!$B$11,Paramètres!$A$1:$I$89,5,0)</f>
        <v>4.6111381379887463E-14</v>
      </c>
      <c r="BF132" s="13">
        <f t="shared" si="91"/>
        <v>7.5804141040779151E-13</v>
      </c>
      <c r="BG132" s="20">
        <f t="shared" ref="BG132:BG153" si="115">(BE132+BF132)*0.475*44/12</f>
        <v>1.4005661123635408E-12</v>
      </c>
      <c r="BH132" s="59">
        <f t="shared" ref="BH132:BH195" si="116">BG132+(AY132+AZ132)*44/12</f>
        <v>293.33333333333474</v>
      </c>
      <c r="BI132" s="59">
        <f ca="1">AVERAGE(OFFSET($BH$3,0,0,'Données projet'!$E$11+1,1))-AVERAGE(OFFSET($H$3,0,0,'Données projet'!$E$11+1,1))</f>
        <v>230.68538392491388</v>
      </c>
      <c r="BJ132" s="59">
        <f t="shared" si="92"/>
        <v>267.97457956620724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0.5465951989128871</v>
      </c>
      <c r="BR132" s="21">
        <f>EXP(-LN(2)/2)*BR131+(1-EXP(-LN(2)/2))/(LN(2)/2)*BL132*BO132*VLOOKUP('Données projet'!$B$11,Paramètres!$A$1:$I$89,3,0)*0.475*44/12</f>
        <v>1.3782358701141492E-14</v>
      </c>
      <c r="BS132" s="22">
        <f t="shared" ref="BS132:BS153" si="117">SUM(BP132:BR132)</f>
        <v>0.54659519891290087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2.8421709430404007E-14</v>
      </c>
      <c r="BZ132" s="13">
        <f>BY132*VLOOKUP('Données projet'!$B$12,Paramètres!$A$1:$I$89,3,0)*VLOOKUP('Données projet'!$B$12,Paramètres!$A$1:$I$89,5,0)</f>
        <v>3.2366642699344085E-14</v>
      </c>
      <c r="CA132" s="13">
        <f t="shared" si="93"/>
        <v>5.5446527398450045E-13</v>
      </c>
      <c r="CB132" s="20">
        <f t="shared" ref="CB132:CB153" si="118">(BZ132+CA132)*0.475*44/12</f>
        <v>1.0220655882243624E-12</v>
      </c>
      <c r="CC132" s="59">
        <f t="shared" ref="CC132:CC195" si="119">CB132+(BT132+BU132)*44/12</f>
        <v>293.33333333333434</v>
      </c>
      <c r="CD132" s="59">
        <f ca="1">AVERAGE(OFFSET($CC$3,0,0,'Données projet'!$E$12+1,1))-AVERAGE(OFFSET($H$3,0,0,'Données projet'!$E$12+1,1))</f>
        <v>242.1473060698724</v>
      </c>
      <c r="CE132" s="59">
        <f t="shared" si="94"/>
        <v>96.127995920458659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0</v>
      </c>
      <c r="CZ132" s="59">
        <f t="shared" si="96"/>
        <v>0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0</v>
      </c>
      <c r="DU132" s="59">
        <f t="shared" si="98"/>
        <v>0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1.3596945791505279E-13</v>
      </c>
      <c r="P133" s="13">
        <f t="shared" ref="P133:P196" si="141">EXP(-1.0587+0.8836*LN(O133)+0.284)</f>
        <v>1.9708830566360721E-12</v>
      </c>
      <c r="Q133" s="20">
        <f t="shared" si="108"/>
        <v>3.669434796176543E-12</v>
      </c>
      <c r="R133" s="59">
        <f t="shared" si="109"/>
        <v>293.33333333333701</v>
      </c>
      <c r="S133" s="59">
        <f ca="1">AVERAGE(OFFSET($R$3,0,0,'Données projet'!$E$9+1,1))-AVERAGE(OFFSET($H$3,0,0,'Données projet'!$E$9+1,1))</f>
        <v>212.98969326021802</v>
      </c>
      <c r="T133" s="59">
        <f t="shared" ref="T133:T196" si="142">$T$3</f>
        <v>422.91218020922895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10.286087976281634</v>
      </c>
      <c r="AA133" s="21">
        <f>EXP(-LN(2)/25)*AA132+(1-EXP(-LN(2)/25))/(LN(2)/25)*Calculateur!V133*Calculateur!X133*VLOOKUP('Données projet'!$B$9,Paramètres!$A$1:$I$89,3,0)*0.475*44/12</f>
        <v>4.2215552180524849</v>
      </c>
      <c r="AB133" s="21">
        <f>EXP(-LN(2)/2)*AB132+(1-EXP(-LN(2)/2))/(LN(2)/2)*V133*Y133*VLOOKUP('Données projet'!$B$9,Paramètres!$A$1:$I$89,3,0)*0.475*44/12</f>
        <v>4.5575822500876795E-13</v>
      </c>
      <c r="AC133" s="22">
        <f t="shared" si="111"/>
        <v>14.507643194334575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-7.9580786405131221E-13</v>
      </c>
      <c r="AJ133" s="13">
        <f>AI133*VLOOKUP('Données projet'!$B$10,Paramètres!$A$1:$I$89,3,0)*VLOOKUP('Données projet'!$B$10,Paramètres!$A$1:$I$89,5,0)</f>
        <v>-4.758931027026848E-13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318.09371753144256</v>
      </c>
      <c r="AO133" s="59">
        <f t="shared" ref="AO133:AO196" si="144">$AO$3</f>
        <v>298.61479562586919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0.4828168607915338</v>
      </c>
      <c r="AV133" s="21">
        <f>EXP(-LN(2)/25)*AV132+(1-EXP(-LN(2)/25))/(LN(2)/25)*Calculateur!AQ133*Calculateur!AS133*VLOOKUP('Données projet'!$B$10,Paramètres!$A$1:$I$89,3,0)*0.475*44/12</f>
        <v>1.2916270907005096</v>
      </c>
      <c r="AW133" s="21">
        <f>EXP(-LN(2)/2)*AW132+(1-EXP(-LN(2)/2))/(LN(2)/2)*AQ133*AT133*VLOOKUP('Données projet'!$B$10,Paramètres!$A$1:$I$89,3,0)*0.475*44/12</f>
        <v>2.6867785897017056E-14</v>
      </c>
      <c r="AX133" s="21">
        <f t="shared" si="114"/>
        <v>1.7744439514920702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5.6843418860808015E-14</v>
      </c>
      <c r="BE133" s="13">
        <f>BD133*VLOOKUP('Données projet'!$B$11,Paramètres!$A$1:$I$89,3,0)*VLOOKUP('Données projet'!$B$11,Paramètres!$A$1:$I$89,5,0)</f>
        <v>4.6111381379887463E-14</v>
      </c>
      <c r="BF133" s="13">
        <f t="shared" ref="BF133:BF153" si="145">EXP(-1.0587+0.8836*LN(BE133)+0.284)</f>
        <v>7.5804141040779151E-13</v>
      </c>
      <c r="BG133" s="20">
        <f t="shared" si="115"/>
        <v>1.4005661123635408E-12</v>
      </c>
      <c r="BH133" s="59">
        <f t="shared" si="116"/>
        <v>293.33333333333474</v>
      </c>
      <c r="BI133" s="59">
        <f ca="1">AVERAGE(OFFSET($BH$3,0,0,'Données projet'!$E$11+1,1))-AVERAGE(OFFSET($H$3,0,0,'Données projet'!$E$11+1,1))</f>
        <v>230.68538392491388</v>
      </c>
      <c r="BJ133" s="59">
        <f t="shared" ref="BJ133:BJ196" si="146">$BJ$3</f>
        <v>267.97457956620724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0.5316485244544219</v>
      </c>
      <c r="BR133" s="21">
        <f>EXP(-LN(2)/2)*BR132+(1-EXP(-LN(2)/2))/(LN(2)/2)*BL133*BO133*VLOOKUP('Données projet'!$B$11,Paramètres!$A$1:$I$89,3,0)*0.475*44/12</f>
        <v>9.7455992983225659E-15</v>
      </c>
      <c r="BS133" s="22">
        <f t="shared" si="117"/>
        <v>0.53164852445443167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2.8421709430404007E-14</v>
      </c>
      <c r="BZ133" s="13">
        <f>BY133*VLOOKUP('Données projet'!$B$12,Paramètres!$A$1:$I$89,3,0)*VLOOKUP('Données projet'!$B$12,Paramètres!$A$1:$I$89,5,0)</f>
        <v>3.2366642699344085E-14</v>
      </c>
      <c r="CA133" s="13">
        <f t="shared" ref="CA133:CA153" si="147">EXP(-1.0587+0.8836*LN(BZ133)+0.284)</f>
        <v>5.5446527398450045E-13</v>
      </c>
      <c r="CB133" s="20">
        <f t="shared" si="118"/>
        <v>1.0220655882243624E-12</v>
      </c>
      <c r="CC133" s="59">
        <f t="shared" si="119"/>
        <v>293.33333333333434</v>
      </c>
      <c r="CD133" s="59">
        <f ca="1">AVERAGE(OFFSET($CC$3,0,0,'Données projet'!$E$12+1,1))-AVERAGE(OFFSET($H$3,0,0,'Données projet'!$E$12+1,1))</f>
        <v>242.1473060698724</v>
      </c>
      <c r="CE133" s="59">
        <f t="shared" ref="CE133:CE196" si="148">$CE$3</f>
        <v>96.127995920458659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0</v>
      </c>
      <c r="CZ133" s="59">
        <f t="shared" ref="CZ133:CZ196" si="150">$CZ$3</f>
        <v>0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0</v>
      </c>
      <c r="DU133" s="59">
        <f t="shared" ref="DU133:DU196" si="152">$DU$3</f>
        <v>0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1.3596945791505279E-13</v>
      </c>
      <c r="P134" s="13">
        <f t="shared" si="141"/>
        <v>1.9708830566360721E-12</v>
      </c>
      <c r="Q134" s="20">
        <f t="shared" si="108"/>
        <v>3.669434796176543E-12</v>
      </c>
      <c r="R134" s="59">
        <f t="shared" si="109"/>
        <v>293.33333333333701</v>
      </c>
      <c r="S134" s="59">
        <f ca="1">AVERAGE(OFFSET($R$3,0,0,'Données projet'!$E$9+1,1))-AVERAGE(OFFSET($H$3,0,0,'Données projet'!$E$9+1,1))</f>
        <v>212.98969326021802</v>
      </c>
      <c r="T134" s="59">
        <f t="shared" si="142"/>
        <v>422.91218020922895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10.08438406496092</v>
      </c>
      <c r="AA134" s="21">
        <f>EXP(-LN(2)/25)*AA133+(1-EXP(-LN(2)/25))/(LN(2)/25)*Calculateur!V134*Calculateur!X134*VLOOKUP('Données projet'!$B$9,Paramètres!$A$1:$I$89,3,0)*0.475*44/12</f>
        <v>4.1061165686128991</v>
      </c>
      <c r="AB134" s="21">
        <f>EXP(-LN(2)/2)*AB133+(1-EXP(-LN(2)/2))/(LN(2)/2)*V134*Y134*VLOOKUP('Données projet'!$B$9,Paramètres!$A$1:$I$89,3,0)*0.475*44/12</f>
        <v>3.2226973148524417E-13</v>
      </c>
      <c r="AC134" s="22">
        <f t="shared" si="111"/>
        <v>14.190500633574141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-7.9580786405131221E-13</v>
      </c>
      <c r="AJ134" s="13">
        <f>AI134*VLOOKUP('Données projet'!$B$10,Paramètres!$A$1:$I$89,3,0)*VLOOKUP('Données projet'!$B$10,Paramètres!$A$1:$I$89,5,0)</f>
        <v>-4.758931027026848E-13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318.09371753144256</v>
      </c>
      <c r="AO134" s="59">
        <f t="shared" si="144"/>
        <v>298.61479562586919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0.47334911664061852</v>
      </c>
      <c r="AV134" s="21">
        <f>EXP(-LN(2)/25)*AV133+(1-EXP(-LN(2)/25))/(LN(2)/25)*Calculateur!AQ134*Calculateur!AS134*VLOOKUP('Données projet'!$B$10,Paramètres!$A$1:$I$89,3,0)*0.475*44/12</f>
        <v>1.2563074799815876</v>
      </c>
      <c r="AW134" s="21">
        <f>EXP(-LN(2)/2)*AW133+(1-EXP(-LN(2)/2))/(LN(2)/2)*AQ134*AT134*VLOOKUP('Données projet'!$B$10,Paramètres!$A$1:$I$89,3,0)*0.475*44/12</f>
        <v>1.8998393603249047E-14</v>
      </c>
      <c r="AX134" s="21">
        <f t="shared" si="114"/>
        <v>1.7296565966222253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5.6843418860808015E-14</v>
      </c>
      <c r="BE134" s="13">
        <f>BD134*VLOOKUP('Données projet'!$B$11,Paramètres!$A$1:$I$89,3,0)*VLOOKUP('Données projet'!$B$11,Paramètres!$A$1:$I$89,5,0)</f>
        <v>4.6111381379887463E-14</v>
      </c>
      <c r="BF134" s="13">
        <f t="shared" si="145"/>
        <v>7.5804141040779151E-13</v>
      </c>
      <c r="BG134" s="20">
        <f t="shared" si="115"/>
        <v>1.4005661123635408E-12</v>
      </c>
      <c r="BH134" s="59">
        <f t="shared" si="116"/>
        <v>293.33333333333474</v>
      </c>
      <c r="BI134" s="59">
        <f ca="1">AVERAGE(OFFSET($BH$3,0,0,'Données projet'!$E$11+1,1))-AVERAGE(OFFSET($H$3,0,0,'Données projet'!$E$11+1,1))</f>
        <v>230.68538392491388</v>
      </c>
      <c r="BJ134" s="59">
        <f t="shared" si="146"/>
        <v>267.97457956620724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0.51711056759503493</v>
      </c>
      <c r="BR134" s="21">
        <f>EXP(-LN(2)/2)*BR133+(1-EXP(-LN(2)/2))/(LN(2)/2)*BL134*BO134*VLOOKUP('Données projet'!$B$11,Paramètres!$A$1:$I$89,3,0)*0.475*44/12</f>
        <v>6.8911793505707458E-15</v>
      </c>
      <c r="BS134" s="22">
        <f t="shared" si="117"/>
        <v>0.51711056759504181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2.8421709430404007E-14</v>
      </c>
      <c r="BZ134" s="13">
        <f>BY134*VLOOKUP('Données projet'!$B$12,Paramètres!$A$1:$I$89,3,0)*VLOOKUP('Données projet'!$B$12,Paramètres!$A$1:$I$89,5,0)</f>
        <v>3.2366642699344085E-14</v>
      </c>
      <c r="CA134" s="13">
        <f t="shared" si="147"/>
        <v>5.5446527398450045E-13</v>
      </c>
      <c r="CB134" s="20">
        <f t="shared" si="118"/>
        <v>1.0220655882243624E-12</v>
      </c>
      <c r="CC134" s="59">
        <f t="shared" si="119"/>
        <v>293.33333333333434</v>
      </c>
      <c r="CD134" s="59">
        <f ca="1">AVERAGE(OFFSET($CC$3,0,0,'Données projet'!$E$12+1,1))-AVERAGE(OFFSET($H$3,0,0,'Données projet'!$E$12+1,1))</f>
        <v>242.1473060698724</v>
      </c>
      <c r="CE134" s="59">
        <f t="shared" si="148"/>
        <v>96.127995920458659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0</v>
      </c>
      <c r="CZ134" s="59">
        <f t="shared" si="150"/>
        <v>0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0</v>
      </c>
      <c r="DU134" s="59">
        <f t="shared" si="152"/>
        <v>0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1.3596945791505279E-13</v>
      </c>
      <c r="P135" s="13">
        <f t="shared" si="141"/>
        <v>1.9708830566360721E-12</v>
      </c>
      <c r="Q135" s="20">
        <f t="shared" si="108"/>
        <v>3.669434796176543E-12</v>
      </c>
      <c r="R135" s="59">
        <f t="shared" si="109"/>
        <v>293.33333333333701</v>
      </c>
      <c r="S135" s="59">
        <f ca="1">AVERAGE(OFFSET($R$3,0,0,'Données projet'!$E$9+1,1))-AVERAGE(OFFSET($H$3,0,0,'Données projet'!$E$9+1,1))</f>
        <v>212.98969326021802</v>
      </c>
      <c r="T135" s="59">
        <f t="shared" si="142"/>
        <v>422.91218020922895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9.8866354443139688</v>
      </c>
      <c r="AA135" s="21">
        <f>EXP(-LN(2)/25)*AA134+(1-EXP(-LN(2)/25))/(LN(2)/25)*Calculateur!V135*Calculateur!X135*VLOOKUP('Données projet'!$B$9,Paramètres!$A$1:$I$89,3,0)*0.475*44/12</f>
        <v>3.9938345951128937</v>
      </c>
      <c r="AB135" s="21">
        <f>EXP(-LN(2)/2)*AB134+(1-EXP(-LN(2)/2))/(LN(2)/2)*V135*Y135*VLOOKUP('Données projet'!$B$9,Paramètres!$A$1:$I$89,3,0)*0.475*44/12</f>
        <v>2.2787911250438397E-13</v>
      </c>
      <c r="AC135" s="22">
        <f t="shared" si="111"/>
        <v>13.88047003942709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-7.9580786405131221E-13</v>
      </c>
      <c r="AJ135" s="13">
        <f>AI135*VLOOKUP('Données projet'!$B$10,Paramètres!$A$1:$I$89,3,0)*VLOOKUP('Données projet'!$B$10,Paramètres!$A$1:$I$89,5,0)</f>
        <v>-4.758931027026848E-13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318.09371753144256</v>
      </c>
      <c r="AO135" s="59">
        <f t="shared" si="144"/>
        <v>298.61479562586919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0.46406702917774895</v>
      </c>
      <c r="AV135" s="21">
        <f>EXP(-LN(2)/25)*AV134+(1-EXP(-LN(2)/25))/(LN(2)/25)*Calculateur!AQ135*Calculateur!AS135*VLOOKUP('Données projet'!$B$10,Paramètres!$A$1:$I$89,3,0)*0.475*44/12</f>
        <v>1.2219536858751521</v>
      </c>
      <c r="AW135" s="21">
        <f>EXP(-LN(2)/2)*AW134+(1-EXP(-LN(2)/2))/(LN(2)/2)*AQ135*AT135*VLOOKUP('Données projet'!$B$10,Paramètres!$A$1:$I$89,3,0)*0.475*44/12</f>
        <v>1.3433892948508528E-14</v>
      </c>
      <c r="AX135" s="21">
        <f t="shared" si="114"/>
        <v>1.6860207150529145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5.6843418860808015E-14</v>
      </c>
      <c r="BE135" s="13">
        <f>BD135*VLOOKUP('Données projet'!$B$11,Paramètres!$A$1:$I$89,3,0)*VLOOKUP('Données projet'!$B$11,Paramètres!$A$1:$I$89,5,0)</f>
        <v>4.6111381379887463E-14</v>
      </c>
      <c r="BF135" s="13">
        <f t="shared" si="145"/>
        <v>7.5804141040779151E-13</v>
      </c>
      <c r="BG135" s="20">
        <f t="shared" si="115"/>
        <v>1.4005661123635408E-12</v>
      </c>
      <c r="BH135" s="59">
        <f t="shared" si="116"/>
        <v>293.33333333333474</v>
      </c>
      <c r="BI135" s="59">
        <f ca="1">AVERAGE(OFFSET($BH$3,0,0,'Données projet'!$E$11+1,1))-AVERAGE(OFFSET($H$3,0,0,'Données projet'!$E$11+1,1))</f>
        <v>230.68538392491388</v>
      </c>
      <c r="BJ135" s="59">
        <f t="shared" si="146"/>
        <v>267.97457956620724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0.50297015193048578</v>
      </c>
      <c r="BR135" s="21">
        <f>EXP(-LN(2)/2)*BR134+(1-EXP(-LN(2)/2))/(LN(2)/2)*BL135*BO135*VLOOKUP('Données projet'!$B$11,Paramètres!$A$1:$I$89,3,0)*0.475*44/12</f>
        <v>4.872799649161283E-15</v>
      </c>
      <c r="BS135" s="22">
        <f t="shared" si="117"/>
        <v>0.50297015193049066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2.8421709430404007E-14</v>
      </c>
      <c r="BZ135" s="13">
        <f>BY135*VLOOKUP('Données projet'!$B$12,Paramètres!$A$1:$I$89,3,0)*VLOOKUP('Données projet'!$B$12,Paramètres!$A$1:$I$89,5,0)</f>
        <v>3.2366642699344085E-14</v>
      </c>
      <c r="CA135" s="13">
        <f t="shared" si="147"/>
        <v>5.5446527398450045E-13</v>
      </c>
      <c r="CB135" s="20">
        <f t="shared" si="118"/>
        <v>1.0220655882243624E-12</v>
      </c>
      <c r="CC135" s="59">
        <f t="shared" si="119"/>
        <v>293.33333333333434</v>
      </c>
      <c r="CD135" s="59">
        <f ca="1">AVERAGE(OFFSET($CC$3,0,0,'Données projet'!$E$12+1,1))-AVERAGE(OFFSET($H$3,0,0,'Données projet'!$E$12+1,1))</f>
        <v>242.1473060698724</v>
      </c>
      <c r="CE135" s="59">
        <f t="shared" si="148"/>
        <v>96.127995920458659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0</v>
      </c>
      <c r="CZ135" s="59">
        <f t="shared" si="150"/>
        <v>0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0</v>
      </c>
      <c r="DU135" s="59">
        <f t="shared" si="152"/>
        <v>0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1.3596945791505279E-13</v>
      </c>
      <c r="P136" s="13">
        <f t="shared" si="141"/>
        <v>1.9708830566360721E-12</v>
      </c>
      <c r="Q136" s="20">
        <f t="shared" si="108"/>
        <v>3.669434796176543E-12</v>
      </c>
      <c r="R136" s="59">
        <f t="shared" si="109"/>
        <v>293.33333333333701</v>
      </c>
      <c r="S136" s="59">
        <f ca="1">AVERAGE(OFFSET($R$3,0,0,'Données projet'!$E$9+1,1))-AVERAGE(OFFSET($H$3,0,0,'Données projet'!$E$9+1,1))</f>
        <v>212.98969326021802</v>
      </c>
      <c r="T136" s="59">
        <f t="shared" si="142"/>
        <v>422.91218020922895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9.6927645535031548</v>
      </c>
      <c r="AA136" s="21">
        <f>EXP(-LN(2)/25)*AA135+(1-EXP(-LN(2)/25))/(LN(2)/25)*Calculateur!V136*Calculateur!X136*VLOOKUP('Données projet'!$B$9,Paramètres!$A$1:$I$89,3,0)*0.475*44/12</f>
        <v>3.8846229780828985</v>
      </c>
      <c r="AB136" s="21">
        <f>EXP(-LN(2)/2)*AB135+(1-EXP(-LN(2)/2))/(LN(2)/2)*V136*Y136*VLOOKUP('Données projet'!$B$9,Paramètres!$A$1:$I$89,3,0)*0.475*44/12</f>
        <v>1.6113486574262209E-13</v>
      </c>
      <c r="AC136" s="22">
        <f t="shared" si="111"/>
        <v>13.577387531586215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-7.9580786405131221E-13</v>
      </c>
      <c r="AJ136" s="13">
        <f>AI136*VLOOKUP('Données projet'!$B$10,Paramètres!$A$1:$I$89,3,0)*VLOOKUP('Données projet'!$B$10,Paramètres!$A$1:$I$89,5,0)</f>
        <v>-4.758931027026848E-13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318.09371753144256</v>
      </c>
      <c r="AO136" s="59">
        <f t="shared" si="144"/>
        <v>298.61479562586919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0.45496695778851193</v>
      </c>
      <c r="AV136" s="21">
        <f>EXP(-LN(2)/25)*AV135+(1-EXP(-LN(2)/25))/(LN(2)/25)*Calculateur!AQ136*Calculateur!AS136*VLOOKUP('Données projet'!$B$10,Paramètres!$A$1:$I$89,3,0)*0.475*44/12</f>
        <v>1.1885392980751446</v>
      </c>
      <c r="AW136" s="21">
        <f>EXP(-LN(2)/2)*AW135+(1-EXP(-LN(2)/2))/(LN(2)/2)*AQ136*AT136*VLOOKUP('Données projet'!$B$10,Paramètres!$A$1:$I$89,3,0)*0.475*44/12</f>
        <v>9.4991968016245233E-15</v>
      </c>
      <c r="AX136" s="21">
        <f t="shared" si="114"/>
        <v>1.6435062558636659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5.6843418860808015E-14</v>
      </c>
      <c r="BE136" s="13">
        <f>BD136*VLOOKUP('Données projet'!$B$11,Paramètres!$A$1:$I$89,3,0)*VLOOKUP('Données projet'!$B$11,Paramètres!$A$1:$I$89,5,0)</f>
        <v>4.6111381379887463E-14</v>
      </c>
      <c r="BF136" s="13">
        <f t="shared" si="145"/>
        <v>7.5804141040779151E-13</v>
      </c>
      <c r="BG136" s="20">
        <f t="shared" si="115"/>
        <v>1.4005661123635408E-12</v>
      </c>
      <c r="BH136" s="59">
        <f t="shared" si="116"/>
        <v>293.33333333333474</v>
      </c>
      <c r="BI136" s="59">
        <f ca="1">AVERAGE(OFFSET($BH$3,0,0,'Données projet'!$E$11+1,1))-AVERAGE(OFFSET($H$3,0,0,'Données projet'!$E$11+1,1))</f>
        <v>230.68538392491388</v>
      </c>
      <c r="BJ136" s="59">
        <f t="shared" si="146"/>
        <v>267.97457956620724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0.48921640667589589</v>
      </c>
      <c r="BR136" s="21">
        <f>EXP(-LN(2)/2)*BR135+(1-EXP(-LN(2)/2))/(LN(2)/2)*BL136*BO136*VLOOKUP('Données projet'!$B$11,Paramètres!$A$1:$I$89,3,0)*0.475*44/12</f>
        <v>3.4455896752853729E-15</v>
      </c>
      <c r="BS136" s="22">
        <f t="shared" si="117"/>
        <v>0.48921640667589933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2.8421709430404007E-14</v>
      </c>
      <c r="BZ136" s="13">
        <f>BY136*VLOOKUP('Données projet'!$B$12,Paramètres!$A$1:$I$89,3,0)*VLOOKUP('Données projet'!$B$12,Paramètres!$A$1:$I$89,5,0)</f>
        <v>3.2366642699344085E-14</v>
      </c>
      <c r="CA136" s="13">
        <f t="shared" si="147"/>
        <v>5.5446527398450045E-13</v>
      </c>
      <c r="CB136" s="20">
        <f t="shared" si="118"/>
        <v>1.0220655882243624E-12</v>
      </c>
      <c r="CC136" s="59">
        <f t="shared" si="119"/>
        <v>293.33333333333434</v>
      </c>
      <c r="CD136" s="59">
        <f ca="1">AVERAGE(OFFSET($CC$3,0,0,'Données projet'!$E$12+1,1))-AVERAGE(OFFSET($H$3,0,0,'Données projet'!$E$12+1,1))</f>
        <v>242.1473060698724</v>
      </c>
      <c r="CE136" s="59">
        <f t="shared" si="148"/>
        <v>96.127995920458659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0</v>
      </c>
      <c r="CZ136" s="59">
        <f t="shared" si="150"/>
        <v>0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0</v>
      </c>
      <c r="DU136" s="59">
        <f t="shared" si="152"/>
        <v>0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1.3596945791505279E-13</v>
      </c>
      <c r="P137" s="13">
        <f t="shared" si="141"/>
        <v>1.9708830566360721E-12</v>
      </c>
      <c r="Q137" s="20">
        <f t="shared" si="108"/>
        <v>3.669434796176543E-12</v>
      </c>
      <c r="R137" s="59">
        <f t="shared" si="109"/>
        <v>293.33333333333701</v>
      </c>
      <c r="S137" s="59">
        <f ca="1">AVERAGE(OFFSET($R$3,0,0,'Données projet'!$E$9+1,1))-AVERAGE(OFFSET($H$3,0,0,'Données projet'!$E$9+1,1))</f>
        <v>212.98969326021802</v>
      </c>
      <c r="T137" s="59">
        <f t="shared" si="142"/>
        <v>422.91218020922895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9.5026953526115729</v>
      </c>
      <c r="AA137" s="21">
        <f>EXP(-LN(2)/25)*AA136+(1-EXP(-LN(2)/25))/(LN(2)/25)*Calculateur!V137*Calculateur!X137*VLOOKUP('Données projet'!$B$9,Paramètres!$A$1:$I$89,3,0)*0.475*44/12</f>
        <v>3.7783977584637776</v>
      </c>
      <c r="AB137" s="21">
        <f>EXP(-LN(2)/2)*AB136+(1-EXP(-LN(2)/2))/(LN(2)/2)*V137*Y137*VLOOKUP('Données projet'!$B$9,Paramètres!$A$1:$I$89,3,0)*0.475*44/12</f>
        <v>1.1393955625219199E-13</v>
      </c>
      <c r="AC137" s="22">
        <f t="shared" si="111"/>
        <v>13.281093111075464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-7.9580786405131221E-13</v>
      </c>
      <c r="AJ137" s="13">
        <f>AI137*VLOOKUP('Données projet'!$B$10,Paramètres!$A$1:$I$89,3,0)*VLOOKUP('Données projet'!$B$10,Paramètres!$A$1:$I$89,5,0)</f>
        <v>-4.758931027026848E-13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318.09371753144256</v>
      </c>
      <c r="AO137" s="59">
        <f t="shared" si="144"/>
        <v>298.61479562586919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0.44604533324872236</v>
      </c>
      <c r="AV137" s="21">
        <f>EXP(-LN(2)/25)*AV136+(1-EXP(-LN(2)/25))/(LN(2)/25)*Calculateur!AQ137*Calculateur!AS137*VLOOKUP('Données projet'!$B$10,Paramètres!$A$1:$I$89,3,0)*0.475*44/12</f>
        <v>1.1560386284667146</v>
      </c>
      <c r="AW137" s="21">
        <f>EXP(-LN(2)/2)*AW136+(1-EXP(-LN(2)/2))/(LN(2)/2)*AQ137*AT137*VLOOKUP('Données projet'!$B$10,Paramètres!$A$1:$I$89,3,0)*0.475*44/12</f>
        <v>6.716946474254264E-15</v>
      </c>
      <c r="AX137" s="21">
        <f t="shared" si="114"/>
        <v>1.6020839617154436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5.6843418860808015E-14</v>
      </c>
      <c r="BE137" s="13">
        <f>BD137*VLOOKUP('Données projet'!$B$11,Paramètres!$A$1:$I$89,3,0)*VLOOKUP('Données projet'!$B$11,Paramètres!$A$1:$I$89,5,0)</f>
        <v>4.6111381379887463E-14</v>
      </c>
      <c r="BF137" s="13">
        <f t="shared" si="145"/>
        <v>7.5804141040779151E-13</v>
      </c>
      <c r="BG137" s="20">
        <f t="shared" si="115"/>
        <v>1.4005661123635408E-12</v>
      </c>
      <c r="BH137" s="59">
        <f t="shared" si="116"/>
        <v>293.33333333333474</v>
      </c>
      <c r="BI137" s="59">
        <f ca="1">AVERAGE(OFFSET($BH$3,0,0,'Données projet'!$E$11+1,1))-AVERAGE(OFFSET($H$3,0,0,'Données projet'!$E$11+1,1))</f>
        <v>230.68538392491388</v>
      </c>
      <c r="BJ137" s="59">
        <f t="shared" si="146"/>
        <v>267.97457956620724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0.47583875830857081</v>
      </c>
      <c r="BR137" s="21">
        <f>EXP(-LN(2)/2)*BR136+(1-EXP(-LN(2)/2))/(LN(2)/2)*BL137*BO137*VLOOKUP('Données projet'!$B$11,Paramètres!$A$1:$I$89,3,0)*0.475*44/12</f>
        <v>2.4363998245806415E-15</v>
      </c>
      <c r="BS137" s="22">
        <f t="shared" si="117"/>
        <v>0.47583875830857325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2.8421709430404007E-14</v>
      </c>
      <c r="BZ137" s="13">
        <f>BY137*VLOOKUP('Données projet'!$B$12,Paramètres!$A$1:$I$89,3,0)*VLOOKUP('Données projet'!$B$12,Paramètres!$A$1:$I$89,5,0)</f>
        <v>3.2366642699344085E-14</v>
      </c>
      <c r="CA137" s="13">
        <f t="shared" si="147"/>
        <v>5.5446527398450045E-13</v>
      </c>
      <c r="CB137" s="20">
        <f t="shared" si="118"/>
        <v>1.0220655882243624E-12</v>
      </c>
      <c r="CC137" s="59">
        <f t="shared" si="119"/>
        <v>293.33333333333434</v>
      </c>
      <c r="CD137" s="59">
        <f ca="1">AVERAGE(OFFSET($CC$3,0,0,'Données projet'!$E$12+1,1))-AVERAGE(OFFSET($H$3,0,0,'Données projet'!$E$12+1,1))</f>
        <v>242.1473060698724</v>
      </c>
      <c r="CE137" s="59">
        <f t="shared" si="148"/>
        <v>96.127995920458659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0</v>
      </c>
      <c r="CZ137" s="59">
        <f t="shared" si="150"/>
        <v>0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0</v>
      </c>
      <c r="DU137" s="59">
        <f t="shared" si="152"/>
        <v>0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1.3596945791505279E-13</v>
      </c>
      <c r="P138" s="13">
        <f t="shared" si="141"/>
        <v>1.9708830566360721E-12</v>
      </c>
      <c r="Q138" s="20">
        <f t="shared" si="108"/>
        <v>3.669434796176543E-12</v>
      </c>
      <c r="R138" s="59">
        <f t="shared" si="109"/>
        <v>293.33333333333701</v>
      </c>
      <c r="S138" s="59">
        <f ca="1">AVERAGE(OFFSET($R$3,0,0,'Données projet'!$E$9+1,1))-AVERAGE(OFFSET($H$3,0,0,'Données projet'!$E$9+1,1))</f>
        <v>212.98969326021802</v>
      </c>
      <c r="T138" s="59">
        <f t="shared" si="142"/>
        <v>422.91218020922895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9.3163532928187109</v>
      </c>
      <c r="AA138" s="21">
        <f>EXP(-LN(2)/25)*AA137+(1-EXP(-LN(2)/25))/(LN(2)/25)*Calculateur!V138*Calculateur!X138*VLOOKUP('Données projet'!$B$9,Paramètres!$A$1:$I$89,3,0)*0.475*44/12</f>
        <v>3.6750772730612833</v>
      </c>
      <c r="AB138" s="21">
        <f>EXP(-LN(2)/2)*AB137+(1-EXP(-LN(2)/2))/(LN(2)/2)*V138*Y138*VLOOKUP('Données projet'!$B$9,Paramètres!$A$1:$I$89,3,0)*0.475*44/12</f>
        <v>8.0567432871311043E-14</v>
      </c>
      <c r="AC138" s="22">
        <f t="shared" si="111"/>
        <v>12.991430565880075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-7.9580786405131221E-13</v>
      </c>
      <c r="AJ138" s="13">
        <f>AI138*VLOOKUP('Données projet'!$B$10,Paramètres!$A$1:$I$89,3,0)*VLOOKUP('Données projet'!$B$10,Paramètres!$A$1:$I$89,5,0)</f>
        <v>-4.758931027026848E-13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318.09371753144256</v>
      </c>
      <c r="AO138" s="59">
        <f t="shared" si="144"/>
        <v>298.61479562586919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0.43729865632450443</v>
      </c>
      <c r="AV138" s="21">
        <f>EXP(-LN(2)/25)*AV137+(1-EXP(-LN(2)/25))/(LN(2)/25)*Calculateur!AQ138*Calculateur!AS138*VLOOKUP('Données projet'!$B$10,Paramètres!$A$1:$I$89,3,0)*0.475*44/12</f>
        <v>1.1244266913778629</v>
      </c>
      <c r="AW138" s="21">
        <f>EXP(-LN(2)/2)*AW137+(1-EXP(-LN(2)/2))/(LN(2)/2)*AQ138*AT138*VLOOKUP('Données projet'!$B$10,Paramètres!$A$1:$I$89,3,0)*0.475*44/12</f>
        <v>4.7495984008122617E-15</v>
      </c>
      <c r="AX138" s="21">
        <f t="shared" si="114"/>
        <v>1.561725347702372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5.6843418860808015E-14</v>
      </c>
      <c r="BE138" s="13">
        <f>BD138*VLOOKUP('Données projet'!$B$11,Paramètres!$A$1:$I$89,3,0)*VLOOKUP('Données projet'!$B$11,Paramètres!$A$1:$I$89,5,0)</f>
        <v>4.6111381379887463E-14</v>
      </c>
      <c r="BF138" s="13">
        <f t="shared" si="145"/>
        <v>7.5804141040779151E-13</v>
      </c>
      <c r="BG138" s="20">
        <f t="shared" si="115"/>
        <v>1.4005661123635408E-12</v>
      </c>
      <c r="BH138" s="59">
        <f t="shared" si="116"/>
        <v>293.33333333333474</v>
      </c>
      <c r="BI138" s="59">
        <f ca="1">AVERAGE(OFFSET($BH$3,0,0,'Données projet'!$E$11+1,1))-AVERAGE(OFFSET($H$3,0,0,'Données projet'!$E$11+1,1))</f>
        <v>230.68538392491388</v>
      </c>
      <c r="BJ138" s="59">
        <f t="shared" si="146"/>
        <v>267.97457956620724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0.4628269224393502</v>
      </c>
      <c r="BR138" s="21">
        <f>EXP(-LN(2)/2)*BR137+(1-EXP(-LN(2)/2))/(LN(2)/2)*BL138*BO138*VLOOKUP('Données projet'!$B$11,Paramètres!$A$1:$I$89,3,0)*0.475*44/12</f>
        <v>1.7227948376426865E-15</v>
      </c>
      <c r="BS138" s="22">
        <f t="shared" si="117"/>
        <v>0.46282692243935192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2.8421709430404007E-14</v>
      </c>
      <c r="BZ138" s="13">
        <f>BY138*VLOOKUP('Données projet'!$B$12,Paramètres!$A$1:$I$89,3,0)*VLOOKUP('Données projet'!$B$12,Paramètres!$A$1:$I$89,5,0)</f>
        <v>3.2366642699344085E-14</v>
      </c>
      <c r="CA138" s="13">
        <f t="shared" si="147"/>
        <v>5.5446527398450045E-13</v>
      </c>
      <c r="CB138" s="20">
        <f t="shared" si="118"/>
        <v>1.0220655882243624E-12</v>
      </c>
      <c r="CC138" s="59">
        <f t="shared" si="119"/>
        <v>293.33333333333434</v>
      </c>
      <c r="CD138" s="59">
        <f ca="1">AVERAGE(OFFSET($CC$3,0,0,'Données projet'!$E$12+1,1))-AVERAGE(OFFSET($H$3,0,0,'Données projet'!$E$12+1,1))</f>
        <v>242.1473060698724</v>
      </c>
      <c r="CE138" s="59">
        <f t="shared" si="148"/>
        <v>96.127995920458659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0</v>
      </c>
      <c r="CZ138" s="59">
        <f t="shared" si="150"/>
        <v>0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0</v>
      </c>
      <c r="DU138" s="59">
        <f t="shared" si="152"/>
        <v>0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1.3596945791505279E-13</v>
      </c>
      <c r="P139" s="13">
        <f t="shared" si="141"/>
        <v>1.9708830566360721E-12</v>
      </c>
      <c r="Q139" s="20">
        <f t="shared" si="108"/>
        <v>3.669434796176543E-12</v>
      </c>
      <c r="R139" s="59">
        <f t="shared" si="109"/>
        <v>293.33333333333701</v>
      </c>
      <c r="S139" s="59">
        <f ca="1">AVERAGE(OFFSET($R$3,0,0,'Données projet'!$E$9+1,1))-AVERAGE(OFFSET($H$3,0,0,'Données projet'!$E$9+1,1))</f>
        <v>212.98969326021802</v>
      </c>
      <c r="T139" s="59">
        <f t="shared" si="142"/>
        <v>422.91218020922895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9.1336652871609534</v>
      </c>
      <c r="AA139" s="21">
        <f>EXP(-LN(2)/25)*AA138+(1-EXP(-LN(2)/25))/(LN(2)/25)*Calculateur!V139*Calculateur!X139*VLOOKUP('Données projet'!$B$9,Paramètres!$A$1:$I$89,3,0)*0.475*44/12</f>
        <v>3.574582091765508</v>
      </c>
      <c r="AB139" s="21">
        <f>EXP(-LN(2)/2)*AB138+(1-EXP(-LN(2)/2))/(LN(2)/2)*V139*Y139*VLOOKUP('Données projet'!$B$9,Paramètres!$A$1:$I$89,3,0)*0.475*44/12</f>
        <v>5.6969778126095993E-14</v>
      </c>
      <c r="AC139" s="22">
        <f t="shared" si="111"/>
        <v>12.708247378926519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-7.9580786405131221E-13</v>
      </c>
      <c r="AJ139" s="13">
        <f>AI139*VLOOKUP('Données projet'!$B$10,Paramètres!$A$1:$I$89,3,0)*VLOOKUP('Données projet'!$B$10,Paramètres!$A$1:$I$89,5,0)</f>
        <v>-4.758931027026848E-13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318.09371753144256</v>
      </c>
      <c r="AO139" s="59">
        <f t="shared" si="144"/>
        <v>298.61479562586919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0.42872349639982427</v>
      </c>
      <c r="AV139" s="21">
        <f>EXP(-LN(2)/25)*AV138+(1-EXP(-LN(2)/25))/(LN(2)/25)*Calculateur!AQ139*Calculateur!AS139*VLOOKUP('Données projet'!$B$10,Paramètres!$A$1:$I$89,3,0)*0.475*44/12</f>
        <v>1.0936791843711053</v>
      </c>
      <c r="AW139" s="21">
        <f>EXP(-LN(2)/2)*AW138+(1-EXP(-LN(2)/2))/(LN(2)/2)*AQ139*AT139*VLOOKUP('Données projet'!$B$10,Paramètres!$A$1:$I$89,3,0)*0.475*44/12</f>
        <v>3.358473237127132E-15</v>
      </c>
      <c r="AX139" s="21">
        <f t="shared" si="114"/>
        <v>1.522402680770933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5.6843418860808015E-14</v>
      </c>
      <c r="BE139" s="13">
        <f>BD139*VLOOKUP('Données projet'!$B$11,Paramètres!$A$1:$I$89,3,0)*VLOOKUP('Données projet'!$B$11,Paramètres!$A$1:$I$89,5,0)</f>
        <v>4.6111381379887463E-14</v>
      </c>
      <c r="BF139" s="13">
        <f t="shared" si="145"/>
        <v>7.5804141040779151E-13</v>
      </c>
      <c r="BG139" s="20">
        <f t="shared" si="115"/>
        <v>1.4005661123635408E-12</v>
      </c>
      <c r="BH139" s="59">
        <f t="shared" si="116"/>
        <v>293.33333333333474</v>
      </c>
      <c r="BI139" s="59">
        <f ca="1">AVERAGE(OFFSET($BH$3,0,0,'Données projet'!$E$11+1,1))-AVERAGE(OFFSET($H$3,0,0,'Données projet'!$E$11+1,1))</f>
        <v>230.68538392491388</v>
      </c>
      <c r="BJ139" s="59">
        <f t="shared" si="146"/>
        <v>267.97457956620724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0.4501708959062361</v>
      </c>
      <c r="BR139" s="21">
        <f>EXP(-LN(2)/2)*BR138+(1-EXP(-LN(2)/2))/(LN(2)/2)*BL139*BO139*VLOOKUP('Données projet'!$B$11,Paramètres!$A$1:$I$89,3,0)*0.475*44/12</f>
        <v>1.2181999122903207E-15</v>
      </c>
      <c r="BS139" s="22">
        <f t="shared" si="117"/>
        <v>0.45017089590623732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2.8421709430404007E-14</v>
      </c>
      <c r="BZ139" s="13">
        <f>BY139*VLOOKUP('Données projet'!$B$12,Paramètres!$A$1:$I$89,3,0)*VLOOKUP('Données projet'!$B$12,Paramètres!$A$1:$I$89,5,0)</f>
        <v>3.2366642699344085E-14</v>
      </c>
      <c r="CA139" s="13">
        <f t="shared" si="147"/>
        <v>5.5446527398450045E-13</v>
      </c>
      <c r="CB139" s="20">
        <f t="shared" si="118"/>
        <v>1.0220655882243624E-12</v>
      </c>
      <c r="CC139" s="59">
        <f t="shared" si="119"/>
        <v>293.33333333333434</v>
      </c>
      <c r="CD139" s="59">
        <f ca="1">AVERAGE(OFFSET($CC$3,0,0,'Données projet'!$E$12+1,1))-AVERAGE(OFFSET($H$3,0,0,'Données projet'!$E$12+1,1))</f>
        <v>242.1473060698724</v>
      </c>
      <c r="CE139" s="59">
        <f t="shared" si="148"/>
        <v>96.127995920458659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0</v>
      </c>
      <c r="CZ139" s="59">
        <f t="shared" si="150"/>
        <v>0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0</v>
      </c>
      <c r="DU139" s="59">
        <f t="shared" si="152"/>
        <v>0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1.3596945791505279E-13</v>
      </c>
      <c r="P140" s="13">
        <f t="shared" si="141"/>
        <v>1.9708830566360721E-12</v>
      </c>
      <c r="Q140" s="20">
        <f t="shared" si="108"/>
        <v>3.669434796176543E-12</v>
      </c>
      <c r="R140" s="59">
        <f t="shared" si="109"/>
        <v>293.33333333333701</v>
      </c>
      <c r="S140" s="59">
        <f ca="1">AVERAGE(OFFSET($R$3,0,0,'Données projet'!$E$9+1,1))-AVERAGE(OFFSET($H$3,0,0,'Données projet'!$E$9+1,1))</f>
        <v>212.98969326021802</v>
      </c>
      <c r="T140" s="59">
        <f t="shared" si="142"/>
        <v>422.91218020922895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8.9545596818654634</v>
      </c>
      <c r="AA140" s="21">
        <f>EXP(-LN(2)/25)*AA139+(1-EXP(-LN(2)/25))/(LN(2)/25)*Calculateur!V140*Calculateur!X140*VLOOKUP('Données projet'!$B$9,Paramètres!$A$1:$I$89,3,0)*0.475*44/12</f>
        <v>3.4768349564870777</v>
      </c>
      <c r="AB140" s="21">
        <f>EXP(-LN(2)/2)*AB139+(1-EXP(-LN(2)/2))/(LN(2)/2)*V140*Y140*VLOOKUP('Données projet'!$B$9,Paramètres!$A$1:$I$89,3,0)*0.475*44/12</f>
        <v>4.0283716435655522E-14</v>
      </c>
      <c r="AC140" s="22">
        <f t="shared" si="111"/>
        <v>12.431394638352582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-7.9580786405131221E-13</v>
      </c>
      <c r="AJ140" s="13">
        <f>AI140*VLOOKUP('Données projet'!$B$10,Paramètres!$A$1:$I$89,3,0)*VLOOKUP('Données projet'!$B$10,Paramètres!$A$1:$I$89,5,0)</f>
        <v>-4.758931027026848E-13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318.09371753144256</v>
      </c>
      <c r="AO140" s="59">
        <f t="shared" si="144"/>
        <v>298.61479562586919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0.42031649013093597</v>
      </c>
      <c r="AV140" s="21">
        <f>EXP(-LN(2)/25)*AV139+(1-EXP(-LN(2)/25))/(LN(2)/25)*Calculateur!AQ140*Calculateur!AS140*VLOOKUP('Données projet'!$B$10,Paramètres!$A$1:$I$89,3,0)*0.475*44/12</f>
        <v>1.0637724695603887</v>
      </c>
      <c r="AW140" s="21">
        <f>EXP(-LN(2)/2)*AW139+(1-EXP(-LN(2)/2))/(LN(2)/2)*AQ140*AT140*VLOOKUP('Données projet'!$B$10,Paramètres!$A$1:$I$89,3,0)*0.475*44/12</f>
        <v>2.3747992004061308E-15</v>
      </c>
      <c r="AX140" s="21">
        <f t="shared" si="114"/>
        <v>1.4840889596913271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5.6843418860808015E-14</v>
      </c>
      <c r="BE140" s="13">
        <f>BD140*VLOOKUP('Données projet'!$B$11,Paramètres!$A$1:$I$89,3,0)*VLOOKUP('Données projet'!$B$11,Paramètres!$A$1:$I$89,5,0)</f>
        <v>4.6111381379887463E-14</v>
      </c>
      <c r="BF140" s="13">
        <f t="shared" si="145"/>
        <v>7.5804141040779151E-13</v>
      </c>
      <c r="BG140" s="20">
        <f t="shared" si="115"/>
        <v>1.4005661123635408E-12</v>
      </c>
      <c r="BH140" s="59">
        <f t="shared" si="116"/>
        <v>293.33333333333474</v>
      </c>
      <c r="BI140" s="59">
        <f ca="1">AVERAGE(OFFSET($BH$3,0,0,'Données projet'!$E$11+1,1))-AVERAGE(OFFSET($H$3,0,0,'Données projet'!$E$11+1,1))</f>
        <v>230.68538392491388</v>
      </c>
      <c r="BJ140" s="59">
        <f t="shared" si="146"/>
        <v>267.97457956620724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0.43786094908422152</v>
      </c>
      <c r="BR140" s="21">
        <f>EXP(-LN(2)/2)*BR139+(1-EXP(-LN(2)/2))/(LN(2)/2)*BL140*BO140*VLOOKUP('Données projet'!$B$11,Paramètres!$A$1:$I$89,3,0)*0.475*44/12</f>
        <v>8.6139741882134323E-16</v>
      </c>
      <c r="BS140" s="22">
        <f t="shared" si="117"/>
        <v>0.43786094908422241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2.8421709430404007E-14</v>
      </c>
      <c r="BZ140" s="13">
        <f>BY140*VLOOKUP('Données projet'!$B$12,Paramètres!$A$1:$I$89,3,0)*VLOOKUP('Données projet'!$B$12,Paramètres!$A$1:$I$89,5,0)</f>
        <v>3.2366642699344085E-14</v>
      </c>
      <c r="CA140" s="13">
        <f t="shared" si="147"/>
        <v>5.5446527398450045E-13</v>
      </c>
      <c r="CB140" s="20">
        <f t="shared" si="118"/>
        <v>1.0220655882243624E-12</v>
      </c>
      <c r="CC140" s="59">
        <f t="shared" si="119"/>
        <v>293.33333333333434</v>
      </c>
      <c r="CD140" s="59">
        <f ca="1">AVERAGE(OFFSET($CC$3,0,0,'Données projet'!$E$12+1,1))-AVERAGE(OFFSET($H$3,0,0,'Données projet'!$E$12+1,1))</f>
        <v>242.1473060698724</v>
      </c>
      <c r="CE140" s="59">
        <f t="shared" si="148"/>
        <v>96.127995920458659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0</v>
      </c>
      <c r="CZ140" s="59">
        <f t="shared" si="150"/>
        <v>0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0</v>
      </c>
      <c r="DU140" s="59">
        <f t="shared" si="152"/>
        <v>0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1.3596945791505279E-13</v>
      </c>
      <c r="P141" s="13">
        <f t="shared" si="141"/>
        <v>1.9708830566360721E-12</v>
      </c>
      <c r="Q141" s="20">
        <f t="shared" si="108"/>
        <v>3.669434796176543E-12</v>
      </c>
      <c r="R141" s="59">
        <f t="shared" si="109"/>
        <v>293.33333333333701</v>
      </c>
      <c r="S141" s="59">
        <f ca="1">AVERAGE(OFFSET($R$3,0,0,'Données projet'!$E$9+1,1))-AVERAGE(OFFSET($H$3,0,0,'Données projet'!$E$9+1,1))</f>
        <v>212.98969326021802</v>
      </c>
      <c r="T141" s="59">
        <f t="shared" si="142"/>
        <v>422.91218020922895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8.7789662282461851</v>
      </c>
      <c r="AA141" s="21">
        <f>EXP(-LN(2)/25)*AA140+(1-EXP(-LN(2)/25))/(LN(2)/25)*Calculateur!V141*Calculateur!X141*VLOOKUP('Données projet'!$B$9,Paramètres!$A$1:$I$89,3,0)*0.475*44/12</f>
        <v>3.3817607217631345</v>
      </c>
      <c r="AB141" s="21">
        <f>EXP(-LN(2)/2)*AB140+(1-EXP(-LN(2)/2))/(LN(2)/2)*V141*Y141*VLOOKUP('Données projet'!$B$9,Paramètres!$A$1:$I$89,3,0)*0.475*44/12</f>
        <v>2.8484889063047997E-14</v>
      </c>
      <c r="AC141" s="22">
        <f t="shared" si="111"/>
        <v>12.160726950009348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-7.9580786405131221E-13</v>
      </c>
      <c r="AJ141" s="13">
        <f>AI141*VLOOKUP('Données projet'!$B$10,Paramètres!$A$1:$I$89,3,0)*VLOOKUP('Données projet'!$B$10,Paramètres!$A$1:$I$89,5,0)</f>
        <v>-4.758931027026848E-13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318.09371753144256</v>
      </c>
      <c r="AO141" s="59">
        <f t="shared" si="144"/>
        <v>298.61479562586919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0.41207434012721311</v>
      </c>
      <c r="AV141" s="21">
        <f>EXP(-LN(2)/25)*AV140+(1-EXP(-LN(2)/25))/(LN(2)/25)*Calculateur!AQ141*Calculateur!AS141*VLOOKUP('Données projet'!$B$10,Paramètres!$A$1:$I$89,3,0)*0.475*44/12</f>
        <v>1.0346835554388971</v>
      </c>
      <c r="AW141" s="21">
        <f>EXP(-LN(2)/2)*AW140+(1-EXP(-LN(2)/2))/(LN(2)/2)*AQ141*AT141*VLOOKUP('Données projet'!$B$10,Paramètres!$A$1:$I$89,3,0)*0.475*44/12</f>
        <v>1.679236618563566E-15</v>
      </c>
      <c r="AX141" s="21">
        <f t="shared" si="114"/>
        <v>1.446757895566112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5.6843418860808015E-14</v>
      </c>
      <c r="BE141" s="13">
        <f>BD141*VLOOKUP('Données projet'!$B$11,Paramètres!$A$1:$I$89,3,0)*VLOOKUP('Données projet'!$B$11,Paramètres!$A$1:$I$89,5,0)</f>
        <v>4.6111381379887463E-14</v>
      </c>
      <c r="BF141" s="13">
        <f t="shared" si="145"/>
        <v>7.5804141040779151E-13</v>
      </c>
      <c r="BG141" s="20">
        <f t="shared" si="115"/>
        <v>1.4005661123635408E-12</v>
      </c>
      <c r="BH141" s="59">
        <f t="shared" si="116"/>
        <v>293.33333333333474</v>
      </c>
      <c r="BI141" s="59">
        <f ca="1">AVERAGE(OFFSET($BH$3,0,0,'Données projet'!$E$11+1,1))-AVERAGE(OFFSET($H$3,0,0,'Données projet'!$E$11+1,1))</f>
        <v>230.68538392491388</v>
      </c>
      <c r="BJ141" s="59">
        <f t="shared" si="146"/>
        <v>267.97457956620724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0.4258876184054069</v>
      </c>
      <c r="BR141" s="21">
        <f>EXP(-LN(2)/2)*BR140+(1-EXP(-LN(2)/2))/(LN(2)/2)*BL141*BO141*VLOOKUP('Données projet'!$B$11,Paramètres!$A$1:$I$89,3,0)*0.475*44/12</f>
        <v>6.0909995614516037E-16</v>
      </c>
      <c r="BS141" s="22">
        <f t="shared" si="117"/>
        <v>0.42588761840540751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2.8421709430404007E-14</v>
      </c>
      <c r="BZ141" s="13">
        <f>BY141*VLOOKUP('Données projet'!$B$12,Paramètres!$A$1:$I$89,3,0)*VLOOKUP('Données projet'!$B$12,Paramètres!$A$1:$I$89,5,0)</f>
        <v>3.2366642699344085E-14</v>
      </c>
      <c r="CA141" s="13">
        <f t="shared" si="147"/>
        <v>5.5446527398450045E-13</v>
      </c>
      <c r="CB141" s="20">
        <f t="shared" si="118"/>
        <v>1.0220655882243624E-12</v>
      </c>
      <c r="CC141" s="59">
        <f t="shared" si="119"/>
        <v>293.33333333333434</v>
      </c>
      <c r="CD141" s="59">
        <f ca="1">AVERAGE(OFFSET($CC$3,0,0,'Données projet'!$E$12+1,1))-AVERAGE(OFFSET($H$3,0,0,'Données projet'!$E$12+1,1))</f>
        <v>242.1473060698724</v>
      </c>
      <c r="CE141" s="59">
        <f t="shared" si="148"/>
        <v>96.127995920458659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0</v>
      </c>
      <c r="CZ141" s="59">
        <f t="shared" si="150"/>
        <v>0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0</v>
      </c>
      <c r="DU141" s="59">
        <f t="shared" si="152"/>
        <v>0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1.3596945791505279E-13</v>
      </c>
      <c r="P142" s="13">
        <f t="shared" si="141"/>
        <v>1.9708830566360721E-12</v>
      </c>
      <c r="Q142" s="20">
        <f t="shared" si="108"/>
        <v>3.669434796176543E-12</v>
      </c>
      <c r="R142" s="59">
        <f t="shared" si="109"/>
        <v>293.33333333333701</v>
      </c>
      <c r="S142" s="59">
        <f ca="1">AVERAGE(OFFSET($R$3,0,0,'Données projet'!$E$9+1,1))-AVERAGE(OFFSET($H$3,0,0,'Données projet'!$E$9+1,1))</f>
        <v>212.98969326021802</v>
      </c>
      <c r="T142" s="59">
        <f t="shared" si="142"/>
        <v>422.91218020922895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8.6068160551509489</v>
      </c>
      <c r="AA142" s="21">
        <f>EXP(-LN(2)/25)*AA141+(1-EXP(-LN(2)/25))/(LN(2)/25)*Calculateur!V142*Calculateur!X142*VLOOKUP('Données projet'!$B$9,Paramètres!$A$1:$I$89,3,0)*0.475*44/12</f>
        <v>3.2892862969874543</v>
      </c>
      <c r="AB142" s="21">
        <f>EXP(-LN(2)/2)*AB141+(1-EXP(-LN(2)/2))/(LN(2)/2)*V142*Y142*VLOOKUP('Données projet'!$B$9,Paramètres!$A$1:$I$89,3,0)*0.475*44/12</f>
        <v>2.0141858217827761E-14</v>
      </c>
      <c r="AC142" s="22">
        <f t="shared" si="111"/>
        <v>11.896102352138422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-7.9580786405131221E-13</v>
      </c>
      <c r="AJ142" s="13">
        <f>AI142*VLOOKUP('Données projet'!$B$10,Paramètres!$A$1:$I$89,3,0)*VLOOKUP('Données projet'!$B$10,Paramètres!$A$1:$I$89,5,0)</f>
        <v>-4.758931027026848E-13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318.09371753144256</v>
      </c>
      <c r="AO142" s="59">
        <f t="shared" si="144"/>
        <v>298.61479562586919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0.40399381365784814</v>
      </c>
      <c r="AV142" s="21">
        <f>EXP(-LN(2)/25)*AV141+(1-EXP(-LN(2)/25))/(LN(2)/25)*Calculateur!AQ142*Calculateur!AS142*VLOOKUP('Données projet'!$B$10,Paramètres!$A$1:$I$89,3,0)*0.475*44/12</f>
        <v>1.006390079203777</v>
      </c>
      <c r="AW142" s="21">
        <f>EXP(-LN(2)/2)*AW141+(1-EXP(-LN(2)/2))/(LN(2)/2)*AQ142*AT142*VLOOKUP('Données projet'!$B$10,Paramètres!$A$1:$I$89,3,0)*0.475*44/12</f>
        <v>1.1873996002030654E-15</v>
      </c>
      <c r="AX142" s="21">
        <f t="shared" si="114"/>
        <v>1.4103838928616261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5.6843418860808015E-14</v>
      </c>
      <c r="BE142" s="13">
        <f>BD142*VLOOKUP('Données projet'!$B$11,Paramètres!$A$1:$I$89,3,0)*VLOOKUP('Données projet'!$B$11,Paramètres!$A$1:$I$89,5,0)</f>
        <v>4.6111381379887463E-14</v>
      </c>
      <c r="BF142" s="13">
        <f t="shared" si="145"/>
        <v>7.5804141040779151E-13</v>
      </c>
      <c r="BG142" s="20">
        <f t="shared" si="115"/>
        <v>1.4005661123635408E-12</v>
      </c>
      <c r="BH142" s="59">
        <f t="shared" si="116"/>
        <v>293.33333333333474</v>
      </c>
      <c r="BI142" s="59">
        <f ca="1">AVERAGE(OFFSET($BH$3,0,0,'Données projet'!$E$11+1,1))-AVERAGE(OFFSET($H$3,0,0,'Données projet'!$E$11+1,1))</f>
        <v>230.68538392491388</v>
      </c>
      <c r="BJ142" s="59">
        <f t="shared" si="146"/>
        <v>267.97457956620724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0.41424169908365455</v>
      </c>
      <c r="BR142" s="21">
        <f>EXP(-LN(2)/2)*BR141+(1-EXP(-LN(2)/2))/(LN(2)/2)*BL142*BO142*VLOOKUP('Données projet'!$B$11,Paramètres!$A$1:$I$89,3,0)*0.475*44/12</f>
        <v>4.3069870941067161E-16</v>
      </c>
      <c r="BS142" s="22">
        <f t="shared" si="117"/>
        <v>0.41424169908365499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2.8421709430404007E-14</v>
      </c>
      <c r="BZ142" s="13">
        <f>BY142*VLOOKUP('Données projet'!$B$12,Paramètres!$A$1:$I$89,3,0)*VLOOKUP('Données projet'!$B$12,Paramètres!$A$1:$I$89,5,0)</f>
        <v>3.2366642699344085E-14</v>
      </c>
      <c r="CA142" s="13">
        <f t="shared" si="147"/>
        <v>5.5446527398450045E-13</v>
      </c>
      <c r="CB142" s="20">
        <f t="shared" si="118"/>
        <v>1.0220655882243624E-12</v>
      </c>
      <c r="CC142" s="59">
        <f t="shared" si="119"/>
        <v>293.33333333333434</v>
      </c>
      <c r="CD142" s="59">
        <f ca="1">AVERAGE(OFFSET($CC$3,0,0,'Données projet'!$E$12+1,1))-AVERAGE(OFFSET($H$3,0,0,'Données projet'!$E$12+1,1))</f>
        <v>242.1473060698724</v>
      </c>
      <c r="CE142" s="59">
        <f t="shared" si="148"/>
        <v>96.127995920458659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0</v>
      </c>
      <c r="CZ142" s="59">
        <f t="shared" si="150"/>
        <v>0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0</v>
      </c>
      <c r="DU142" s="59">
        <f t="shared" si="152"/>
        <v>0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1.3596945791505279E-13</v>
      </c>
      <c r="P143" s="13">
        <f t="shared" si="141"/>
        <v>1.9708830566360721E-12</v>
      </c>
      <c r="Q143" s="20">
        <f t="shared" si="108"/>
        <v>3.669434796176543E-12</v>
      </c>
      <c r="R143" s="59">
        <f t="shared" si="109"/>
        <v>293.33333333333701</v>
      </c>
      <c r="S143" s="59">
        <f ca="1">AVERAGE(OFFSET($R$3,0,0,'Données projet'!$E$9+1,1))-AVERAGE(OFFSET($H$3,0,0,'Données projet'!$E$9+1,1))</f>
        <v>212.98969326021802</v>
      </c>
      <c r="T143" s="59">
        <f t="shared" si="142"/>
        <v>422.91218020922895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8.4380416419488729</v>
      </c>
      <c r="AA143" s="21">
        <f>EXP(-LN(2)/25)*AA142+(1-EXP(-LN(2)/25))/(LN(2)/25)*Calculateur!V143*Calculateur!X143*VLOOKUP('Données projet'!$B$9,Paramètres!$A$1:$I$89,3,0)*0.475*44/12</f>
        <v>3.1993405902202836</v>
      </c>
      <c r="AB143" s="21">
        <f>EXP(-LN(2)/2)*AB142+(1-EXP(-LN(2)/2))/(LN(2)/2)*V143*Y143*VLOOKUP('Données projet'!$B$9,Paramètres!$A$1:$I$89,3,0)*0.475*44/12</f>
        <v>1.4242444531523998E-14</v>
      </c>
      <c r="AC143" s="22">
        <f t="shared" si="111"/>
        <v>11.63738223216917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-7.9580786405131221E-13</v>
      </c>
      <c r="AJ143" s="13">
        <f>AI143*VLOOKUP('Données projet'!$B$10,Paramètres!$A$1:$I$89,3,0)*VLOOKUP('Données projet'!$B$10,Paramètres!$A$1:$I$89,5,0)</f>
        <v>-4.758931027026848E-13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318.09371753144256</v>
      </c>
      <c r="AO143" s="59">
        <f t="shared" si="144"/>
        <v>298.61479562586919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0.39607174138391293</v>
      </c>
      <c r="AV143" s="21">
        <f>EXP(-LN(2)/25)*AV142+(1-EXP(-LN(2)/25))/(LN(2)/25)*Calculateur!AQ143*Calculateur!AS143*VLOOKUP('Données projet'!$B$10,Paramètres!$A$1:$I$89,3,0)*0.475*44/12</f>
        <v>0.97887028956419553</v>
      </c>
      <c r="AW143" s="21">
        <f>EXP(-LN(2)/2)*AW142+(1-EXP(-LN(2)/2))/(LN(2)/2)*AQ143*AT143*VLOOKUP('Données projet'!$B$10,Paramètres!$A$1:$I$89,3,0)*0.475*44/12</f>
        <v>8.39618309281783E-16</v>
      </c>
      <c r="AX143" s="21">
        <f t="shared" si="114"/>
        <v>1.3749420309481093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5.6843418860808015E-14</v>
      </c>
      <c r="BE143" s="13">
        <f>BD143*VLOOKUP('Données projet'!$B$11,Paramètres!$A$1:$I$89,3,0)*VLOOKUP('Données projet'!$B$11,Paramètres!$A$1:$I$89,5,0)</f>
        <v>4.6111381379887463E-14</v>
      </c>
      <c r="BF143" s="13">
        <f t="shared" si="145"/>
        <v>7.5804141040779151E-13</v>
      </c>
      <c r="BG143" s="20">
        <f t="shared" si="115"/>
        <v>1.4005661123635408E-12</v>
      </c>
      <c r="BH143" s="59">
        <f t="shared" si="116"/>
        <v>293.33333333333474</v>
      </c>
      <c r="BI143" s="59">
        <f ca="1">AVERAGE(OFFSET($BH$3,0,0,'Données projet'!$E$11+1,1))-AVERAGE(OFFSET($H$3,0,0,'Données projet'!$E$11+1,1))</f>
        <v>230.68538392491388</v>
      </c>
      <c r="BJ143" s="59">
        <f t="shared" si="146"/>
        <v>267.97457956620724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0.40291423803818782</v>
      </c>
      <c r="BR143" s="21">
        <f>EXP(-LN(2)/2)*BR142+(1-EXP(-LN(2)/2))/(LN(2)/2)*BL143*BO143*VLOOKUP('Données projet'!$B$11,Paramètres!$A$1:$I$89,3,0)*0.475*44/12</f>
        <v>3.0454997807258019E-16</v>
      </c>
      <c r="BS143" s="22">
        <f t="shared" si="117"/>
        <v>0.4029142380381881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2.8421709430404007E-14</v>
      </c>
      <c r="BZ143" s="13">
        <f>BY143*VLOOKUP('Données projet'!$B$12,Paramètres!$A$1:$I$89,3,0)*VLOOKUP('Données projet'!$B$12,Paramètres!$A$1:$I$89,5,0)</f>
        <v>3.2366642699344085E-14</v>
      </c>
      <c r="CA143" s="13">
        <f t="shared" si="147"/>
        <v>5.5446527398450045E-13</v>
      </c>
      <c r="CB143" s="20">
        <f t="shared" si="118"/>
        <v>1.0220655882243624E-12</v>
      </c>
      <c r="CC143" s="59">
        <f t="shared" si="119"/>
        <v>293.33333333333434</v>
      </c>
      <c r="CD143" s="59">
        <f ca="1">AVERAGE(OFFSET($CC$3,0,0,'Données projet'!$E$12+1,1))-AVERAGE(OFFSET($H$3,0,0,'Données projet'!$E$12+1,1))</f>
        <v>242.1473060698724</v>
      </c>
      <c r="CE143" s="59">
        <f t="shared" si="148"/>
        <v>96.127995920458659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0</v>
      </c>
      <c r="CZ143" s="59">
        <f t="shared" si="150"/>
        <v>0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0</v>
      </c>
      <c r="DU143" s="59">
        <f t="shared" si="152"/>
        <v>0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1.3596945791505279E-13</v>
      </c>
      <c r="P144" s="13">
        <f t="shared" si="141"/>
        <v>1.9708830566360721E-12</v>
      </c>
      <c r="Q144" s="20">
        <f t="shared" si="108"/>
        <v>3.669434796176543E-12</v>
      </c>
      <c r="R144" s="59">
        <f t="shared" si="109"/>
        <v>293.33333333333701</v>
      </c>
      <c r="S144" s="59">
        <f ca="1">AVERAGE(OFFSET($R$3,0,0,'Données projet'!$E$9+1,1))-AVERAGE(OFFSET($H$3,0,0,'Données projet'!$E$9+1,1))</f>
        <v>212.98969326021802</v>
      </c>
      <c r="T144" s="59">
        <f t="shared" si="142"/>
        <v>422.91218020922895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8.2725767920474631</v>
      </c>
      <c r="AA144" s="21">
        <f>EXP(-LN(2)/25)*AA143+(1-EXP(-LN(2)/25))/(LN(2)/25)*Calculateur!V144*Calculateur!X144*VLOOKUP('Données projet'!$B$9,Paramètres!$A$1:$I$89,3,0)*0.475*44/12</f>
        <v>3.1118544535347006</v>
      </c>
      <c r="AB144" s="21">
        <f>EXP(-LN(2)/2)*AB143+(1-EXP(-LN(2)/2))/(LN(2)/2)*V144*Y144*VLOOKUP('Données projet'!$B$9,Paramètres!$A$1:$I$89,3,0)*0.475*44/12</f>
        <v>1.007092910891388E-14</v>
      </c>
      <c r="AC144" s="22">
        <f t="shared" si="111"/>
        <v>11.384431245582174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-7.9580786405131221E-13</v>
      </c>
      <c r="AJ144" s="13">
        <f>AI144*VLOOKUP('Données projet'!$B$10,Paramètres!$A$1:$I$89,3,0)*VLOOKUP('Données projet'!$B$10,Paramètres!$A$1:$I$89,5,0)</f>
        <v>-4.758931027026848E-13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318.09371753144256</v>
      </c>
      <c r="AO144" s="59">
        <f t="shared" si="144"/>
        <v>298.61479562586919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0.38830501611528262</v>
      </c>
      <c r="AV144" s="21">
        <f>EXP(-LN(2)/25)*AV143+(1-EXP(-LN(2)/25))/(LN(2)/25)*Calculateur!AQ144*Calculateur!AS144*VLOOKUP('Données projet'!$B$10,Paramètres!$A$1:$I$89,3,0)*0.475*44/12</f>
        <v>0.95210303001951135</v>
      </c>
      <c r="AW144" s="21">
        <f>EXP(-LN(2)/2)*AW143+(1-EXP(-LN(2)/2))/(LN(2)/2)*AQ144*AT144*VLOOKUP('Données projet'!$B$10,Paramètres!$A$1:$I$89,3,0)*0.475*44/12</f>
        <v>5.9369980010153271E-16</v>
      </c>
      <c r="AX144" s="21">
        <f t="shared" si="114"/>
        <v>1.3404080461347947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5.6843418860808015E-14</v>
      </c>
      <c r="BE144" s="13">
        <f>BD144*VLOOKUP('Données projet'!$B$11,Paramètres!$A$1:$I$89,3,0)*VLOOKUP('Données projet'!$B$11,Paramètres!$A$1:$I$89,5,0)</f>
        <v>4.6111381379887463E-14</v>
      </c>
      <c r="BF144" s="13">
        <f t="shared" si="145"/>
        <v>7.5804141040779151E-13</v>
      </c>
      <c r="BG144" s="20">
        <f t="shared" si="115"/>
        <v>1.4005661123635408E-12</v>
      </c>
      <c r="BH144" s="59">
        <f t="shared" si="116"/>
        <v>293.33333333333474</v>
      </c>
      <c r="BI144" s="59">
        <f ca="1">AVERAGE(OFFSET($BH$3,0,0,'Données projet'!$E$11+1,1))-AVERAGE(OFFSET($H$3,0,0,'Données projet'!$E$11+1,1))</f>
        <v>230.68538392491388</v>
      </c>
      <c r="BJ144" s="59">
        <f t="shared" si="146"/>
        <v>267.97457956620724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0.39189652701069466</v>
      </c>
      <c r="BR144" s="21">
        <f>EXP(-LN(2)/2)*BR143+(1-EXP(-LN(2)/2))/(LN(2)/2)*BL144*BO144*VLOOKUP('Données projet'!$B$11,Paramètres!$A$1:$I$89,3,0)*0.475*44/12</f>
        <v>2.1534935470533581E-16</v>
      </c>
      <c r="BS144" s="22">
        <f t="shared" si="117"/>
        <v>0.39189652701069488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2.8421709430404007E-14</v>
      </c>
      <c r="BZ144" s="13">
        <f>BY144*VLOOKUP('Données projet'!$B$12,Paramètres!$A$1:$I$89,3,0)*VLOOKUP('Données projet'!$B$12,Paramètres!$A$1:$I$89,5,0)</f>
        <v>3.2366642699344085E-14</v>
      </c>
      <c r="CA144" s="13">
        <f t="shared" si="147"/>
        <v>5.5446527398450045E-13</v>
      </c>
      <c r="CB144" s="20">
        <f t="shared" si="118"/>
        <v>1.0220655882243624E-12</v>
      </c>
      <c r="CC144" s="59">
        <f t="shared" si="119"/>
        <v>293.33333333333434</v>
      </c>
      <c r="CD144" s="59">
        <f ca="1">AVERAGE(OFFSET($CC$3,0,0,'Données projet'!$E$12+1,1))-AVERAGE(OFFSET($H$3,0,0,'Données projet'!$E$12+1,1))</f>
        <v>242.1473060698724</v>
      </c>
      <c r="CE144" s="59">
        <f t="shared" si="148"/>
        <v>96.127995920458659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0</v>
      </c>
      <c r="CZ144" s="59">
        <f t="shared" si="150"/>
        <v>0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0</v>
      </c>
      <c r="DU144" s="59">
        <f t="shared" si="152"/>
        <v>0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1.3596945791505279E-13</v>
      </c>
      <c r="P145" s="13">
        <f t="shared" si="141"/>
        <v>1.9708830566360721E-12</v>
      </c>
      <c r="Q145" s="20">
        <f t="shared" si="108"/>
        <v>3.669434796176543E-12</v>
      </c>
      <c r="R145" s="59">
        <f t="shared" si="109"/>
        <v>293.33333333333701</v>
      </c>
      <c r="S145" s="59">
        <f ca="1">AVERAGE(OFFSET($R$3,0,0,'Données projet'!$E$9+1,1))-AVERAGE(OFFSET($H$3,0,0,'Données projet'!$E$9+1,1))</f>
        <v>212.98969326021802</v>
      </c>
      <c r="T145" s="59">
        <f t="shared" si="142"/>
        <v>422.91218020922895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8.1103566069290274</v>
      </c>
      <c r="AA145" s="21">
        <f>EXP(-LN(2)/25)*AA144+(1-EXP(-LN(2)/25))/(LN(2)/25)*Calculateur!V145*Calculateur!X145*VLOOKUP('Données projet'!$B$9,Paramètres!$A$1:$I$89,3,0)*0.475*44/12</f>
        <v>3.0267606298574807</v>
      </c>
      <c r="AB145" s="21">
        <f>EXP(-LN(2)/2)*AB144+(1-EXP(-LN(2)/2))/(LN(2)/2)*V145*Y145*VLOOKUP('Données projet'!$B$9,Paramètres!$A$1:$I$89,3,0)*0.475*44/12</f>
        <v>7.1212222657619992E-15</v>
      </c>
      <c r="AC145" s="22">
        <f t="shared" si="111"/>
        <v>11.137117236786516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-7.9580786405131221E-13</v>
      </c>
      <c r="AJ145" s="13">
        <f>AI145*VLOOKUP('Données projet'!$B$10,Paramètres!$A$1:$I$89,3,0)*VLOOKUP('Données projet'!$B$10,Paramètres!$A$1:$I$89,5,0)</f>
        <v>-4.758931027026848E-13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318.09371753144256</v>
      </c>
      <c r="AO145" s="59">
        <f t="shared" si="144"/>
        <v>298.61479562586919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0.38069059159193547</v>
      </c>
      <c r="AV145" s="21">
        <f>EXP(-LN(2)/25)*AV144+(1-EXP(-LN(2)/25))/(LN(2)/25)*Calculateur!AQ145*Calculateur!AS145*VLOOKUP('Données projet'!$B$10,Paramètres!$A$1:$I$89,3,0)*0.475*44/12</f>
        <v>0.92606772259470549</v>
      </c>
      <c r="AW145" s="21">
        <f>EXP(-LN(2)/2)*AW144+(1-EXP(-LN(2)/2))/(LN(2)/2)*AQ145*AT145*VLOOKUP('Données projet'!$B$10,Paramètres!$A$1:$I$89,3,0)*0.475*44/12</f>
        <v>4.198091546408915E-16</v>
      </c>
      <c r="AX145" s="21">
        <f t="shared" si="114"/>
        <v>1.3067583141866415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5.6843418860808015E-14</v>
      </c>
      <c r="BE145" s="13">
        <f>BD145*VLOOKUP('Données projet'!$B$11,Paramètres!$A$1:$I$89,3,0)*VLOOKUP('Données projet'!$B$11,Paramètres!$A$1:$I$89,5,0)</f>
        <v>4.6111381379887463E-14</v>
      </c>
      <c r="BF145" s="13">
        <f t="shared" si="145"/>
        <v>7.5804141040779151E-13</v>
      </c>
      <c r="BG145" s="20">
        <f t="shared" si="115"/>
        <v>1.4005661123635408E-12</v>
      </c>
      <c r="BH145" s="59">
        <f t="shared" si="116"/>
        <v>293.33333333333474</v>
      </c>
      <c r="BI145" s="59">
        <f ca="1">AVERAGE(OFFSET($BH$3,0,0,'Données projet'!$E$11+1,1))-AVERAGE(OFFSET($H$3,0,0,'Données projet'!$E$11+1,1))</f>
        <v>230.68538392491388</v>
      </c>
      <c r="BJ145" s="59">
        <f t="shared" si="146"/>
        <v>267.97457956620724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0.38118009587064455</v>
      </c>
      <c r="BR145" s="21">
        <f>EXP(-LN(2)/2)*BR144+(1-EXP(-LN(2)/2))/(LN(2)/2)*BL145*BO145*VLOOKUP('Données projet'!$B$11,Paramètres!$A$1:$I$89,3,0)*0.475*44/12</f>
        <v>1.5227498903629009E-16</v>
      </c>
      <c r="BS145" s="22">
        <f t="shared" si="117"/>
        <v>0.38118009587064472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2.8421709430404007E-14</v>
      </c>
      <c r="BZ145" s="13">
        <f>BY145*VLOOKUP('Données projet'!$B$12,Paramètres!$A$1:$I$89,3,0)*VLOOKUP('Données projet'!$B$12,Paramètres!$A$1:$I$89,5,0)</f>
        <v>3.2366642699344085E-14</v>
      </c>
      <c r="CA145" s="13">
        <f t="shared" si="147"/>
        <v>5.5446527398450045E-13</v>
      </c>
      <c r="CB145" s="20">
        <f t="shared" si="118"/>
        <v>1.0220655882243624E-12</v>
      </c>
      <c r="CC145" s="59">
        <f t="shared" si="119"/>
        <v>293.33333333333434</v>
      </c>
      <c r="CD145" s="59">
        <f ca="1">AVERAGE(OFFSET($CC$3,0,0,'Données projet'!$E$12+1,1))-AVERAGE(OFFSET($H$3,0,0,'Données projet'!$E$12+1,1))</f>
        <v>242.1473060698724</v>
      </c>
      <c r="CE145" s="59">
        <f t="shared" si="148"/>
        <v>96.127995920458659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0</v>
      </c>
      <c r="CZ145" s="59">
        <f t="shared" si="150"/>
        <v>0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0</v>
      </c>
      <c r="DU145" s="59">
        <f t="shared" si="152"/>
        <v>0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1.3596945791505279E-13</v>
      </c>
      <c r="P146" s="13">
        <f t="shared" si="141"/>
        <v>1.9708830566360721E-12</v>
      </c>
      <c r="Q146" s="20">
        <f t="shared" si="108"/>
        <v>3.669434796176543E-12</v>
      </c>
      <c r="R146" s="59">
        <f t="shared" si="109"/>
        <v>293.33333333333701</v>
      </c>
      <c r="S146" s="59">
        <f ca="1">AVERAGE(OFFSET($R$3,0,0,'Données projet'!$E$9+1,1))-AVERAGE(OFFSET($H$3,0,0,'Données projet'!$E$9+1,1))</f>
        <v>212.98969326021802</v>
      </c>
      <c r="T146" s="59">
        <f t="shared" si="142"/>
        <v>422.91218020922895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7.9513174606962203</v>
      </c>
      <c r="AA146" s="21">
        <f>EXP(-LN(2)/25)*AA145+(1-EXP(-LN(2)/25))/(LN(2)/25)*Calculateur!V146*Calculateur!X146*VLOOKUP('Données projet'!$B$9,Paramètres!$A$1:$I$89,3,0)*0.475*44/12</f>
        <v>2.9439937012636039</v>
      </c>
      <c r="AB146" s="21">
        <f>EXP(-LN(2)/2)*AB145+(1-EXP(-LN(2)/2))/(LN(2)/2)*V146*Y146*VLOOKUP('Données projet'!$B$9,Paramètres!$A$1:$I$89,3,0)*0.475*44/12</f>
        <v>5.0354645544569402E-15</v>
      </c>
      <c r="AC146" s="22">
        <f t="shared" si="111"/>
        <v>10.89531116195983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-7.9580786405131221E-13</v>
      </c>
      <c r="AJ146" s="13">
        <f>AI146*VLOOKUP('Données projet'!$B$10,Paramètres!$A$1:$I$89,3,0)*VLOOKUP('Données projet'!$B$10,Paramètres!$A$1:$I$89,5,0)</f>
        <v>-4.758931027026848E-13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318.09371753144256</v>
      </c>
      <c r="AO146" s="59">
        <f t="shared" si="144"/>
        <v>298.61479562586919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0.37322548128915078</v>
      </c>
      <c r="AV146" s="21">
        <f>EXP(-LN(2)/25)*AV145+(1-EXP(-LN(2)/25))/(LN(2)/25)*Calculateur!AQ146*Calculateur!AS146*VLOOKUP('Données projet'!$B$10,Paramètres!$A$1:$I$89,3,0)*0.475*44/12</f>
        <v>0.90074435202056824</v>
      </c>
      <c r="AW146" s="21">
        <f>EXP(-LN(2)/2)*AW145+(1-EXP(-LN(2)/2))/(LN(2)/2)*AQ146*AT146*VLOOKUP('Données projet'!$B$10,Paramètres!$A$1:$I$89,3,0)*0.475*44/12</f>
        <v>2.9684990005076635E-16</v>
      </c>
      <c r="AX146" s="21">
        <f t="shared" si="114"/>
        <v>1.2739698333097194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5.6843418860808015E-14</v>
      </c>
      <c r="BE146" s="13">
        <f>BD146*VLOOKUP('Données projet'!$B$11,Paramètres!$A$1:$I$89,3,0)*VLOOKUP('Données projet'!$B$11,Paramètres!$A$1:$I$89,5,0)</f>
        <v>4.6111381379887463E-14</v>
      </c>
      <c r="BF146" s="13">
        <f t="shared" si="145"/>
        <v>7.5804141040779151E-13</v>
      </c>
      <c r="BG146" s="20">
        <f t="shared" si="115"/>
        <v>1.4005661123635408E-12</v>
      </c>
      <c r="BH146" s="59">
        <f t="shared" si="116"/>
        <v>293.33333333333474</v>
      </c>
      <c r="BI146" s="59">
        <f ca="1">AVERAGE(OFFSET($BH$3,0,0,'Données projet'!$E$11+1,1))-AVERAGE(OFFSET($H$3,0,0,'Données projet'!$E$11+1,1))</f>
        <v>230.68538392491388</v>
      </c>
      <c r="BJ146" s="59">
        <f t="shared" si="146"/>
        <v>267.97457956620724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0.37075670610367173</v>
      </c>
      <c r="BR146" s="21">
        <f>EXP(-LN(2)/2)*BR145+(1-EXP(-LN(2)/2))/(LN(2)/2)*BL146*BO146*VLOOKUP('Données projet'!$B$11,Paramètres!$A$1:$I$89,3,0)*0.475*44/12</f>
        <v>1.076746773526679E-16</v>
      </c>
      <c r="BS146" s="22">
        <f t="shared" si="117"/>
        <v>0.37075670610367184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2.8421709430404007E-14</v>
      </c>
      <c r="BZ146" s="13">
        <f>BY146*VLOOKUP('Données projet'!$B$12,Paramètres!$A$1:$I$89,3,0)*VLOOKUP('Données projet'!$B$12,Paramètres!$A$1:$I$89,5,0)</f>
        <v>3.2366642699344085E-14</v>
      </c>
      <c r="CA146" s="13">
        <f t="shared" si="147"/>
        <v>5.5446527398450045E-13</v>
      </c>
      <c r="CB146" s="20">
        <f t="shared" si="118"/>
        <v>1.0220655882243624E-12</v>
      </c>
      <c r="CC146" s="59">
        <f t="shared" si="119"/>
        <v>293.33333333333434</v>
      </c>
      <c r="CD146" s="59">
        <f ca="1">AVERAGE(OFFSET($CC$3,0,0,'Données projet'!$E$12+1,1))-AVERAGE(OFFSET($H$3,0,0,'Données projet'!$E$12+1,1))</f>
        <v>242.1473060698724</v>
      </c>
      <c r="CE146" s="59">
        <f t="shared" si="148"/>
        <v>96.127995920458659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0</v>
      </c>
      <c r="CZ146" s="59">
        <f t="shared" si="150"/>
        <v>0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0</v>
      </c>
      <c r="DU146" s="59">
        <f t="shared" si="152"/>
        <v>0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1.3596945791505279E-13</v>
      </c>
      <c r="P147" s="13">
        <f t="shared" si="141"/>
        <v>1.9708830566360721E-12</v>
      </c>
      <c r="Q147" s="20">
        <f t="shared" si="108"/>
        <v>3.669434796176543E-12</v>
      </c>
      <c r="R147" s="59">
        <f t="shared" si="109"/>
        <v>293.33333333333701</v>
      </c>
      <c r="S147" s="59">
        <f ca="1">AVERAGE(OFFSET($R$3,0,0,'Données projet'!$E$9+1,1))-AVERAGE(OFFSET($H$3,0,0,'Données projet'!$E$9+1,1))</f>
        <v>212.98969326021802</v>
      </c>
      <c r="T147" s="59">
        <f t="shared" si="142"/>
        <v>422.91218020922895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7.7953969751167378</v>
      </c>
      <c r="AA147" s="21">
        <f>EXP(-LN(2)/25)*AA146+(1-EXP(-LN(2)/25))/(LN(2)/25)*Calculateur!V147*Calculateur!X147*VLOOKUP('Données projet'!$B$9,Paramètres!$A$1:$I$89,3,0)*0.475*44/12</f>
        <v>2.8634900386846507</v>
      </c>
      <c r="AB147" s="21">
        <f>EXP(-LN(2)/2)*AB146+(1-EXP(-LN(2)/2))/(LN(2)/2)*V147*Y147*VLOOKUP('Données projet'!$B$9,Paramètres!$A$1:$I$89,3,0)*0.475*44/12</f>
        <v>3.5606111328809996E-15</v>
      </c>
      <c r="AC147" s="22">
        <f t="shared" si="111"/>
        <v>10.658887013801392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-7.9580786405131221E-13</v>
      </c>
      <c r="AJ147" s="13">
        <f>AI147*VLOOKUP('Données projet'!$B$10,Paramètres!$A$1:$I$89,3,0)*VLOOKUP('Données projet'!$B$10,Paramètres!$A$1:$I$89,5,0)</f>
        <v>-4.758931027026848E-13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318.09371753144256</v>
      </c>
      <c r="AO147" s="59">
        <f t="shared" si="144"/>
        <v>298.61479562586919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0.36590675724613603</v>
      </c>
      <c r="AV147" s="21">
        <f>EXP(-LN(2)/25)*AV146+(1-EXP(-LN(2)/25))/(LN(2)/25)*Calculateur!AQ147*Calculateur!AS147*VLOOKUP('Données projet'!$B$10,Paramètres!$A$1:$I$89,3,0)*0.475*44/12</f>
        <v>0.87611345034647903</v>
      </c>
      <c r="AW147" s="21">
        <f>EXP(-LN(2)/2)*AW146+(1-EXP(-LN(2)/2))/(LN(2)/2)*AQ147*AT147*VLOOKUP('Données projet'!$B$10,Paramètres!$A$1:$I$89,3,0)*0.475*44/12</f>
        <v>2.0990457732044575E-16</v>
      </c>
      <c r="AX147" s="21">
        <f t="shared" si="114"/>
        <v>1.2420202075926152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5.6843418860808015E-14</v>
      </c>
      <c r="BE147" s="13">
        <f>BD147*VLOOKUP('Données projet'!$B$11,Paramètres!$A$1:$I$89,3,0)*VLOOKUP('Données projet'!$B$11,Paramètres!$A$1:$I$89,5,0)</f>
        <v>4.6111381379887463E-14</v>
      </c>
      <c r="BF147" s="13">
        <f t="shared" si="145"/>
        <v>7.5804141040779151E-13</v>
      </c>
      <c r="BG147" s="20">
        <f t="shared" si="115"/>
        <v>1.4005661123635408E-12</v>
      </c>
      <c r="BH147" s="59">
        <f t="shared" si="116"/>
        <v>293.33333333333474</v>
      </c>
      <c r="BI147" s="59">
        <f ca="1">AVERAGE(OFFSET($BH$3,0,0,'Données projet'!$E$11+1,1))-AVERAGE(OFFSET($H$3,0,0,'Données projet'!$E$11+1,1))</f>
        <v>230.68538392491388</v>
      </c>
      <c r="BJ147" s="59">
        <f t="shared" si="146"/>
        <v>267.97457956620724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0.36061834447801905</v>
      </c>
      <c r="BR147" s="21">
        <f>EXP(-LN(2)/2)*BR146+(1-EXP(-LN(2)/2))/(LN(2)/2)*BL147*BO147*VLOOKUP('Données projet'!$B$11,Paramètres!$A$1:$I$89,3,0)*0.475*44/12</f>
        <v>7.6137494518145046E-17</v>
      </c>
      <c r="BS147" s="22">
        <f t="shared" si="117"/>
        <v>0.3606183444780191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2.8421709430404007E-14</v>
      </c>
      <c r="BZ147" s="13">
        <f>BY147*VLOOKUP('Données projet'!$B$12,Paramètres!$A$1:$I$89,3,0)*VLOOKUP('Données projet'!$B$12,Paramètres!$A$1:$I$89,5,0)</f>
        <v>3.2366642699344085E-14</v>
      </c>
      <c r="CA147" s="13">
        <f t="shared" si="147"/>
        <v>5.5446527398450045E-13</v>
      </c>
      <c r="CB147" s="20">
        <f t="shared" si="118"/>
        <v>1.0220655882243624E-12</v>
      </c>
      <c r="CC147" s="59">
        <f t="shared" si="119"/>
        <v>293.33333333333434</v>
      </c>
      <c r="CD147" s="59">
        <f ca="1">AVERAGE(OFFSET($CC$3,0,0,'Données projet'!$E$12+1,1))-AVERAGE(OFFSET($H$3,0,0,'Données projet'!$E$12+1,1))</f>
        <v>242.1473060698724</v>
      </c>
      <c r="CE147" s="59">
        <f t="shared" si="148"/>
        <v>96.127995920458659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0</v>
      </c>
      <c r="CZ147" s="59">
        <f t="shared" si="150"/>
        <v>0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0</v>
      </c>
      <c r="DU147" s="59">
        <f t="shared" si="152"/>
        <v>0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1.3596945791505279E-13</v>
      </c>
      <c r="P148" s="13">
        <f t="shared" si="141"/>
        <v>1.9708830566360721E-12</v>
      </c>
      <c r="Q148" s="20">
        <f t="shared" si="108"/>
        <v>3.669434796176543E-12</v>
      </c>
      <c r="R148" s="59">
        <f t="shared" si="109"/>
        <v>293.33333333333701</v>
      </c>
      <c r="S148" s="59">
        <f ca="1">AVERAGE(OFFSET($R$3,0,0,'Données projet'!$E$9+1,1))-AVERAGE(OFFSET($H$3,0,0,'Données projet'!$E$9+1,1))</f>
        <v>212.98969326021802</v>
      </c>
      <c r="T148" s="59">
        <f t="shared" si="142"/>
        <v>422.91218020922895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7.6425339951573639</v>
      </c>
      <c r="AA148" s="21">
        <f>EXP(-LN(2)/25)*AA147+(1-EXP(-LN(2)/25))/(LN(2)/25)*Calculateur!V148*Calculateur!X148*VLOOKUP('Données projet'!$B$9,Paramètres!$A$1:$I$89,3,0)*0.475*44/12</f>
        <v>2.7851877529924223</v>
      </c>
      <c r="AB148" s="21">
        <f>EXP(-LN(2)/2)*AB147+(1-EXP(-LN(2)/2))/(LN(2)/2)*V148*Y148*VLOOKUP('Données projet'!$B$9,Paramètres!$A$1:$I$89,3,0)*0.475*44/12</f>
        <v>2.5177322772284701E-15</v>
      </c>
      <c r="AC148" s="22">
        <f t="shared" si="111"/>
        <v>10.427721748149787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-7.9580786405131221E-13</v>
      </c>
      <c r="AJ148" s="13">
        <f>AI148*VLOOKUP('Données projet'!$B$10,Paramètres!$A$1:$I$89,3,0)*VLOOKUP('Données projet'!$B$10,Paramètres!$A$1:$I$89,5,0)</f>
        <v>-4.758931027026848E-13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318.09371753144256</v>
      </c>
      <c r="AO148" s="59">
        <f t="shared" si="144"/>
        <v>298.61479562586919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0.35873154891762393</v>
      </c>
      <c r="AV148" s="21">
        <f>EXP(-LN(2)/25)*AV147+(1-EXP(-LN(2)/25))/(LN(2)/25)*Calculateur!AQ148*Calculateur!AS148*VLOOKUP('Données projet'!$B$10,Paramètres!$A$1:$I$89,3,0)*0.475*44/12</f>
        <v>0.85215608197395054</v>
      </c>
      <c r="AW148" s="21">
        <f>EXP(-LN(2)/2)*AW147+(1-EXP(-LN(2)/2))/(LN(2)/2)*AQ148*AT148*VLOOKUP('Données projet'!$B$10,Paramètres!$A$1:$I$89,3,0)*0.475*44/12</f>
        <v>1.4842495002538318E-16</v>
      </c>
      <c r="AX148" s="21">
        <f t="shared" si="114"/>
        <v>1.2108876308915748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5.6843418860808015E-14</v>
      </c>
      <c r="BE148" s="13">
        <f>BD148*VLOOKUP('Données projet'!$B$11,Paramètres!$A$1:$I$89,3,0)*VLOOKUP('Données projet'!$B$11,Paramètres!$A$1:$I$89,5,0)</f>
        <v>4.6111381379887463E-14</v>
      </c>
      <c r="BF148" s="13">
        <f t="shared" si="145"/>
        <v>7.5804141040779151E-13</v>
      </c>
      <c r="BG148" s="20">
        <f t="shared" si="115"/>
        <v>1.4005661123635408E-12</v>
      </c>
      <c r="BH148" s="59">
        <f t="shared" si="116"/>
        <v>293.33333333333474</v>
      </c>
      <c r="BI148" s="59">
        <f ca="1">AVERAGE(OFFSET($BH$3,0,0,'Données projet'!$E$11+1,1))-AVERAGE(OFFSET($H$3,0,0,'Données projet'!$E$11+1,1))</f>
        <v>230.68538392491388</v>
      </c>
      <c r="BJ148" s="59">
        <f t="shared" si="146"/>
        <v>267.97457956620724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0.35075721688417311</v>
      </c>
      <c r="BR148" s="21">
        <f>EXP(-LN(2)/2)*BR147+(1-EXP(-LN(2)/2))/(LN(2)/2)*BL148*BO148*VLOOKUP('Données projet'!$B$11,Paramètres!$A$1:$I$89,3,0)*0.475*44/12</f>
        <v>5.3837338676333952E-17</v>
      </c>
      <c r="BS148" s="22">
        <f t="shared" si="117"/>
        <v>0.35075721688417316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2.8421709430404007E-14</v>
      </c>
      <c r="BZ148" s="13">
        <f>BY148*VLOOKUP('Données projet'!$B$12,Paramètres!$A$1:$I$89,3,0)*VLOOKUP('Données projet'!$B$12,Paramètres!$A$1:$I$89,5,0)</f>
        <v>3.2366642699344085E-14</v>
      </c>
      <c r="CA148" s="13">
        <f t="shared" si="147"/>
        <v>5.5446527398450045E-13</v>
      </c>
      <c r="CB148" s="20">
        <f t="shared" si="118"/>
        <v>1.0220655882243624E-12</v>
      </c>
      <c r="CC148" s="59">
        <f t="shared" si="119"/>
        <v>293.33333333333434</v>
      </c>
      <c r="CD148" s="59">
        <f ca="1">AVERAGE(OFFSET($CC$3,0,0,'Données projet'!$E$12+1,1))-AVERAGE(OFFSET($H$3,0,0,'Données projet'!$E$12+1,1))</f>
        <v>242.1473060698724</v>
      </c>
      <c r="CE148" s="59">
        <f t="shared" si="148"/>
        <v>96.127995920458659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0</v>
      </c>
      <c r="CZ148" s="59">
        <f t="shared" si="150"/>
        <v>0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0</v>
      </c>
      <c r="DU148" s="59">
        <f t="shared" si="152"/>
        <v>0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1.3596945791505279E-13</v>
      </c>
      <c r="P149" s="13">
        <f t="shared" si="141"/>
        <v>1.9708830566360721E-12</v>
      </c>
      <c r="Q149" s="20">
        <f t="shared" si="108"/>
        <v>3.669434796176543E-12</v>
      </c>
      <c r="R149" s="59">
        <f t="shared" si="109"/>
        <v>293.33333333333701</v>
      </c>
      <c r="S149" s="59">
        <f ca="1">AVERAGE(OFFSET($R$3,0,0,'Données projet'!$E$9+1,1))-AVERAGE(OFFSET($H$3,0,0,'Données projet'!$E$9+1,1))</f>
        <v>212.98969326021802</v>
      </c>
      <c r="T149" s="59">
        <f t="shared" si="142"/>
        <v>422.91218020922895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7.4926685649977811</v>
      </c>
      <c r="AA149" s="21">
        <f>EXP(-LN(2)/25)*AA148+(1-EXP(-LN(2)/25))/(LN(2)/25)*Calculateur!V149*Calculateur!X149*VLOOKUP('Données projet'!$B$9,Paramètres!$A$1:$I$89,3,0)*0.475*44/12</f>
        <v>2.7090266474201861</v>
      </c>
      <c r="AB149" s="21">
        <f>EXP(-LN(2)/2)*AB148+(1-EXP(-LN(2)/2))/(LN(2)/2)*V149*Y149*VLOOKUP('Données projet'!$B$9,Paramètres!$A$1:$I$89,3,0)*0.475*44/12</f>
        <v>1.7803055664404998E-15</v>
      </c>
      <c r="AC149" s="22">
        <f t="shared" si="111"/>
        <v>10.201695212417969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-7.9580786405131221E-13</v>
      </c>
      <c r="AJ149" s="13">
        <f>AI149*VLOOKUP('Données projet'!$B$10,Paramètres!$A$1:$I$89,3,0)*VLOOKUP('Données projet'!$B$10,Paramètres!$A$1:$I$89,5,0)</f>
        <v>-4.758931027026848E-13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318.09371753144256</v>
      </c>
      <c r="AO149" s="59">
        <f t="shared" si="144"/>
        <v>298.61479562586919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0.35169704204798902</v>
      </c>
      <c r="AV149" s="21">
        <f>EXP(-LN(2)/25)*AV148+(1-EXP(-LN(2)/25))/(LN(2)/25)*Calculateur!AQ149*Calculateur!AS149*VLOOKUP('Données projet'!$B$10,Paramètres!$A$1:$I$89,3,0)*0.475*44/12</f>
        <v>0.82885382909943217</v>
      </c>
      <c r="AW149" s="21">
        <f>EXP(-LN(2)/2)*AW148+(1-EXP(-LN(2)/2))/(LN(2)/2)*AQ149*AT149*VLOOKUP('Données projet'!$B$10,Paramètres!$A$1:$I$89,3,0)*0.475*44/12</f>
        <v>1.0495228866022288E-16</v>
      </c>
      <c r="AX149" s="21">
        <f t="shared" si="114"/>
        <v>1.1805508711474211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5.6843418860808015E-14</v>
      </c>
      <c r="BE149" s="13">
        <f>BD149*VLOOKUP('Données projet'!$B$11,Paramètres!$A$1:$I$89,3,0)*VLOOKUP('Données projet'!$B$11,Paramètres!$A$1:$I$89,5,0)</f>
        <v>4.6111381379887463E-14</v>
      </c>
      <c r="BF149" s="13">
        <f t="shared" si="145"/>
        <v>7.5804141040779151E-13</v>
      </c>
      <c r="BG149" s="20">
        <f t="shared" si="115"/>
        <v>1.4005661123635408E-12</v>
      </c>
      <c r="BH149" s="59">
        <f t="shared" si="116"/>
        <v>293.33333333333474</v>
      </c>
      <c r="BI149" s="59">
        <f ca="1">AVERAGE(OFFSET($BH$3,0,0,'Données projet'!$E$11+1,1))-AVERAGE(OFFSET($H$3,0,0,'Données projet'!$E$11+1,1))</f>
        <v>230.68538392491388</v>
      </c>
      <c r="BJ149" s="59">
        <f t="shared" si="146"/>
        <v>267.97457956620724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0.34116574234295505</v>
      </c>
      <c r="BR149" s="21">
        <f>EXP(-LN(2)/2)*BR148+(1-EXP(-LN(2)/2))/(LN(2)/2)*BL149*BO149*VLOOKUP('Données projet'!$B$11,Paramètres!$A$1:$I$89,3,0)*0.475*44/12</f>
        <v>3.8068747259072523E-17</v>
      </c>
      <c r="BS149" s="22">
        <f t="shared" si="117"/>
        <v>0.3411657423429551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2.8421709430404007E-14</v>
      </c>
      <c r="BZ149" s="13">
        <f>BY149*VLOOKUP('Données projet'!$B$12,Paramètres!$A$1:$I$89,3,0)*VLOOKUP('Données projet'!$B$12,Paramètres!$A$1:$I$89,5,0)</f>
        <v>3.2366642699344085E-14</v>
      </c>
      <c r="CA149" s="13">
        <f t="shared" si="147"/>
        <v>5.5446527398450045E-13</v>
      </c>
      <c r="CB149" s="20">
        <f t="shared" si="118"/>
        <v>1.0220655882243624E-12</v>
      </c>
      <c r="CC149" s="59">
        <f t="shared" si="119"/>
        <v>293.33333333333434</v>
      </c>
      <c r="CD149" s="59">
        <f ca="1">AVERAGE(OFFSET($CC$3,0,0,'Données projet'!$E$12+1,1))-AVERAGE(OFFSET($H$3,0,0,'Données projet'!$E$12+1,1))</f>
        <v>242.1473060698724</v>
      </c>
      <c r="CE149" s="59">
        <f t="shared" si="148"/>
        <v>96.127995920458659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0</v>
      </c>
      <c r="CZ149" s="59">
        <f t="shared" si="150"/>
        <v>0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0</v>
      </c>
      <c r="DU149" s="59">
        <f t="shared" si="152"/>
        <v>0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1.3596945791505279E-13</v>
      </c>
      <c r="P150" s="13">
        <f t="shared" si="141"/>
        <v>1.9708830566360721E-12</v>
      </c>
      <c r="Q150" s="20">
        <f t="shared" si="108"/>
        <v>3.669434796176543E-12</v>
      </c>
      <c r="R150" s="59">
        <f t="shared" si="109"/>
        <v>293.33333333333701</v>
      </c>
      <c r="S150" s="59">
        <f ca="1">AVERAGE(OFFSET($R$3,0,0,'Données projet'!$E$9+1,1))-AVERAGE(OFFSET($H$3,0,0,'Données projet'!$E$9+1,1))</f>
        <v>212.98969326021802</v>
      </c>
      <c r="T150" s="59">
        <f t="shared" si="142"/>
        <v>422.91218020922895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7.3457419045147416</v>
      </c>
      <c r="AA150" s="21">
        <f>EXP(-LN(2)/25)*AA149+(1-EXP(-LN(2)/25))/(LN(2)/25)*Calculateur!V150*Calculateur!X150*VLOOKUP('Données projet'!$B$9,Paramètres!$A$1:$I$89,3,0)*0.475*44/12</f>
        <v>2.6349481712849614</v>
      </c>
      <c r="AB150" s="21">
        <f>EXP(-LN(2)/2)*AB149+(1-EXP(-LN(2)/2))/(LN(2)/2)*V150*Y150*VLOOKUP('Données projet'!$B$9,Paramètres!$A$1:$I$89,3,0)*0.475*44/12</f>
        <v>1.2588661386142351E-15</v>
      </c>
      <c r="AC150" s="22">
        <f t="shared" si="111"/>
        <v>9.9806900757997052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-7.9580786405131221E-13</v>
      </c>
      <c r="AJ150" s="13">
        <f>AI150*VLOOKUP('Données projet'!$B$10,Paramètres!$A$1:$I$89,3,0)*VLOOKUP('Données projet'!$B$10,Paramètres!$A$1:$I$89,5,0)</f>
        <v>-4.758931027026848E-13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318.09371753144256</v>
      </c>
      <c r="AO150" s="59">
        <f t="shared" si="144"/>
        <v>298.61479562586919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0.34480047756744209</v>
      </c>
      <c r="AV150" s="21">
        <f>EXP(-LN(2)/25)*AV149+(1-EXP(-LN(2)/25))/(LN(2)/25)*Calculateur!AQ150*Calculateur!AS150*VLOOKUP('Données projet'!$B$10,Paramètres!$A$1:$I$89,3,0)*0.475*44/12</f>
        <v>0.8061887775551797</v>
      </c>
      <c r="AW150" s="21">
        <f>EXP(-LN(2)/2)*AW149+(1-EXP(-LN(2)/2))/(LN(2)/2)*AQ150*AT150*VLOOKUP('Données projet'!$B$10,Paramètres!$A$1:$I$89,3,0)*0.475*44/12</f>
        <v>7.4212475012691589E-17</v>
      </c>
      <c r="AX150" s="21">
        <f t="shared" si="114"/>
        <v>1.1509892551226217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5.6843418860808015E-14</v>
      </c>
      <c r="BE150" s="13">
        <f>BD150*VLOOKUP('Données projet'!$B$11,Paramètres!$A$1:$I$89,3,0)*VLOOKUP('Données projet'!$B$11,Paramètres!$A$1:$I$89,5,0)</f>
        <v>4.6111381379887463E-14</v>
      </c>
      <c r="BF150" s="13">
        <f t="shared" si="145"/>
        <v>7.5804141040779151E-13</v>
      </c>
      <c r="BG150" s="20">
        <f t="shared" si="115"/>
        <v>1.4005661123635408E-12</v>
      </c>
      <c r="BH150" s="59">
        <f t="shared" si="116"/>
        <v>293.33333333333474</v>
      </c>
      <c r="BI150" s="59">
        <f ca="1">AVERAGE(OFFSET($BH$3,0,0,'Données projet'!$E$11+1,1))-AVERAGE(OFFSET($H$3,0,0,'Données projet'!$E$11+1,1))</f>
        <v>230.68538392491388</v>
      </c>
      <c r="BJ150" s="59">
        <f t="shared" si="146"/>
        <v>267.97457956620724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0.33183654717746031</v>
      </c>
      <c r="BR150" s="21">
        <f>EXP(-LN(2)/2)*BR149+(1-EXP(-LN(2)/2))/(LN(2)/2)*BL150*BO150*VLOOKUP('Données projet'!$B$11,Paramètres!$A$1:$I$89,3,0)*0.475*44/12</f>
        <v>2.6918669338166976E-17</v>
      </c>
      <c r="BS150" s="22">
        <f t="shared" si="117"/>
        <v>0.33183654717746031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2.8421709430404007E-14</v>
      </c>
      <c r="BZ150" s="13">
        <f>BY150*VLOOKUP('Données projet'!$B$12,Paramètres!$A$1:$I$89,3,0)*VLOOKUP('Données projet'!$B$12,Paramètres!$A$1:$I$89,5,0)</f>
        <v>3.2366642699344085E-14</v>
      </c>
      <c r="CA150" s="13">
        <f t="shared" si="147"/>
        <v>5.5446527398450045E-13</v>
      </c>
      <c r="CB150" s="20">
        <f t="shared" si="118"/>
        <v>1.0220655882243624E-12</v>
      </c>
      <c r="CC150" s="59">
        <f t="shared" si="119"/>
        <v>293.33333333333434</v>
      </c>
      <c r="CD150" s="59">
        <f ca="1">AVERAGE(OFFSET($CC$3,0,0,'Données projet'!$E$12+1,1))-AVERAGE(OFFSET($H$3,0,0,'Données projet'!$E$12+1,1))</f>
        <v>242.1473060698724</v>
      </c>
      <c r="CE150" s="59">
        <f t="shared" si="148"/>
        <v>96.127995920458659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0</v>
      </c>
      <c r="CZ150" s="59">
        <f t="shared" si="150"/>
        <v>0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0</v>
      </c>
      <c r="DU150" s="59">
        <f t="shared" si="152"/>
        <v>0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1.3596945791505279E-13</v>
      </c>
      <c r="P151" s="13">
        <f t="shared" si="141"/>
        <v>1.9708830566360721E-12</v>
      </c>
      <c r="Q151" s="20">
        <f t="shared" si="108"/>
        <v>3.669434796176543E-12</v>
      </c>
      <c r="R151" s="59">
        <f t="shared" si="109"/>
        <v>293.33333333333701</v>
      </c>
      <c r="S151" s="59">
        <f ca="1">AVERAGE(OFFSET($R$3,0,0,'Données projet'!$E$9+1,1))-AVERAGE(OFFSET($H$3,0,0,'Données projet'!$E$9+1,1))</f>
        <v>212.98969326021802</v>
      </c>
      <c r="T151" s="59">
        <f t="shared" si="142"/>
        <v>422.91218020922895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7.2016963862273604</v>
      </c>
      <c r="AA151" s="21">
        <f>EXP(-LN(2)/25)*AA150+(1-EXP(-LN(2)/25))/(LN(2)/25)*Calculateur!V151*Calculateur!X151*VLOOKUP('Données projet'!$B$9,Paramètres!$A$1:$I$89,3,0)*0.475*44/12</f>
        <v>2.5628953749752719</v>
      </c>
      <c r="AB151" s="21">
        <f>EXP(-LN(2)/2)*AB150+(1-EXP(-LN(2)/2))/(LN(2)/2)*V151*Y151*VLOOKUP('Données projet'!$B$9,Paramètres!$A$1:$I$89,3,0)*0.475*44/12</f>
        <v>8.901527832202499E-16</v>
      </c>
      <c r="AC151" s="22">
        <f t="shared" si="111"/>
        <v>9.7645917612026345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-7.9580786405131221E-13</v>
      </c>
      <c r="AJ151" s="13">
        <f>AI151*VLOOKUP('Données projet'!$B$10,Paramètres!$A$1:$I$89,3,0)*VLOOKUP('Données projet'!$B$10,Paramètres!$A$1:$I$89,5,0)</f>
        <v>-4.758931027026848E-13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318.09371753144256</v>
      </c>
      <c r="AO151" s="59">
        <f t="shared" si="144"/>
        <v>298.61479562586919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0.33803915050986971</v>
      </c>
      <c r="AV151" s="21">
        <f>EXP(-LN(2)/25)*AV150+(1-EXP(-LN(2)/25))/(LN(2)/25)*Calculateur!AQ151*Calculateur!AS151*VLOOKUP('Données projet'!$B$10,Paramètres!$A$1:$I$89,3,0)*0.475*44/12</f>
        <v>0.78414350303730807</v>
      </c>
      <c r="AW151" s="21">
        <f>EXP(-LN(2)/2)*AW150+(1-EXP(-LN(2)/2))/(LN(2)/2)*AQ151*AT151*VLOOKUP('Données projet'!$B$10,Paramètres!$A$1:$I$89,3,0)*0.475*44/12</f>
        <v>5.2476144330111438E-17</v>
      </c>
      <c r="AX151" s="21">
        <f t="shared" si="114"/>
        <v>1.1221826535471777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5.6843418860808015E-14</v>
      </c>
      <c r="BE151" s="13">
        <f>BD151*VLOOKUP('Données projet'!$B$11,Paramètres!$A$1:$I$89,3,0)*VLOOKUP('Données projet'!$B$11,Paramètres!$A$1:$I$89,5,0)</f>
        <v>4.6111381379887463E-14</v>
      </c>
      <c r="BF151" s="13">
        <f t="shared" si="145"/>
        <v>7.5804141040779151E-13</v>
      </c>
      <c r="BG151" s="20">
        <f t="shared" si="115"/>
        <v>1.4005661123635408E-12</v>
      </c>
      <c r="BH151" s="59">
        <f t="shared" si="116"/>
        <v>293.33333333333474</v>
      </c>
      <c r="BI151" s="59">
        <f ca="1">AVERAGE(OFFSET($BH$3,0,0,'Données projet'!$E$11+1,1))-AVERAGE(OFFSET($H$3,0,0,'Données projet'!$E$11+1,1))</f>
        <v>230.68538392491388</v>
      </c>
      <c r="BJ151" s="59">
        <f t="shared" si="146"/>
        <v>267.97457956620724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0.32276245934436704</v>
      </c>
      <c r="BR151" s="21">
        <f>EXP(-LN(2)/2)*BR150+(1-EXP(-LN(2)/2))/(LN(2)/2)*BL151*BO151*VLOOKUP('Données projet'!$B$11,Paramètres!$A$1:$I$89,3,0)*0.475*44/12</f>
        <v>1.9034373629536262E-17</v>
      </c>
      <c r="BS151" s="22">
        <f t="shared" si="117"/>
        <v>0.32276245934436704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2.8421709430404007E-14</v>
      </c>
      <c r="BZ151" s="13">
        <f>BY151*VLOOKUP('Données projet'!$B$12,Paramètres!$A$1:$I$89,3,0)*VLOOKUP('Données projet'!$B$12,Paramètres!$A$1:$I$89,5,0)</f>
        <v>3.2366642699344085E-14</v>
      </c>
      <c r="CA151" s="13">
        <f t="shared" si="147"/>
        <v>5.5446527398450045E-13</v>
      </c>
      <c r="CB151" s="20">
        <f t="shared" si="118"/>
        <v>1.0220655882243624E-12</v>
      </c>
      <c r="CC151" s="59">
        <f t="shared" si="119"/>
        <v>293.33333333333434</v>
      </c>
      <c r="CD151" s="59">
        <f ca="1">AVERAGE(OFFSET($CC$3,0,0,'Données projet'!$E$12+1,1))-AVERAGE(OFFSET($H$3,0,0,'Données projet'!$E$12+1,1))</f>
        <v>242.1473060698724</v>
      </c>
      <c r="CE151" s="59">
        <f t="shared" si="148"/>
        <v>96.127995920458659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0</v>
      </c>
      <c r="CZ151" s="59">
        <f t="shared" si="150"/>
        <v>0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0</v>
      </c>
      <c r="DU151" s="59">
        <f t="shared" si="152"/>
        <v>0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1.3596945791505279E-13</v>
      </c>
      <c r="P152" s="13">
        <f t="shared" si="141"/>
        <v>1.9708830566360721E-12</v>
      </c>
      <c r="Q152" s="20">
        <f t="shared" si="108"/>
        <v>3.669434796176543E-12</v>
      </c>
      <c r="R152" s="59">
        <f t="shared" si="109"/>
        <v>293.33333333333701</v>
      </c>
      <c r="S152" s="59">
        <f ca="1">AVERAGE(OFFSET($R$3,0,0,'Données projet'!$E$9+1,1))-AVERAGE(OFFSET($H$3,0,0,'Données projet'!$E$9+1,1))</f>
        <v>212.98969326021802</v>
      </c>
      <c r="T152" s="59">
        <f t="shared" si="142"/>
        <v>422.91218020922895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7.060475512694504</v>
      </c>
      <c r="AA152" s="21">
        <f>EXP(-LN(2)/25)*AA151+(1-EXP(-LN(2)/25))/(LN(2)/25)*Calculateur!V152*Calculateur!X152*VLOOKUP('Données projet'!$B$9,Paramètres!$A$1:$I$89,3,0)*0.475*44/12</f>
        <v>2.4928128661697628</v>
      </c>
      <c r="AB152" s="21">
        <f>EXP(-LN(2)/2)*AB151+(1-EXP(-LN(2)/2))/(LN(2)/2)*V152*Y152*VLOOKUP('Données projet'!$B$9,Paramètres!$A$1:$I$89,3,0)*0.475*44/12</f>
        <v>6.2943306930711753E-16</v>
      </c>
      <c r="AC152" s="22">
        <f t="shared" si="111"/>
        <v>9.5532883788642664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-7.9580786405131221E-13</v>
      </c>
      <c r="AJ152" s="13">
        <f>AI152*VLOOKUP('Données projet'!$B$10,Paramètres!$A$1:$I$89,3,0)*VLOOKUP('Données projet'!$B$10,Paramètres!$A$1:$I$89,5,0)</f>
        <v>-4.758931027026848E-13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318.09371753144256</v>
      </c>
      <c r="AO152" s="59">
        <f t="shared" si="144"/>
        <v>298.61479562586919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0.33141040895189405</v>
      </c>
      <c r="AV152" s="21">
        <f>EXP(-LN(2)/25)*AV151+(1-EXP(-LN(2)/25))/(LN(2)/25)*Calculateur!AQ152*Calculateur!AS152*VLOOKUP('Données projet'!$B$10,Paramètres!$A$1:$I$89,3,0)*0.475*44/12</f>
        <v>0.76270105771043828</v>
      </c>
      <c r="AW152" s="21">
        <f>EXP(-LN(2)/2)*AW151+(1-EXP(-LN(2)/2))/(LN(2)/2)*AQ152*AT152*VLOOKUP('Données projet'!$B$10,Paramètres!$A$1:$I$89,3,0)*0.475*44/12</f>
        <v>3.7106237506345794E-17</v>
      </c>
      <c r="AX152" s="21">
        <f t="shared" si="114"/>
        <v>1.0941114666623324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5.6843418860808015E-14</v>
      </c>
      <c r="BE152" s="13">
        <f>BD152*VLOOKUP('Données projet'!$B$11,Paramètres!$A$1:$I$89,3,0)*VLOOKUP('Données projet'!$B$11,Paramètres!$A$1:$I$89,5,0)</f>
        <v>4.6111381379887463E-14</v>
      </c>
      <c r="BF152" s="13">
        <f t="shared" si="145"/>
        <v>7.5804141040779151E-13</v>
      </c>
      <c r="BG152" s="20">
        <f t="shared" si="115"/>
        <v>1.4005661123635408E-12</v>
      </c>
      <c r="BH152" s="59">
        <f t="shared" si="116"/>
        <v>293.33333333333474</v>
      </c>
      <c r="BI152" s="59">
        <f ca="1">AVERAGE(OFFSET($BH$3,0,0,'Données projet'!$E$11+1,1))-AVERAGE(OFFSET($H$3,0,0,'Données projet'!$E$11+1,1))</f>
        <v>230.68538392491388</v>
      </c>
      <c r="BJ152" s="59">
        <f t="shared" si="146"/>
        <v>267.97457956620724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0.31393650292025527</v>
      </c>
      <c r="BR152" s="21">
        <f>EXP(-LN(2)/2)*BR151+(1-EXP(-LN(2)/2))/(LN(2)/2)*BL152*BO152*VLOOKUP('Données projet'!$B$11,Paramètres!$A$1:$I$89,3,0)*0.475*44/12</f>
        <v>1.3459334669083488E-17</v>
      </c>
      <c r="BS152" s="22">
        <f t="shared" si="117"/>
        <v>0.31393650292025527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2.8421709430404007E-14</v>
      </c>
      <c r="BZ152" s="13">
        <f>BY152*VLOOKUP('Données projet'!$B$12,Paramètres!$A$1:$I$89,3,0)*VLOOKUP('Données projet'!$B$12,Paramètres!$A$1:$I$89,5,0)</f>
        <v>3.2366642699344085E-14</v>
      </c>
      <c r="CA152" s="13">
        <f t="shared" si="147"/>
        <v>5.5446527398450045E-13</v>
      </c>
      <c r="CB152" s="20">
        <f t="shared" si="118"/>
        <v>1.0220655882243624E-12</v>
      </c>
      <c r="CC152" s="59">
        <f t="shared" si="119"/>
        <v>293.33333333333434</v>
      </c>
      <c r="CD152" s="59">
        <f ca="1">AVERAGE(OFFSET($CC$3,0,0,'Données projet'!$E$12+1,1))-AVERAGE(OFFSET($H$3,0,0,'Données projet'!$E$12+1,1))</f>
        <v>242.1473060698724</v>
      </c>
      <c r="CE152" s="59">
        <f t="shared" si="148"/>
        <v>96.127995920458659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0</v>
      </c>
      <c r="CZ152" s="59">
        <f t="shared" si="150"/>
        <v>0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0</v>
      </c>
      <c r="DU152" s="59">
        <f t="shared" si="152"/>
        <v>0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1.3596945791505279E-13</v>
      </c>
      <c r="P153" s="13">
        <f t="shared" si="141"/>
        <v>1.9708830566360721E-12</v>
      </c>
      <c r="Q153" s="20">
        <f t="shared" si="108"/>
        <v>3.669434796176543E-12</v>
      </c>
      <c r="R153" s="59">
        <f t="shared" si="109"/>
        <v>293.33333333333701</v>
      </c>
      <c r="S153" s="59">
        <f ca="1">AVERAGE(OFFSET($R$3,0,0,'Données projet'!$E$9+1,1))-AVERAGE(OFFSET($H$3,0,0,'Données projet'!$E$9+1,1))</f>
        <v>212.98969326021802</v>
      </c>
      <c r="T153" s="59">
        <f t="shared" si="142"/>
        <v>422.91218020922895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6.9220238943553998</v>
      </c>
      <c r="AA153" s="21">
        <f>EXP(-LN(2)/25)*AA152+(1-EXP(-LN(2)/25))/(LN(2)/25)*Calculateur!V153*Calculateur!X153*VLOOKUP('Données projet'!$B$9,Paramètres!$A$1:$I$89,3,0)*0.475*44/12</f>
        <v>2.4246467672530194</v>
      </c>
      <c r="AB153" s="21">
        <f>EXP(-LN(2)/2)*AB152+(1-EXP(-LN(2)/2))/(LN(2)/2)*V153*Y153*VLOOKUP('Données projet'!$B$9,Paramètres!$A$1:$I$89,3,0)*0.475*44/12</f>
        <v>4.4507639161012495E-16</v>
      </c>
      <c r="AC153" s="22">
        <f t="shared" si="111"/>
        <v>9.3466706616084192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-7.9580786405131221E-13</v>
      </c>
      <c r="AJ153" s="13">
        <f>AI153*VLOOKUP('Données projet'!$B$10,Paramètres!$A$1:$I$89,3,0)*VLOOKUP('Données projet'!$B$10,Paramètres!$A$1:$I$89,5,0)</f>
        <v>-4.758931027026848E-13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318.09371753144256</v>
      </c>
      <c r="AO153" s="59">
        <f t="shared" si="144"/>
        <v>298.61479562586919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0.32491165297273716</v>
      </c>
      <c r="AV153" s="21">
        <f>EXP(-LN(2)/25)*AV152+(1-EXP(-LN(2)/25))/(LN(2)/25)*Calculateur!AQ153*Calculateur!AS153*VLOOKUP('Données projet'!$B$10,Paramètres!$A$1:$I$89,3,0)*0.475*44/12</f>
        <v>0.74184495717864085</v>
      </c>
      <c r="AW153" s="21">
        <f>EXP(-LN(2)/2)*AW152+(1-EXP(-LN(2)/2))/(LN(2)/2)*AQ153*AT153*VLOOKUP('Données projet'!$B$10,Paramètres!$A$1:$I$89,3,0)*0.475*44/12</f>
        <v>2.6238072165055719E-17</v>
      </c>
      <c r="AX153" s="21">
        <f t="shared" si="114"/>
        <v>1.0667566101513781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5.6843418860808015E-14</v>
      </c>
      <c r="BE153" s="13">
        <f>BD153*VLOOKUP('Données projet'!$B$11,Paramètres!$A$1:$I$89,3,0)*VLOOKUP('Données projet'!$B$11,Paramètres!$A$1:$I$89,5,0)</f>
        <v>4.6111381379887463E-14</v>
      </c>
      <c r="BF153" s="13">
        <f t="shared" si="145"/>
        <v>7.5804141040779151E-13</v>
      </c>
      <c r="BG153" s="20">
        <f t="shared" si="115"/>
        <v>1.4005661123635408E-12</v>
      </c>
      <c r="BH153" s="59">
        <f t="shared" si="116"/>
        <v>293.33333333333474</v>
      </c>
      <c r="BI153" s="59">
        <f ca="1">AVERAGE(OFFSET($BH$3,0,0,'Données projet'!$E$11+1,1))-AVERAGE(OFFSET($H$3,0,0,'Données projet'!$E$11+1,1))</f>
        <v>230.68538392491388</v>
      </c>
      <c r="BJ153" s="59">
        <f t="shared" si="146"/>
        <v>267.97457956620724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0.30535189273869773</v>
      </c>
      <c r="BR153" s="21">
        <f>EXP(-LN(2)/2)*BR152+(1-EXP(-LN(2)/2))/(LN(2)/2)*BL153*BO153*VLOOKUP('Données projet'!$B$11,Paramètres!$A$1:$I$89,3,0)*0.475*44/12</f>
        <v>9.5171868147681308E-18</v>
      </c>
      <c r="BS153" s="22">
        <f t="shared" si="117"/>
        <v>0.30535189273869773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2.8421709430404007E-14</v>
      </c>
      <c r="BZ153" s="13">
        <f>BY153*VLOOKUP('Données projet'!$B$12,Paramètres!$A$1:$I$89,3,0)*VLOOKUP('Données projet'!$B$12,Paramètres!$A$1:$I$89,5,0)</f>
        <v>3.2366642699344085E-14</v>
      </c>
      <c r="CA153" s="13">
        <f t="shared" si="147"/>
        <v>5.5446527398450045E-13</v>
      </c>
      <c r="CB153" s="20">
        <f t="shared" si="118"/>
        <v>1.0220655882243624E-12</v>
      </c>
      <c r="CC153" s="59">
        <f t="shared" si="119"/>
        <v>293.33333333333434</v>
      </c>
      <c r="CD153" s="59">
        <f ca="1">AVERAGE(OFFSET($CC$3,0,0,'Données projet'!$E$12+1,1))-AVERAGE(OFFSET($H$3,0,0,'Données projet'!$E$12+1,1))</f>
        <v>242.1473060698724</v>
      </c>
      <c r="CE153" s="59">
        <f t="shared" si="148"/>
        <v>96.127995920458659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0</v>
      </c>
      <c r="CZ153" s="59">
        <f t="shared" si="150"/>
        <v>0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0</v>
      </c>
      <c r="DU153" s="59">
        <f t="shared" si="152"/>
        <v>0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1.3596945791505279E-13</v>
      </c>
      <c r="P154" s="13">
        <f t="shared" si="141"/>
        <v>1.9708830566360721E-12</v>
      </c>
      <c r="Q154" s="20">
        <f t="shared" ref="Q154:Q203" si="162">(O154+P154)*0.475*44/12</f>
        <v>3.669434796176543E-12</v>
      </c>
      <c r="R154" s="59">
        <f t="shared" si="109"/>
        <v>293.33333333333701</v>
      </c>
      <c r="S154" s="59">
        <f ca="1">AVERAGE(OFFSET($R$3,0,0,'Données projet'!$E$9+1,1))-AVERAGE(OFFSET($H$3,0,0,'Données projet'!$E$9+1,1))</f>
        <v>212.98969326021802</v>
      </c>
      <c r="T154" s="59">
        <f t="shared" si="142"/>
        <v>422.91218020922895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6.7862872278047766</v>
      </c>
      <c r="AA154" s="21">
        <f>EXP(-LN(2)/25)*AA153+(1-EXP(-LN(2)/25))/(LN(2)/25)*Calculateur!V154*Calculateur!X154*VLOOKUP('Données projet'!$B$9,Paramètres!$A$1:$I$89,3,0)*0.475*44/12</f>
        <v>2.3583446738958536</v>
      </c>
      <c r="AB154" s="21">
        <f>EXP(-LN(2)/2)*AB153+(1-EXP(-LN(2)/2))/(LN(2)/2)*V154*Y154*VLOOKUP('Données projet'!$B$9,Paramètres!$A$1:$I$89,3,0)*0.475*44/12</f>
        <v>3.1471653465355876E-16</v>
      </c>
      <c r="AC154" s="22">
        <f t="shared" ref="AC154:AC203" si="163">SUM(Z154:AB154)</f>
        <v>9.144631901700631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-7.9580786405131221E-13</v>
      </c>
      <c r="AJ154" s="13">
        <f>AI154*VLOOKUP('Données projet'!$B$10,Paramètres!$A$1:$I$89,3,0)*VLOOKUP('Données projet'!$B$10,Paramètres!$A$1:$I$89,5,0)</f>
        <v>-4.758931027026848E-13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318.09371753144256</v>
      </c>
      <c r="AO154" s="59">
        <f t="shared" si="144"/>
        <v>298.61479562586919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0.31854033363448181</v>
      </c>
      <c r="AV154" s="21">
        <f>EXP(-LN(2)/25)*AV153+(1-EXP(-LN(2)/25))/(LN(2)/25)*Calculateur!AQ154*Calculateur!AS154*VLOOKUP('Données projet'!$B$10,Paramètres!$A$1:$I$89,3,0)*0.475*44/12</f>
        <v>0.72155916781266016</v>
      </c>
      <c r="AW154" s="21">
        <f>EXP(-LN(2)/2)*AW153+(1-EXP(-LN(2)/2))/(LN(2)/2)*AQ154*AT154*VLOOKUP('Données projet'!$B$10,Paramètres!$A$1:$I$89,3,0)*0.475*44/12</f>
        <v>1.8553118753172897E-17</v>
      </c>
      <c r="AX154" s="21">
        <f t="shared" ref="AX154:AX203" si="166">SUM(AU154:AW154)</f>
        <v>1.0400995014471419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4.6111381379887463E-14</v>
      </c>
      <c r="BF154" s="13">
        <f t="shared" ref="BF154:BF203" si="167">EXP(-1.0587+0.8836*LN(BE154)+0.284)</f>
        <v>7.5804141040779151E-13</v>
      </c>
      <c r="BG154" s="20">
        <f t="shared" ref="BG154:BG203" si="168">(BE154+BF154)*0.475*44/12</f>
        <v>1.4005661123635408E-12</v>
      </c>
      <c r="BH154" s="59">
        <f t="shared" si="116"/>
        <v>293.33333333333474</v>
      </c>
      <c r="BI154" s="59">
        <f ca="1">AVERAGE(OFFSET($BH$3,0,0,'Données projet'!$E$11+1,1))-AVERAGE(OFFSET($H$3,0,0,'Données projet'!$E$11+1,1))</f>
        <v>230.68538392491388</v>
      </c>
      <c r="BJ154" s="59">
        <f t="shared" si="146"/>
        <v>267.97457956620724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0.29700202917399987</v>
      </c>
      <c r="BR154" s="21">
        <f>EXP(-LN(2)/2)*BR153+(1-EXP(-LN(2)/2))/(LN(2)/2)*BL154*BO154*VLOOKUP('Données projet'!$B$11,Paramètres!$A$1:$I$89,3,0)*0.475*44/12</f>
        <v>6.7296673345417439E-18</v>
      </c>
      <c r="BS154" s="22">
        <f t="shared" ref="BS154:BS203" si="169">SUM(BP154:BR154)</f>
        <v>0.29700202917399987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2.8421709430404007E-14</v>
      </c>
      <c r="BZ154" s="13">
        <f>BY154*VLOOKUP('Données projet'!$B$12,Paramètres!$A$1:$I$89,3,0)*VLOOKUP('Données projet'!$B$12,Paramètres!$A$1:$I$89,5,0)</f>
        <v>3.2366642699344085E-14</v>
      </c>
      <c r="CA154" s="13">
        <f t="shared" ref="CA154:CA203" si="170">EXP(-1.0587+0.8836*LN(BZ154)+0.284)</f>
        <v>5.5446527398450045E-13</v>
      </c>
      <c r="CB154" s="20">
        <f t="shared" ref="CB154:CB203" si="171">(BZ154+CA154)*0.475*44/12</f>
        <v>1.0220655882243624E-12</v>
      </c>
      <c r="CC154" s="59">
        <f t="shared" si="119"/>
        <v>293.33333333333434</v>
      </c>
      <c r="CD154" s="59">
        <f ca="1">AVERAGE(OFFSET($CC$3,0,0,'Données projet'!$E$12+1,1))-AVERAGE(OFFSET($H$3,0,0,'Données projet'!$E$12+1,1))</f>
        <v>242.1473060698724</v>
      </c>
      <c r="CE154" s="59">
        <f t="shared" si="148"/>
        <v>96.127995920458659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0</v>
      </c>
      <c r="CZ154" s="59">
        <f t="shared" si="150"/>
        <v>0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0</v>
      </c>
      <c r="DU154" s="59">
        <f t="shared" si="152"/>
        <v>0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1.3596945791505279E-13</v>
      </c>
      <c r="P155" s="13">
        <f t="shared" si="141"/>
        <v>1.9708830566360721E-12</v>
      </c>
      <c r="Q155" s="20">
        <f t="shared" si="162"/>
        <v>3.669434796176543E-12</v>
      </c>
      <c r="R155" s="59">
        <f t="shared" si="109"/>
        <v>293.33333333333701</v>
      </c>
      <c r="S155" s="59">
        <f ca="1">AVERAGE(OFFSET($R$3,0,0,'Données projet'!$E$9+1,1))-AVERAGE(OFFSET($H$3,0,0,'Données projet'!$E$9+1,1))</f>
        <v>212.98969326021802</v>
      </c>
      <c r="T155" s="59">
        <f t="shared" si="142"/>
        <v>422.91218020922895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6.6532122744940194</v>
      </c>
      <c r="AA155" s="21">
        <f>EXP(-LN(2)/25)*AA154+(1-EXP(-LN(2)/25))/(LN(2)/25)*Calculateur!V155*Calculateur!X155*VLOOKUP('Données projet'!$B$9,Paramètres!$A$1:$I$89,3,0)*0.475*44/12</f>
        <v>2.2938556147682152</v>
      </c>
      <c r="AB155" s="21">
        <f>EXP(-LN(2)/2)*AB154+(1-EXP(-LN(2)/2))/(LN(2)/2)*V155*Y155*VLOOKUP('Données projet'!$B$9,Paramètres!$A$1:$I$89,3,0)*0.475*44/12</f>
        <v>2.2253819580506247E-16</v>
      </c>
      <c r="AC155" s="22">
        <f t="shared" si="163"/>
        <v>8.9470678892622342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-7.9580786405131221E-13</v>
      </c>
      <c r="AJ155" s="13">
        <f>AI155*VLOOKUP('Données projet'!$B$10,Paramètres!$A$1:$I$89,3,0)*VLOOKUP('Données projet'!$B$10,Paramètres!$A$1:$I$89,5,0)</f>
        <v>-4.758931027026848E-13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318.09371753144256</v>
      </c>
      <c r="AO155" s="59">
        <f t="shared" si="144"/>
        <v>298.61479562586919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0.31229395198232857</v>
      </c>
      <c r="AV155" s="21">
        <f>EXP(-LN(2)/25)*AV154+(1-EXP(-LN(2)/25))/(LN(2)/25)*Calculateur!AQ155*Calculateur!AS155*VLOOKUP('Données projet'!$B$10,Paramètres!$A$1:$I$89,3,0)*0.475*44/12</f>
        <v>0.70182809442367544</v>
      </c>
      <c r="AW155" s="21">
        <f>EXP(-LN(2)/2)*AW154+(1-EXP(-LN(2)/2))/(LN(2)/2)*AQ155*AT155*VLOOKUP('Données projet'!$B$10,Paramètres!$A$1:$I$89,3,0)*0.475*44/12</f>
        <v>1.3119036082527859E-17</v>
      </c>
      <c r="AX155" s="21">
        <f t="shared" si="166"/>
        <v>1.0141220464060039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4.6111381379887463E-14</v>
      </c>
      <c r="BF155" s="13">
        <f t="shared" si="167"/>
        <v>7.5804141040779151E-13</v>
      </c>
      <c r="BG155" s="20">
        <f t="shared" si="168"/>
        <v>1.4005661123635408E-12</v>
      </c>
      <c r="BH155" s="59">
        <f t="shared" si="116"/>
        <v>293.33333333333474</v>
      </c>
      <c r="BI155" s="59">
        <f ca="1">AVERAGE(OFFSET($BH$3,0,0,'Données projet'!$E$11+1,1))-AVERAGE(OFFSET($H$3,0,0,'Données projet'!$E$11+1,1))</f>
        <v>230.68538392491388</v>
      </c>
      <c r="BJ155" s="59">
        <f t="shared" si="146"/>
        <v>267.97457956620724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0.28888049306757896</v>
      </c>
      <c r="BR155" s="21">
        <f>EXP(-LN(2)/2)*BR154+(1-EXP(-LN(2)/2))/(LN(2)/2)*BL155*BO155*VLOOKUP('Données projet'!$B$11,Paramètres!$A$1:$I$89,3,0)*0.475*44/12</f>
        <v>4.7585934073840654E-18</v>
      </c>
      <c r="BS155" s="22">
        <f t="shared" si="169"/>
        <v>0.28888049306757896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2.8421709430404007E-14</v>
      </c>
      <c r="BZ155" s="13">
        <f>BY155*VLOOKUP('Données projet'!$B$12,Paramètres!$A$1:$I$89,3,0)*VLOOKUP('Données projet'!$B$12,Paramètres!$A$1:$I$89,5,0)</f>
        <v>3.2366642699344085E-14</v>
      </c>
      <c r="CA155" s="13">
        <f t="shared" si="170"/>
        <v>5.5446527398450045E-13</v>
      </c>
      <c r="CB155" s="20">
        <f t="shared" si="171"/>
        <v>1.0220655882243624E-12</v>
      </c>
      <c r="CC155" s="59">
        <f t="shared" si="119"/>
        <v>293.33333333333434</v>
      </c>
      <c r="CD155" s="59">
        <f ca="1">AVERAGE(OFFSET($CC$3,0,0,'Données projet'!$E$12+1,1))-AVERAGE(OFFSET($H$3,0,0,'Données projet'!$E$12+1,1))</f>
        <v>242.1473060698724</v>
      </c>
      <c r="CE155" s="59">
        <f t="shared" si="148"/>
        <v>96.127995920458659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0</v>
      </c>
      <c r="CZ155" s="59">
        <f t="shared" si="150"/>
        <v>0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0</v>
      </c>
      <c r="DU155" s="59">
        <f t="shared" si="152"/>
        <v>0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1.3596945791505279E-13</v>
      </c>
      <c r="P156" s="13">
        <f t="shared" si="141"/>
        <v>1.9708830566360721E-12</v>
      </c>
      <c r="Q156" s="20">
        <f t="shared" si="162"/>
        <v>3.669434796176543E-12</v>
      </c>
      <c r="R156" s="59">
        <f t="shared" si="109"/>
        <v>293.33333333333701</v>
      </c>
      <c r="S156" s="59">
        <f ca="1">AVERAGE(OFFSET($R$3,0,0,'Données projet'!$E$9+1,1))-AVERAGE(OFFSET($H$3,0,0,'Données projet'!$E$9+1,1))</f>
        <v>212.98969326021802</v>
      </c>
      <c r="T156" s="59">
        <f t="shared" si="142"/>
        <v>422.91218020922895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6.5227468398499795</v>
      </c>
      <c r="AA156" s="21">
        <f>EXP(-LN(2)/25)*AA155+(1-EXP(-LN(2)/25))/(LN(2)/25)*Calculateur!V156*Calculateur!X156*VLOOKUP('Données projet'!$B$9,Paramètres!$A$1:$I$89,3,0)*0.475*44/12</f>
        <v>2.2311300123537543</v>
      </c>
      <c r="AB156" s="21">
        <f>EXP(-LN(2)/2)*AB155+(1-EXP(-LN(2)/2))/(LN(2)/2)*V156*Y156*VLOOKUP('Données projet'!$B$9,Paramètres!$A$1:$I$89,3,0)*0.475*44/12</f>
        <v>1.5735826732677938E-16</v>
      </c>
      <c r="AC156" s="22">
        <f t="shared" si="163"/>
        <v>8.7538768522037333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-7.9580786405131221E-13</v>
      </c>
      <c r="AJ156" s="13">
        <f>AI156*VLOOKUP('Données projet'!$B$10,Paramètres!$A$1:$I$89,3,0)*VLOOKUP('Données projet'!$B$10,Paramètres!$A$1:$I$89,5,0)</f>
        <v>-4.758931027026848E-13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318.09371753144256</v>
      </c>
      <c r="AO156" s="59">
        <f t="shared" si="144"/>
        <v>298.61479562586919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0.30617005806445741</v>
      </c>
      <c r="AV156" s="21">
        <f>EXP(-LN(2)/25)*AV155+(1-EXP(-LN(2)/25))/(LN(2)/25)*Calculateur!AQ156*Calculateur!AS156*VLOOKUP('Données projet'!$B$10,Paramètres!$A$1:$I$89,3,0)*0.475*44/12</f>
        <v>0.68263656827412456</v>
      </c>
      <c r="AW156" s="21">
        <f>EXP(-LN(2)/2)*AW155+(1-EXP(-LN(2)/2))/(LN(2)/2)*AQ156*AT156*VLOOKUP('Données projet'!$B$10,Paramètres!$A$1:$I$89,3,0)*0.475*44/12</f>
        <v>9.2765593765864486E-18</v>
      </c>
      <c r="AX156" s="21">
        <f t="shared" si="166"/>
        <v>0.98880662633858196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4.6111381379887463E-14</v>
      </c>
      <c r="BF156" s="13">
        <f t="shared" si="167"/>
        <v>7.5804141040779151E-13</v>
      </c>
      <c r="BG156" s="20">
        <f t="shared" si="168"/>
        <v>1.4005661123635408E-12</v>
      </c>
      <c r="BH156" s="59">
        <f t="shared" si="116"/>
        <v>293.33333333333474</v>
      </c>
      <c r="BI156" s="59">
        <f ca="1">AVERAGE(OFFSET($BH$3,0,0,'Données projet'!$E$11+1,1))-AVERAGE(OFFSET($H$3,0,0,'Données projet'!$E$11+1,1))</f>
        <v>230.68538392491388</v>
      </c>
      <c r="BJ156" s="59">
        <f t="shared" si="146"/>
        <v>267.97457956620724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0.28098104079308112</v>
      </c>
      <c r="BR156" s="21">
        <f>EXP(-LN(2)/2)*BR155+(1-EXP(-LN(2)/2))/(LN(2)/2)*BL156*BO156*VLOOKUP('Données projet'!$B$11,Paramètres!$A$1:$I$89,3,0)*0.475*44/12</f>
        <v>3.364833667270872E-18</v>
      </c>
      <c r="BS156" s="22">
        <f t="shared" si="169"/>
        <v>0.28098104079308112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2.8421709430404007E-14</v>
      </c>
      <c r="BZ156" s="13">
        <f>BY156*VLOOKUP('Données projet'!$B$12,Paramètres!$A$1:$I$89,3,0)*VLOOKUP('Données projet'!$B$12,Paramètres!$A$1:$I$89,5,0)</f>
        <v>3.2366642699344085E-14</v>
      </c>
      <c r="CA156" s="13">
        <f t="shared" si="170"/>
        <v>5.5446527398450045E-13</v>
      </c>
      <c r="CB156" s="20">
        <f t="shared" si="171"/>
        <v>1.0220655882243624E-12</v>
      </c>
      <c r="CC156" s="59">
        <f t="shared" si="119"/>
        <v>293.33333333333434</v>
      </c>
      <c r="CD156" s="59">
        <f ca="1">AVERAGE(OFFSET($CC$3,0,0,'Données projet'!$E$12+1,1))-AVERAGE(OFFSET($H$3,0,0,'Données projet'!$E$12+1,1))</f>
        <v>242.1473060698724</v>
      </c>
      <c r="CE156" s="59">
        <f t="shared" si="148"/>
        <v>96.127995920458659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0</v>
      </c>
      <c r="CZ156" s="59">
        <f t="shared" si="150"/>
        <v>0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0</v>
      </c>
      <c r="DU156" s="59">
        <f t="shared" si="152"/>
        <v>0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1.3596945791505279E-13</v>
      </c>
      <c r="P157" s="13">
        <f t="shared" si="141"/>
        <v>1.9708830566360721E-12</v>
      </c>
      <c r="Q157" s="20">
        <f t="shared" si="162"/>
        <v>3.669434796176543E-12</v>
      </c>
      <c r="R157" s="59">
        <f t="shared" si="109"/>
        <v>293.33333333333701</v>
      </c>
      <c r="S157" s="59">
        <f ca="1">AVERAGE(OFFSET($R$3,0,0,'Données projet'!$E$9+1,1))-AVERAGE(OFFSET($H$3,0,0,'Données projet'!$E$9+1,1))</f>
        <v>212.98969326021802</v>
      </c>
      <c r="T157" s="59">
        <f t="shared" si="142"/>
        <v>422.91218020922895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6.394839752803251</v>
      </c>
      <c r="AA157" s="21">
        <f>EXP(-LN(2)/25)*AA156+(1-EXP(-LN(2)/25))/(LN(2)/25)*Calculateur!V157*Calculateur!X157*VLOOKUP('Données projet'!$B$9,Paramètres!$A$1:$I$89,3,0)*0.475*44/12</f>
        <v>2.1701196448359128</v>
      </c>
      <c r="AB157" s="21">
        <f>EXP(-LN(2)/2)*AB156+(1-EXP(-LN(2)/2))/(LN(2)/2)*V157*Y157*VLOOKUP('Données projet'!$B$9,Paramètres!$A$1:$I$89,3,0)*0.475*44/12</f>
        <v>1.1126909790253124E-16</v>
      </c>
      <c r="AC157" s="22">
        <f t="shared" si="163"/>
        <v>8.5649593976391643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-7.9580786405131221E-13</v>
      </c>
      <c r="AJ157" s="13">
        <f>AI157*VLOOKUP('Données projet'!$B$10,Paramètres!$A$1:$I$89,3,0)*VLOOKUP('Données projet'!$B$10,Paramètres!$A$1:$I$89,5,0)</f>
        <v>-4.758931027026848E-13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318.09371753144256</v>
      </c>
      <c r="AO157" s="59">
        <f t="shared" si="144"/>
        <v>298.61479562586919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0.30016624997110924</v>
      </c>
      <c r="AV157" s="21">
        <f>EXP(-LN(2)/25)*AV156+(1-EXP(-LN(2)/25))/(LN(2)/25)*Calculateur!AQ157*Calculateur!AS157*VLOOKUP('Données projet'!$B$10,Paramètres!$A$1:$I$89,3,0)*0.475*44/12</f>
        <v>0.66396983541637167</v>
      </c>
      <c r="AW157" s="21">
        <f>EXP(-LN(2)/2)*AW156+(1-EXP(-LN(2)/2))/(LN(2)/2)*AQ157*AT157*VLOOKUP('Données projet'!$B$10,Paramètres!$A$1:$I$89,3,0)*0.475*44/12</f>
        <v>6.5595180412639297E-18</v>
      </c>
      <c r="AX157" s="21">
        <f t="shared" si="166"/>
        <v>0.96413608538748097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4.6111381379887463E-14</v>
      </c>
      <c r="BF157" s="13">
        <f t="shared" si="167"/>
        <v>7.5804141040779151E-13</v>
      </c>
      <c r="BG157" s="20">
        <f t="shared" si="168"/>
        <v>1.4005661123635408E-12</v>
      </c>
      <c r="BH157" s="59">
        <f t="shared" si="116"/>
        <v>293.33333333333474</v>
      </c>
      <c r="BI157" s="59">
        <f ca="1">AVERAGE(OFFSET($BH$3,0,0,'Données projet'!$E$11+1,1))-AVERAGE(OFFSET($H$3,0,0,'Données projet'!$E$11+1,1))</f>
        <v>230.68538392491388</v>
      </c>
      <c r="BJ157" s="59">
        <f t="shared" si="146"/>
        <v>267.97457956620724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0.27329759945644355</v>
      </c>
      <c r="BR157" s="21">
        <f>EXP(-LN(2)/2)*BR156+(1-EXP(-LN(2)/2))/(LN(2)/2)*BL157*BO157*VLOOKUP('Données projet'!$B$11,Paramètres!$A$1:$I$89,3,0)*0.475*44/12</f>
        <v>2.3792967036920327E-18</v>
      </c>
      <c r="BS157" s="22">
        <f t="shared" si="169"/>
        <v>0.27329759945644355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2.8421709430404007E-14</v>
      </c>
      <c r="BZ157" s="13">
        <f>BY157*VLOOKUP('Données projet'!$B$12,Paramètres!$A$1:$I$89,3,0)*VLOOKUP('Données projet'!$B$12,Paramètres!$A$1:$I$89,5,0)</f>
        <v>3.2366642699344085E-14</v>
      </c>
      <c r="CA157" s="13">
        <f t="shared" si="170"/>
        <v>5.5446527398450045E-13</v>
      </c>
      <c r="CB157" s="20">
        <f t="shared" si="171"/>
        <v>1.0220655882243624E-12</v>
      </c>
      <c r="CC157" s="59">
        <f t="shared" si="119"/>
        <v>293.33333333333434</v>
      </c>
      <c r="CD157" s="59">
        <f ca="1">AVERAGE(OFFSET($CC$3,0,0,'Données projet'!$E$12+1,1))-AVERAGE(OFFSET($H$3,0,0,'Données projet'!$E$12+1,1))</f>
        <v>242.1473060698724</v>
      </c>
      <c r="CE157" s="59">
        <f t="shared" si="148"/>
        <v>96.127995920458659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0</v>
      </c>
      <c r="CZ157" s="59">
        <f t="shared" si="150"/>
        <v>0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0</v>
      </c>
      <c r="DU157" s="59">
        <f t="shared" si="152"/>
        <v>0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1.3596945791505279E-13</v>
      </c>
      <c r="P158" s="13">
        <f t="shared" si="141"/>
        <v>1.9708830566360721E-12</v>
      </c>
      <c r="Q158" s="20">
        <f t="shared" si="162"/>
        <v>3.669434796176543E-12</v>
      </c>
      <c r="R158" s="59">
        <f t="shared" si="109"/>
        <v>293.33333333333701</v>
      </c>
      <c r="S158" s="59">
        <f ca="1">AVERAGE(OFFSET($R$3,0,0,'Données projet'!$E$9+1,1))-AVERAGE(OFFSET($H$3,0,0,'Données projet'!$E$9+1,1))</f>
        <v>212.98969326021802</v>
      </c>
      <c r="T158" s="59">
        <f t="shared" si="142"/>
        <v>422.91218020922895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6.269440845717889</v>
      </c>
      <c r="AA158" s="21">
        <f>EXP(-LN(2)/25)*AA157+(1-EXP(-LN(2)/25))/(LN(2)/25)*Calculateur!V158*Calculateur!X158*VLOOKUP('Données projet'!$B$9,Paramètres!$A$1:$I$89,3,0)*0.475*44/12</f>
        <v>2.1107776090262425</v>
      </c>
      <c r="AB158" s="21">
        <f>EXP(-LN(2)/2)*AB157+(1-EXP(-LN(2)/2))/(LN(2)/2)*V158*Y158*VLOOKUP('Données projet'!$B$9,Paramètres!$A$1:$I$89,3,0)*0.475*44/12</f>
        <v>7.8679133663389691E-17</v>
      </c>
      <c r="AC158" s="22">
        <f t="shared" si="163"/>
        <v>8.3802184547441314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-7.9580786405131221E-13</v>
      </c>
      <c r="AJ158" s="13">
        <f>AI158*VLOOKUP('Données projet'!$B$10,Paramètres!$A$1:$I$89,3,0)*VLOOKUP('Données projet'!$B$10,Paramètres!$A$1:$I$89,5,0)</f>
        <v>-4.758931027026848E-13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318.09371753144256</v>
      </c>
      <c r="AO158" s="59">
        <f t="shared" si="144"/>
        <v>298.61479562586919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0.29428017289251029</v>
      </c>
      <c r="AV158" s="21">
        <f>EXP(-LN(2)/25)*AV157+(1-EXP(-LN(2)/25))/(LN(2)/25)*Calculateur!AQ158*Calculateur!AS158*VLOOKUP('Données projet'!$B$10,Paramètres!$A$1:$I$89,3,0)*0.475*44/12</f>
        <v>0.64581354535025481</v>
      </c>
      <c r="AW158" s="21">
        <f>EXP(-LN(2)/2)*AW157+(1-EXP(-LN(2)/2))/(LN(2)/2)*AQ158*AT158*VLOOKUP('Données projet'!$B$10,Paramètres!$A$1:$I$89,3,0)*0.475*44/12</f>
        <v>4.6382796882932243E-18</v>
      </c>
      <c r="AX158" s="21">
        <f t="shared" si="166"/>
        <v>0.94009371824276511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4.6111381379887463E-14</v>
      </c>
      <c r="BF158" s="13">
        <f t="shared" si="167"/>
        <v>7.5804141040779151E-13</v>
      </c>
      <c r="BG158" s="20">
        <f t="shared" si="168"/>
        <v>1.4005661123635408E-12</v>
      </c>
      <c r="BH158" s="59">
        <f t="shared" si="116"/>
        <v>293.33333333333474</v>
      </c>
      <c r="BI158" s="59">
        <f ca="1">AVERAGE(OFFSET($BH$3,0,0,'Données projet'!$E$11+1,1))-AVERAGE(OFFSET($H$3,0,0,'Données projet'!$E$11+1,1))</f>
        <v>230.68538392491388</v>
      </c>
      <c r="BJ158" s="59">
        <f t="shared" si="146"/>
        <v>267.97457956620724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0.26582426222721095</v>
      </c>
      <c r="BR158" s="21">
        <f>EXP(-LN(2)/2)*BR157+(1-EXP(-LN(2)/2))/(LN(2)/2)*BL158*BO158*VLOOKUP('Données projet'!$B$11,Paramètres!$A$1:$I$89,3,0)*0.475*44/12</f>
        <v>1.682416833635436E-18</v>
      </c>
      <c r="BS158" s="22">
        <f t="shared" si="169"/>
        <v>0.26582426222721095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2.8421709430404007E-14</v>
      </c>
      <c r="BZ158" s="13">
        <f>BY158*VLOOKUP('Données projet'!$B$12,Paramètres!$A$1:$I$89,3,0)*VLOOKUP('Données projet'!$B$12,Paramètres!$A$1:$I$89,5,0)</f>
        <v>3.2366642699344085E-14</v>
      </c>
      <c r="CA158" s="13">
        <f t="shared" si="170"/>
        <v>5.5446527398450045E-13</v>
      </c>
      <c r="CB158" s="20">
        <f t="shared" si="171"/>
        <v>1.0220655882243624E-12</v>
      </c>
      <c r="CC158" s="59">
        <f t="shared" si="119"/>
        <v>293.33333333333434</v>
      </c>
      <c r="CD158" s="59">
        <f ca="1">AVERAGE(OFFSET($CC$3,0,0,'Données projet'!$E$12+1,1))-AVERAGE(OFFSET($H$3,0,0,'Données projet'!$E$12+1,1))</f>
        <v>242.1473060698724</v>
      </c>
      <c r="CE158" s="59">
        <f t="shared" si="148"/>
        <v>96.127995920458659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0</v>
      </c>
      <c r="CZ158" s="59">
        <f t="shared" si="150"/>
        <v>0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0</v>
      </c>
      <c r="DU158" s="59">
        <f t="shared" si="152"/>
        <v>0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1.3596945791505279E-13</v>
      </c>
      <c r="P159" s="13">
        <f t="shared" si="141"/>
        <v>1.9708830566360721E-12</v>
      </c>
      <c r="Q159" s="20">
        <f t="shared" si="162"/>
        <v>3.669434796176543E-12</v>
      </c>
      <c r="R159" s="59">
        <f t="shared" si="109"/>
        <v>293.33333333333701</v>
      </c>
      <c r="S159" s="59">
        <f ca="1">AVERAGE(OFFSET($R$3,0,0,'Données projet'!$E$9+1,1))-AVERAGE(OFFSET($H$3,0,0,'Données projet'!$E$9+1,1))</f>
        <v>212.98969326021802</v>
      </c>
      <c r="T159" s="59">
        <f t="shared" si="142"/>
        <v>422.91218020922895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6.1465009347146902</v>
      </c>
      <c r="AA159" s="21">
        <f>EXP(-LN(2)/25)*AA158+(1-EXP(-LN(2)/25))/(LN(2)/25)*Calculateur!V159*Calculateur!X159*VLOOKUP('Données projet'!$B$9,Paramètres!$A$1:$I$89,3,0)*0.475*44/12</f>
        <v>2.0530582843064495</v>
      </c>
      <c r="AB159" s="21">
        <f>EXP(-LN(2)/2)*AB158+(1-EXP(-LN(2)/2))/(LN(2)/2)*V159*Y159*VLOOKUP('Données projet'!$B$9,Paramètres!$A$1:$I$89,3,0)*0.475*44/12</f>
        <v>5.5634548951265619E-17</v>
      </c>
      <c r="AC159" s="22">
        <f t="shared" si="163"/>
        <v>8.1995592190211397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-7.9580786405131221E-13</v>
      </c>
      <c r="AJ159" s="13">
        <f>AI159*VLOOKUP('Données projet'!$B$10,Paramètres!$A$1:$I$89,3,0)*VLOOKUP('Données projet'!$B$10,Paramètres!$A$1:$I$89,5,0)</f>
        <v>-4.758931027026848E-13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318.09371753144256</v>
      </c>
      <c r="AO159" s="59">
        <f t="shared" si="144"/>
        <v>298.61479562586919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0.28850951819527015</v>
      </c>
      <c r="AV159" s="21">
        <f>EXP(-LN(2)/25)*AV158+(1-EXP(-LN(2)/25))/(LN(2)/25)*Calculateur!AQ159*Calculateur!AS159*VLOOKUP('Données projet'!$B$10,Paramètres!$A$1:$I$89,3,0)*0.475*44/12</f>
        <v>0.62815373999079382</v>
      </c>
      <c r="AW159" s="21">
        <f>EXP(-LN(2)/2)*AW158+(1-EXP(-LN(2)/2))/(LN(2)/2)*AQ159*AT159*VLOOKUP('Données projet'!$B$10,Paramètres!$A$1:$I$89,3,0)*0.475*44/12</f>
        <v>3.2797590206319648E-18</v>
      </c>
      <c r="AX159" s="21">
        <f t="shared" si="166"/>
        <v>0.91666325818606398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4.6111381379887463E-14</v>
      </c>
      <c r="BF159" s="13">
        <f t="shared" si="167"/>
        <v>7.5804141040779151E-13</v>
      </c>
      <c r="BG159" s="20">
        <f t="shared" si="168"/>
        <v>1.4005661123635408E-12</v>
      </c>
      <c r="BH159" s="59">
        <f t="shared" si="116"/>
        <v>293.33333333333474</v>
      </c>
      <c r="BI159" s="59">
        <f ca="1">AVERAGE(OFFSET($BH$3,0,0,'Données projet'!$E$11+1,1))-AVERAGE(OFFSET($H$3,0,0,'Données projet'!$E$11+1,1))</f>
        <v>230.68538392491388</v>
      </c>
      <c r="BJ159" s="59">
        <f t="shared" si="146"/>
        <v>267.97457956620724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0.25855528379751747</v>
      </c>
      <c r="BR159" s="21">
        <f>EXP(-LN(2)/2)*BR158+(1-EXP(-LN(2)/2))/(LN(2)/2)*BL159*BO159*VLOOKUP('Données projet'!$B$11,Paramètres!$A$1:$I$89,3,0)*0.475*44/12</f>
        <v>1.1896483518460163E-18</v>
      </c>
      <c r="BS159" s="22">
        <f t="shared" si="169"/>
        <v>0.25855528379751747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2.8421709430404007E-14</v>
      </c>
      <c r="BZ159" s="13">
        <f>BY159*VLOOKUP('Données projet'!$B$12,Paramètres!$A$1:$I$89,3,0)*VLOOKUP('Données projet'!$B$12,Paramètres!$A$1:$I$89,5,0)</f>
        <v>3.2366642699344085E-14</v>
      </c>
      <c r="CA159" s="13">
        <f t="shared" si="170"/>
        <v>5.5446527398450045E-13</v>
      </c>
      <c r="CB159" s="20">
        <f t="shared" si="171"/>
        <v>1.0220655882243624E-12</v>
      </c>
      <c r="CC159" s="59">
        <f t="shared" si="119"/>
        <v>293.33333333333434</v>
      </c>
      <c r="CD159" s="59">
        <f ca="1">AVERAGE(OFFSET($CC$3,0,0,'Données projet'!$E$12+1,1))-AVERAGE(OFFSET($H$3,0,0,'Données projet'!$E$12+1,1))</f>
        <v>242.1473060698724</v>
      </c>
      <c r="CE159" s="59">
        <f t="shared" si="148"/>
        <v>96.127995920458659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0</v>
      </c>
      <c r="CZ159" s="59">
        <f t="shared" si="150"/>
        <v>0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0</v>
      </c>
      <c r="DU159" s="59">
        <f t="shared" si="152"/>
        <v>0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1.3596945791505279E-13</v>
      </c>
      <c r="P160" s="13">
        <f t="shared" si="141"/>
        <v>1.9708830566360721E-12</v>
      </c>
      <c r="Q160" s="20">
        <f t="shared" si="162"/>
        <v>3.669434796176543E-12</v>
      </c>
      <c r="R160" s="59">
        <f t="shared" si="109"/>
        <v>293.33333333333701</v>
      </c>
      <c r="S160" s="59">
        <f ca="1">AVERAGE(OFFSET($R$3,0,0,'Données projet'!$E$9+1,1))-AVERAGE(OFFSET($H$3,0,0,'Données projet'!$E$9+1,1))</f>
        <v>212.98969326021802</v>
      </c>
      <c r="T160" s="59">
        <f t="shared" si="142"/>
        <v>422.91218020922895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6.0259718003803231</v>
      </c>
      <c r="AA160" s="21">
        <f>EXP(-LN(2)/25)*AA159+(1-EXP(-LN(2)/25))/(LN(2)/25)*Calculateur!V160*Calculateur!X160*VLOOKUP('Données projet'!$B$9,Paramètres!$A$1:$I$89,3,0)*0.475*44/12</f>
        <v>1.9969172975564469</v>
      </c>
      <c r="AB160" s="21">
        <f>EXP(-LN(2)/2)*AB159+(1-EXP(-LN(2)/2))/(LN(2)/2)*V160*Y160*VLOOKUP('Données projet'!$B$9,Paramètres!$A$1:$I$89,3,0)*0.475*44/12</f>
        <v>3.9339566831694845E-17</v>
      </c>
      <c r="AC160" s="22">
        <f t="shared" si="163"/>
        <v>8.0228890979367691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-7.9580786405131221E-13</v>
      </c>
      <c r="AJ160" s="13">
        <f>AI160*VLOOKUP('Données projet'!$B$10,Paramètres!$A$1:$I$89,3,0)*VLOOKUP('Données projet'!$B$10,Paramètres!$A$1:$I$89,5,0)</f>
        <v>-4.758931027026848E-13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318.09371753144256</v>
      </c>
      <c r="AO160" s="59">
        <f t="shared" si="144"/>
        <v>298.61479562586919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0.28285202251689107</v>
      </c>
      <c r="AV160" s="21">
        <f>EXP(-LN(2)/25)*AV159+(1-EXP(-LN(2)/25))/(LN(2)/25)*Calculateur!AQ160*Calculateur!AS160*VLOOKUP('Données projet'!$B$10,Paramètres!$A$1:$I$89,3,0)*0.475*44/12</f>
        <v>0.61097684293757604</v>
      </c>
      <c r="AW160" s="21">
        <f>EXP(-LN(2)/2)*AW159+(1-EXP(-LN(2)/2))/(LN(2)/2)*AQ160*AT160*VLOOKUP('Données projet'!$B$10,Paramètres!$A$1:$I$89,3,0)*0.475*44/12</f>
        <v>2.3191398441466121E-18</v>
      </c>
      <c r="AX160" s="21">
        <f t="shared" si="166"/>
        <v>0.89382886545446705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4.6111381379887463E-14</v>
      </c>
      <c r="BF160" s="13">
        <f t="shared" si="167"/>
        <v>7.5804141040779151E-13</v>
      </c>
      <c r="BG160" s="20">
        <f t="shared" si="168"/>
        <v>1.4005661123635408E-12</v>
      </c>
      <c r="BH160" s="59">
        <f t="shared" si="116"/>
        <v>293.33333333333474</v>
      </c>
      <c r="BI160" s="59">
        <f ca="1">AVERAGE(OFFSET($BH$3,0,0,'Données projet'!$E$11+1,1))-AVERAGE(OFFSET($H$3,0,0,'Données projet'!$E$11+1,1))</f>
        <v>230.68538392491388</v>
      </c>
      <c r="BJ160" s="59">
        <f t="shared" si="146"/>
        <v>267.97457956620724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0.25148507596524289</v>
      </c>
      <c r="BR160" s="21">
        <f>EXP(-LN(2)/2)*BR159+(1-EXP(-LN(2)/2))/(LN(2)/2)*BL160*BO160*VLOOKUP('Données projet'!$B$11,Paramètres!$A$1:$I$89,3,0)*0.475*44/12</f>
        <v>8.4120841681771799E-19</v>
      </c>
      <c r="BS160" s="22">
        <f t="shared" si="169"/>
        <v>0.25148507596524289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2.8421709430404007E-14</v>
      </c>
      <c r="BZ160" s="13">
        <f>BY160*VLOOKUP('Données projet'!$B$12,Paramètres!$A$1:$I$89,3,0)*VLOOKUP('Données projet'!$B$12,Paramètres!$A$1:$I$89,5,0)</f>
        <v>3.2366642699344085E-14</v>
      </c>
      <c r="CA160" s="13">
        <f t="shared" si="170"/>
        <v>5.5446527398450045E-13</v>
      </c>
      <c r="CB160" s="20">
        <f t="shared" si="171"/>
        <v>1.0220655882243624E-12</v>
      </c>
      <c r="CC160" s="59">
        <f t="shared" si="119"/>
        <v>293.33333333333434</v>
      </c>
      <c r="CD160" s="59">
        <f ca="1">AVERAGE(OFFSET($CC$3,0,0,'Données projet'!$E$12+1,1))-AVERAGE(OFFSET($H$3,0,0,'Données projet'!$E$12+1,1))</f>
        <v>242.1473060698724</v>
      </c>
      <c r="CE160" s="59">
        <f t="shared" si="148"/>
        <v>96.127995920458659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0</v>
      </c>
      <c r="CZ160" s="59">
        <f t="shared" si="150"/>
        <v>0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0</v>
      </c>
      <c r="DU160" s="59">
        <f t="shared" si="152"/>
        <v>0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1.3596945791505279E-13</v>
      </c>
      <c r="P161" s="13">
        <f t="shared" si="141"/>
        <v>1.9708830566360721E-12</v>
      </c>
      <c r="Q161" s="20">
        <f t="shared" si="162"/>
        <v>3.669434796176543E-12</v>
      </c>
      <c r="R161" s="59">
        <f t="shared" si="109"/>
        <v>293.33333333333701</v>
      </c>
      <c r="S161" s="59">
        <f ca="1">AVERAGE(OFFSET($R$3,0,0,'Données projet'!$E$9+1,1))-AVERAGE(OFFSET($H$3,0,0,'Données projet'!$E$9+1,1))</f>
        <v>212.98969326021802</v>
      </c>
      <c r="T161" s="59">
        <f t="shared" si="142"/>
        <v>422.91218020922895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5.9078061688547399</v>
      </c>
      <c r="AA161" s="21">
        <f>EXP(-LN(2)/25)*AA160+(1-EXP(-LN(2)/25))/(LN(2)/25)*Calculateur!V161*Calculateur!X161*VLOOKUP('Données projet'!$B$9,Paramètres!$A$1:$I$89,3,0)*0.475*44/12</f>
        <v>1.9423114890414492</v>
      </c>
      <c r="AB161" s="21">
        <f>EXP(-LN(2)/2)*AB160+(1-EXP(-LN(2)/2))/(LN(2)/2)*V161*Y161*VLOOKUP('Données projet'!$B$9,Paramètres!$A$1:$I$89,3,0)*0.475*44/12</f>
        <v>2.7817274475632809E-17</v>
      </c>
      <c r="AC161" s="22">
        <f t="shared" si="163"/>
        <v>7.8501176578961891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-7.9580786405131221E-13</v>
      </c>
      <c r="AJ161" s="13">
        <f>AI161*VLOOKUP('Données projet'!$B$10,Paramètres!$A$1:$I$89,3,0)*VLOOKUP('Données projet'!$B$10,Paramètres!$A$1:$I$89,5,0)</f>
        <v>-4.758931027026848E-13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318.09371753144256</v>
      </c>
      <c r="AO161" s="59">
        <f t="shared" si="144"/>
        <v>298.61479562586919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0.27730546687803337</v>
      </c>
      <c r="AV161" s="21">
        <f>EXP(-LN(2)/25)*AV160+(1-EXP(-LN(2)/25))/(LN(2)/25)*Calculateur!AQ161*Calculateur!AS161*VLOOKUP('Données projet'!$B$10,Paramètres!$A$1:$I$89,3,0)*0.475*44/12</f>
        <v>0.59426964903757229</v>
      </c>
      <c r="AW161" s="21">
        <f>EXP(-LN(2)/2)*AW160+(1-EXP(-LN(2)/2))/(LN(2)/2)*AQ161*AT161*VLOOKUP('Données projet'!$B$10,Paramètres!$A$1:$I$89,3,0)*0.475*44/12</f>
        <v>1.6398795103159824E-18</v>
      </c>
      <c r="AX161" s="21">
        <f t="shared" si="166"/>
        <v>0.87157511591560566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4.6111381379887463E-14</v>
      </c>
      <c r="BF161" s="13">
        <f t="shared" si="167"/>
        <v>7.5804141040779151E-13</v>
      </c>
      <c r="BG161" s="20">
        <f t="shared" si="168"/>
        <v>1.4005661123635408E-12</v>
      </c>
      <c r="BH161" s="59">
        <f t="shared" si="116"/>
        <v>293.33333333333474</v>
      </c>
      <c r="BI161" s="59">
        <f ca="1">AVERAGE(OFFSET($BH$3,0,0,'Données projet'!$E$11+1,1))-AVERAGE(OFFSET($H$3,0,0,'Données projet'!$E$11+1,1))</f>
        <v>230.68538392491388</v>
      </c>
      <c r="BJ161" s="59">
        <f t="shared" si="146"/>
        <v>267.97457956620724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0.24460820333794794</v>
      </c>
      <c r="BR161" s="21">
        <f>EXP(-LN(2)/2)*BR160+(1-EXP(-LN(2)/2))/(LN(2)/2)*BL161*BO161*VLOOKUP('Données projet'!$B$11,Paramètres!$A$1:$I$89,3,0)*0.475*44/12</f>
        <v>5.9482417592300817E-19</v>
      </c>
      <c r="BS161" s="22">
        <f t="shared" si="169"/>
        <v>0.24460820333794794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2.8421709430404007E-14</v>
      </c>
      <c r="BZ161" s="13">
        <f>BY161*VLOOKUP('Données projet'!$B$12,Paramètres!$A$1:$I$89,3,0)*VLOOKUP('Données projet'!$B$12,Paramètres!$A$1:$I$89,5,0)</f>
        <v>3.2366642699344085E-14</v>
      </c>
      <c r="CA161" s="13">
        <f t="shared" si="170"/>
        <v>5.5446527398450045E-13</v>
      </c>
      <c r="CB161" s="20">
        <f t="shared" si="171"/>
        <v>1.0220655882243624E-12</v>
      </c>
      <c r="CC161" s="59">
        <f t="shared" si="119"/>
        <v>293.33333333333434</v>
      </c>
      <c r="CD161" s="59">
        <f ca="1">AVERAGE(OFFSET($CC$3,0,0,'Données projet'!$E$12+1,1))-AVERAGE(OFFSET($H$3,0,0,'Données projet'!$E$12+1,1))</f>
        <v>242.1473060698724</v>
      </c>
      <c r="CE161" s="59">
        <f t="shared" si="148"/>
        <v>96.127995920458659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0</v>
      </c>
      <c r="CZ161" s="59">
        <f t="shared" si="150"/>
        <v>0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0</v>
      </c>
      <c r="DU161" s="59">
        <f t="shared" si="152"/>
        <v>0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1.3596945791505279E-13</v>
      </c>
      <c r="P162" s="13">
        <f t="shared" si="141"/>
        <v>1.9708830566360721E-12</v>
      </c>
      <c r="Q162" s="20">
        <f t="shared" si="162"/>
        <v>3.669434796176543E-12</v>
      </c>
      <c r="R162" s="59">
        <f t="shared" si="109"/>
        <v>293.33333333333701</v>
      </c>
      <c r="S162" s="59">
        <f ca="1">AVERAGE(OFFSET($R$3,0,0,'Données projet'!$E$9+1,1))-AVERAGE(OFFSET($H$3,0,0,'Données projet'!$E$9+1,1))</f>
        <v>212.98969326021802</v>
      </c>
      <c r="T162" s="59">
        <f t="shared" si="142"/>
        <v>422.91218020922895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5.7919576932894543</v>
      </c>
      <c r="AA162" s="21">
        <f>EXP(-LN(2)/25)*AA161+(1-EXP(-LN(2)/25))/(LN(2)/25)*Calculateur!V162*Calculateur!X162*VLOOKUP('Données projet'!$B$9,Paramètres!$A$1:$I$89,3,0)*0.475*44/12</f>
        <v>1.8891988792318888</v>
      </c>
      <c r="AB162" s="21">
        <f>EXP(-LN(2)/2)*AB161+(1-EXP(-LN(2)/2))/(LN(2)/2)*V162*Y162*VLOOKUP('Données projet'!$B$9,Paramètres!$A$1:$I$89,3,0)*0.475*44/12</f>
        <v>1.9669783415847423E-17</v>
      </c>
      <c r="AC162" s="22">
        <f t="shared" si="163"/>
        <v>7.6811565725213429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-7.9580786405131221E-13</v>
      </c>
      <c r="AJ162" s="13">
        <f>AI162*VLOOKUP('Données projet'!$B$10,Paramètres!$A$1:$I$89,3,0)*VLOOKUP('Données projet'!$B$10,Paramètres!$A$1:$I$89,5,0)</f>
        <v>-4.758931027026848E-13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318.09371753144256</v>
      </c>
      <c r="AO162" s="59">
        <f t="shared" si="144"/>
        <v>298.61479562586919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0.27186767581218879</v>
      </c>
      <c r="AV162" s="21">
        <f>EXP(-LN(2)/25)*AV161+(1-EXP(-LN(2)/25))/(LN(2)/25)*Calculateur!AQ162*Calculateur!AS162*VLOOKUP('Données projet'!$B$10,Paramètres!$A$1:$I$89,3,0)*0.475*44/12</f>
        <v>0.57801931423335728</v>
      </c>
      <c r="AW162" s="21">
        <f>EXP(-LN(2)/2)*AW161+(1-EXP(-LN(2)/2))/(LN(2)/2)*AQ162*AT162*VLOOKUP('Données projet'!$B$10,Paramètres!$A$1:$I$89,3,0)*0.475*44/12</f>
        <v>1.1595699220733061E-18</v>
      </c>
      <c r="AX162" s="21">
        <f t="shared" si="166"/>
        <v>0.84988699004554613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4.6111381379887463E-14</v>
      </c>
      <c r="BF162" s="13">
        <f t="shared" si="167"/>
        <v>7.5804141040779151E-13</v>
      </c>
      <c r="BG162" s="20">
        <f t="shared" si="168"/>
        <v>1.4005661123635408E-12</v>
      </c>
      <c r="BH162" s="59">
        <f t="shared" si="116"/>
        <v>293.33333333333474</v>
      </c>
      <c r="BI162" s="59">
        <f ca="1">AVERAGE(OFFSET($BH$3,0,0,'Données projet'!$E$11+1,1))-AVERAGE(OFFSET($H$3,0,0,'Données projet'!$E$11+1,1))</f>
        <v>230.68538392491388</v>
      </c>
      <c r="BJ162" s="59">
        <f t="shared" si="146"/>
        <v>267.97457956620724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0.2379193791542854</v>
      </c>
      <c r="BR162" s="21">
        <f>EXP(-LN(2)/2)*BR161+(1-EXP(-LN(2)/2))/(LN(2)/2)*BL162*BO162*VLOOKUP('Données projet'!$B$11,Paramètres!$A$1:$I$89,3,0)*0.475*44/12</f>
        <v>4.20604208408859E-19</v>
      </c>
      <c r="BS162" s="22">
        <f t="shared" si="169"/>
        <v>0.2379193791542854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2.8421709430404007E-14</v>
      </c>
      <c r="BZ162" s="13">
        <f>BY162*VLOOKUP('Données projet'!$B$12,Paramètres!$A$1:$I$89,3,0)*VLOOKUP('Données projet'!$B$12,Paramètres!$A$1:$I$89,5,0)</f>
        <v>3.2366642699344085E-14</v>
      </c>
      <c r="CA162" s="13">
        <f t="shared" si="170"/>
        <v>5.5446527398450045E-13</v>
      </c>
      <c r="CB162" s="20">
        <f t="shared" si="171"/>
        <v>1.0220655882243624E-12</v>
      </c>
      <c r="CC162" s="59">
        <f t="shared" si="119"/>
        <v>293.33333333333434</v>
      </c>
      <c r="CD162" s="59">
        <f ca="1">AVERAGE(OFFSET($CC$3,0,0,'Données projet'!$E$12+1,1))-AVERAGE(OFFSET($H$3,0,0,'Données projet'!$E$12+1,1))</f>
        <v>242.1473060698724</v>
      </c>
      <c r="CE162" s="59">
        <f t="shared" si="148"/>
        <v>96.127995920458659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0</v>
      </c>
      <c r="CZ162" s="59">
        <f t="shared" si="150"/>
        <v>0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0</v>
      </c>
      <c r="DU162" s="59">
        <f t="shared" si="152"/>
        <v>0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1.3596945791505279E-13</v>
      </c>
      <c r="P163" s="13">
        <f t="shared" si="141"/>
        <v>1.9708830566360721E-12</v>
      </c>
      <c r="Q163" s="20">
        <f t="shared" si="162"/>
        <v>3.669434796176543E-12</v>
      </c>
      <c r="R163" s="59">
        <f t="shared" si="109"/>
        <v>293.33333333333701</v>
      </c>
      <c r="S163" s="59">
        <f ca="1">AVERAGE(OFFSET($R$3,0,0,'Données projet'!$E$9+1,1))-AVERAGE(OFFSET($H$3,0,0,'Données projet'!$E$9+1,1))</f>
        <v>212.98969326021802</v>
      </c>
      <c r="T163" s="59">
        <f t="shared" si="142"/>
        <v>422.91218020922895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5.678380935669411</v>
      </c>
      <c r="AA163" s="21">
        <f>EXP(-LN(2)/25)*AA162+(1-EXP(-LN(2)/25))/(LN(2)/25)*Calculateur!V163*Calculateur!X163*VLOOKUP('Données projet'!$B$9,Paramètres!$A$1:$I$89,3,0)*0.475*44/12</f>
        <v>1.8375386365306416</v>
      </c>
      <c r="AB163" s="21">
        <f>EXP(-LN(2)/2)*AB162+(1-EXP(-LN(2)/2))/(LN(2)/2)*V163*Y163*VLOOKUP('Données projet'!$B$9,Paramètres!$A$1:$I$89,3,0)*0.475*44/12</f>
        <v>1.3908637237816405E-17</v>
      </c>
      <c r="AC163" s="22">
        <f t="shared" si="163"/>
        <v>7.5159195722000529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-7.9580786405131221E-13</v>
      </c>
      <c r="AJ163" s="13">
        <f>AI163*VLOOKUP('Données projet'!$B$10,Paramètres!$A$1:$I$89,3,0)*VLOOKUP('Données projet'!$B$10,Paramètres!$A$1:$I$89,5,0)</f>
        <v>-4.758931027026848E-13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318.09371753144256</v>
      </c>
      <c r="AO163" s="59">
        <f t="shared" si="144"/>
        <v>298.61479562586919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0.26653651651242039</v>
      </c>
      <c r="AV163" s="21">
        <f>EXP(-LN(2)/25)*AV162+(1-EXP(-LN(2)/25))/(LN(2)/25)*Calculateur!AQ163*Calculateur!AS163*VLOOKUP('Données projet'!$B$10,Paramètres!$A$1:$I$89,3,0)*0.475*44/12</f>
        <v>0.56221334568893144</v>
      </c>
      <c r="AW163" s="21">
        <f>EXP(-LN(2)/2)*AW162+(1-EXP(-LN(2)/2))/(LN(2)/2)*AQ163*AT163*VLOOKUP('Données projet'!$B$10,Paramètres!$A$1:$I$89,3,0)*0.475*44/12</f>
        <v>8.1993975515799121E-19</v>
      </c>
      <c r="AX163" s="21">
        <f t="shared" si="166"/>
        <v>0.82874986220135183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4.6111381379887463E-14</v>
      </c>
      <c r="BF163" s="13">
        <f t="shared" si="167"/>
        <v>7.5804141040779151E-13</v>
      </c>
      <c r="BG163" s="20">
        <f t="shared" si="168"/>
        <v>1.4005661123635408E-12</v>
      </c>
      <c r="BH163" s="59">
        <f t="shared" si="116"/>
        <v>293.33333333333474</v>
      </c>
      <c r="BI163" s="59">
        <f ca="1">AVERAGE(OFFSET($BH$3,0,0,'Données projet'!$E$11+1,1))-AVERAGE(OFFSET($H$3,0,0,'Données projet'!$E$11+1,1))</f>
        <v>230.68538392491388</v>
      </c>
      <c r="BJ163" s="59">
        <f t="shared" si="146"/>
        <v>267.97457956620724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0.2314134612196751</v>
      </c>
      <c r="BR163" s="21">
        <f>EXP(-LN(2)/2)*BR162+(1-EXP(-LN(2)/2))/(LN(2)/2)*BL163*BO163*VLOOKUP('Données projet'!$B$11,Paramètres!$A$1:$I$89,3,0)*0.475*44/12</f>
        <v>2.9741208796150409E-19</v>
      </c>
      <c r="BS163" s="22">
        <f t="shared" si="169"/>
        <v>0.2314134612196751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2.8421709430404007E-14</v>
      </c>
      <c r="BZ163" s="13">
        <f>BY163*VLOOKUP('Données projet'!$B$12,Paramètres!$A$1:$I$89,3,0)*VLOOKUP('Données projet'!$B$12,Paramètres!$A$1:$I$89,5,0)</f>
        <v>3.2366642699344085E-14</v>
      </c>
      <c r="CA163" s="13">
        <f t="shared" si="170"/>
        <v>5.5446527398450045E-13</v>
      </c>
      <c r="CB163" s="20">
        <f t="shared" si="171"/>
        <v>1.0220655882243624E-12</v>
      </c>
      <c r="CC163" s="59">
        <f t="shared" si="119"/>
        <v>293.33333333333434</v>
      </c>
      <c r="CD163" s="59">
        <f ca="1">AVERAGE(OFFSET($CC$3,0,0,'Données projet'!$E$12+1,1))-AVERAGE(OFFSET($H$3,0,0,'Données projet'!$E$12+1,1))</f>
        <v>242.1473060698724</v>
      </c>
      <c r="CE163" s="59">
        <f t="shared" si="148"/>
        <v>96.127995920458659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0</v>
      </c>
      <c r="CZ163" s="59">
        <f t="shared" si="150"/>
        <v>0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0</v>
      </c>
      <c r="DU163" s="59">
        <f t="shared" si="152"/>
        <v>0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1.3596945791505279E-13</v>
      </c>
      <c r="P164" s="13">
        <f t="shared" si="141"/>
        <v>1.9708830566360721E-12</v>
      </c>
      <c r="Q164" s="20">
        <f t="shared" si="162"/>
        <v>3.669434796176543E-12</v>
      </c>
      <c r="R164" s="59">
        <f t="shared" si="109"/>
        <v>293.33333333333701</v>
      </c>
      <c r="S164" s="59">
        <f ca="1">AVERAGE(OFFSET($R$3,0,0,'Données projet'!$E$9+1,1))-AVERAGE(OFFSET($H$3,0,0,'Données projet'!$E$9+1,1))</f>
        <v>212.98969326021802</v>
      </c>
      <c r="T164" s="59">
        <f t="shared" si="142"/>
        <v>422.91218020922895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5.567031348991315</v>
      </c>
      <c r="AA164" s="21">
        <f>EXP(-LN(2)/25)*AA163+(1-EXP(-LN(2)/25))/(LN(2)/25)*Calculateur!V164*Calculateur!X164*VLOOKUP('Données projet'!$B$9,Paramètres!$A$1:$I$89,3,0)*0.475*44/12</f>
        <v>1.787291045882754</v>
      </c>
      <c r="AB164" s="21">
        <f>EXP(-LN(2)/2)*AB163+(1-EXP(-LN(2)/2))/(LN(2)/2)*V164*Y164*VLOOKUP('Données projet'!$B$9,Paramètres!$A$1:$I$89,3,0)*0.475*44/12</f>
        <v>9.8348917079237114E-18</v>
      </c>
      <c r="AC164" s="22">
        <f t="shared" si="163"/>
        <v>7.3543223948740692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-7.9580786405131221E-13</v>
      </c>
      <c r="AJ164" s="13">
        <f>AI164*VLOOKUP('Données projet'!$B$10,Paramètres!$A$1:$I$89,3,0)*VLOOKUP('Données projet'!$B$10,Paramètres!$A$1:$I$89,5,0)</f>
        <v>-4.758931027026848E-13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318.09371753144256</v>
      </c>
      <c r="AO164" s="59">
        <f t="shared" si="144"/>
        <v>298.61479562586919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0.26130989799483434</v>
      </c>
      <c r="AV164" s="21">
        <f>EXP(-LN(2)/25)*AV163+(1-EXP(-LN(2)/25))/(LN(2)/25)*Calculateur!AQ164*Calculateur!AS164*VLOOKUP('Données projet'!$B$10,Paramètres!$A$1:$I$89,3,0)*0.475*44/12</f>
        <v>0.54683959218555267</v>
      </c>
      <c r="AW164" s="21">
        <f>EXP(-LN(2)/2)*AW163+(1-EXP(-LN(2)/2))/(LN(2)/2)*AQ164*AT164*VLOOKUP('Données projet'!$B$10,Paramètres!$A$1:$I$89,3,0)*0.475*44/12</f>
        <v>5.7978496103665304E-19</v>
      </c>
      <c r="AX164" s="21">
        <f t="shared" si="166"/>
        <v>0.80814949018038695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4.6111381379887463E-14</v>
      </c>
      <c r="BF164" s="13">
        <f t="shared" si="167"/>
        <v>7.5804141040779151E-13</v>
      </c>
      <c r="BG164" s="20">
        <f t="shared" si="168"/>
        <v>1.4005661123635408E-12</v>
      </c>
      <c r="BH164" s="59">
        <f t="shared" si="116"/>
        <v>293.33333333333474</v>
      </c>
      <c r="BI164" s="59">
        <f ca="1">AVERAGE(OFFSET($BH$3,0,0,'Données projet'!$E$11+1,1))-AVERAGE(OFFSET($H$3,0,0,'Données projet'!$E$11+1,1))</f>
        <v>230.68538392491388</v>
      </c>
      <c r="BJ164" s="59">
        <f t="shared" si="146"/>
        <v>267.97457956620724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0.22508544795311805</v>
      </c>
      <c r="BR164" s="21">
        <f>EXP(-LN(2)/2)*BR163+(1-EXP(-LN(2)/2))/(LN(2)/2)*BL164*BO164*VLOOKUP('Données projet'!$B$11,Paramètres!$A$1:$I$89,3,0)*0.475*44/12</f>
        <v>2.103021042044295E-19</v>
      </c>
      <c r="BS164" s="22">
        <f t="shared" si="169"/>
        <v>0.22508544795311805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2.8421709430404007E-14</v>
      </c>
      <c r="BZ164" s="13">
        <f>BY164*VLOOKUP('Données projet'!$B$12,Paramètres!$A$1:$I$89,3,0)*VLOOKUP('Données projet'!$B$12,Paramètres!$A$1:$I$89,5,0)</f>
        <v>3.2366642699344085E-14</v>
      </c>
      <c r="CA164" s="13">
        <f t="shared" si="170"/>
        <v>5.5446527398450045E-13</v>
      </c>
      <c r="CB164" s="20">
        <f t="shared" si="171"/>
        <v>1.0220655882243624E-12</v>
      </c>
      <c r="CC164" s="59">
        <f t="shared" si="119"/>
        <v>293.33333333333434</v>
      </c>
      <c r="CD164" s="59">
        <f ca="1">AVERAGE(OFFSET($CC$3,0,0,'Données projet'!$E$12+1,1))-AVERAGE(OFFSET($H$3,0,0,'Données projet'!$E$12+1,1))</f>
        <v>242.1473060698724</v>
      </c>
      <c r="CE164" s="59">
        <f t="shared" si="148"/>
        <v>96.127995920458659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0</v>
      </c>
      <c r="CZ164" s="59">
        <f t="shared" si="150"/>
        <v>0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0</v>
      </c>
      <c r="DU164" s="59">
        <f t="shared" si="152"/>
        <v>0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1.3596945791505279E-13</v>
      </c>
      <c r="P165" s="13">
        <f t="shared" si="141"/>
        <v>1.9708830566360721E-12</v>
      </c>
      <c r="Q165" s="20">
        <f t="shared" si="162"/>
        <v>3.669434796176543E-12</v>
      </c>
      <c r="R165" s="59">
        <f t="shared" si="109"/>
        <v>293.33333333333701</v>
      </c>
      <c r="S165" s="59">
        <f ca="1">AVERAGE(OFFSET($R$3,0,0,'Données projet'!$E$9+1,1))-AVERAGE(OFFSET($H$3,0,0,'Données projet'!$E$9+1,1))</f>
        <v>212.98969326021802</v>
      </c>
      <c r="T165" s="59">
        <f t="shared" si="142"/>
        <v>422.91218020922895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5.4578652597914354</v>
      </c>
      <c r="AA165" s="21">
        <f>EXP(-LN(2)/25)*AA164+(1-EXP(-LN(2)/25))/(LN(2)/25)*Calculateur!V165*Calculateur!X165*VLOOKUP('Données projet'!$B$9,Paramètres!$A$1:$I$89,3,0)*0.475*44/12</f>
        <v>1.7384174782435389</v>
      </c>
      <c r="AB165" s="21">
        <f>EXP(-LN(2)/2)*AB164+(1-EXP(-LN(2)/2))/(LN(2)/2)*V165*Y165*VLOOKUP('Données projet'!$B$9,Paramètres!$A$1:$I$89,3,0)*0.475*44/12</f>
        <v>6.9543186189082023E-18</v>
      </c>
      <c r="AC165" s="22">
        <f t="shared" si="163"/>
        <v>7.1962827380349745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-7.9580786405131221E-13</v>
      </c>
      <c r="AJ165" s="13">
        <f>AI165*VLOOKUP('Données projet'!$B$10,Paramètres!$A$1:$I$89,3,0)*VLOOKUP('Données projet'!$B$10,Paramètres!$A$1:$I$89,5,0)</f>
        <v>-4.758931027026848E-13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318.09371753144256</v>
      </c>
      <c r="AO165" s="59">
        <f t="shared" si="144"/>
        <v>298.61479562586919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0.25618577027845563</v>
      </c>
      <c r="AV165" s="21">
        <f>EXP(-LN(2)/25)*AV164+(1-EXP(-LN(2)/25))/(LN(2)/25)*Calculateur!AQ165*Calculateur!AS165*VLOOKUP('Données projet'!$B$10,Paramètres!$A$1:$I$89,3,0)*0.475*44/12</f>
        <v>0.53188623478019437</v>
      </c>
      <c r="AW165" s="21">
        <f>EXP(-LN(2)/2)*AW164+(1-EXP(-LN(2)/2))/(LN(2)/2)*AQ165*AT165*VLOOKUP('Données projet'!$B$10,Paramètres!$A$1:$I$89,3,0)*0.475*44/12</f>
        <v>4.0996987757899561E-19</v>
      </c>
      <c r="AX165" s="21">
        <f t="shared" si="166"/>
        <v>0.78807200505865005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4.6111381379887463E-14</v>
      </c>
      <c r="BF165" s="13">
        <f t="shared" si="167"/>
        <v>7.5804141040779151E-13</v>
      </c>
      <c r="BG165" s="20">
        <f t="shared" si="168"/>
        <v>1.4005661123635408E-12</v>
      </c>
      <c r="BH165" s="59">
        <f t="shared" si="116"/>
        <v>293.33333333333474</v>
      </c>
      <c r="BI165" s="59">
        <f ca="1">AVERAGE(OFFSET($BH$3,0,0,'Données projet'!$E$11+1,1))-AVERAGE(OFFSET($H$3,0,0,'Données projet'!$E$11+1,1))</f>
        <v>230.68538392491388</v>
      </c>
      <c r="BJ165" s="59">
        <f t="shared" si="146"/>
        <v>267.97457956620724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0.21893047454211076</v>
      </c>
      <c r="BR165" s="21">
        <f>EXP(-LN(2)/2)*BR164+(1-EXP(-LN(2)/2))/(LN(2)/2)*BL165*BO165*VLOOKUP('Données projet'!$B$11,Paramètres!$A$1:$I$89,3,0)*0.475*44/12</f>
        <v>1.4870604398075204E-19</v>
      </c>
      <c r="BS165" s="22">
        <f t="shared" si="169"/>
        <v>0.21893047454211076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2.8421709430404007E-14</v>
      </c>
      <c r="BZ165" s="13">
        <f>BY165*VLOOKUP('Données projet'!$B$12,Paramètres!$A$1:$I$89,3,0)*VLOOKUP('Données projet'!$B$12,Paramètres!$A$1:$I$89,5,0)</f>
        <v>3.2366642699344085E-14</v>
      </c>
      <c r="CA165" s="13">
        <f t="shared" si="170"/>
        <v>5.5446527398450045E-13</v>
      </c>
      <c r="CB165" s="20">
        <f t="shared" si="171"/>
        <v>1.0220655882243624E-12</v>
      </c>
      <c r="CC165" s="59">
        <f t="shared" si="119"/>
        <v>293.33333333333434</v>
      </c>
      <c r="CD165" s="59">
        <f ca="1">AVERAGE(OFFSET($CC$3,0,0,'Données projet'!$E$12+1,1))-AVERAGE(OFFSET($H$3,0,0,'Données projet'!$E$12+1,1))</f>
        <v>242.1473060698724</v>
      </c>
      <c r="CE165" s="59">
        <f t="shared" si="148"/>
        <v>96.127995920458659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0</v>
      </c>
      <c r="CZ165" s="59">
        <f t="shared" si="150"/>
        <v>0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0</v>
      </c>
      <c r="DU165" s="59">
        <f t="shared" si="152"/>
        <v>0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1.3596945791505279E-13</v>
      </c>
      <c r="P166" s="13">
        <f t="shared" si="141"/>
        <v>1.9708830566360721E-12</v>
      </c>
      <c r="Q166" s="20">
        <f t="shared" si="162"/>
        <v>3.669434796176543E-12</v>
      </c>
      <c r="R166" s="59">
        <f t="shared" si="109"/>
        <v>293.33333333333701</v>
      </c>
      <c r="S166" s="59">
        <f ca="1">AVERAGE(OFFSET($R$3,0,0,'Données projet'!$E$9+1,1))-AVERAGE(OFFSET($H$3,0,0,'Données projet'!$E$9+1,1))</f>
        <v>212.98969326021802</v>
      </c>
      <c r="T166" s="59">
        <f t="shared" si="142"/>
        <v>422.91218020922895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5.3508398510160253</v>
      </c>
      <c r="AA166" s="21">
        <f>EXP(-LN(2)/25)*AA165+(1-EXP(-LN(2)/25))/(LN(2)/25)*Calculateur!V166*Calculateur!X166*VLOOKUP('Données projet'!$B$9,Paramètres!$A$1:$I$89,3,0)*0.475*44/12</f>
        <v>1.6908803608815672</v>
      </c>
      <c r="AB166" s="21">
        <f>EXP(-LN(2)/2)*AB165+(1-EXP(-LN(2)/2))/(LN(2)/2)*V166*Y166*VLOOKUP('Données projet'!$B$9,Paramètres!$A$1:$I$89,3,0)*0.475*44/12</f>
        <v>4.9174458539618557E-18</v>
      </c>
      <c r="AC166" s="22">
        <f t="shared" si="163"/>
        <v>7.0417202118975926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-7.9580786405131221E-13</v>
      </c>
      <c r="AJ166" s="13">
        <f>AI166*VLOOKUP('Données projet'!$B$10,Paramètres!$A$1:$I$89,3,0)*VLOOKUP('Données projet'!$B$10,Paramètres!$A$1:$I$89,5,0)</f>
        <v>-4.758931027026848E-13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318.09371753144256</v>
      </c>
      <c r="AO166" s="59">
        <f t="shared" si="144"/>
        <v>298.61479562586919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0.25116212358118578</v>
      </c>
      <c r="AV166" s="21">
        <f>EXP(-LN(2)/25)*AV165+(1-EXP(-LN(2)/25))/(LN(2)/25)*Calculateur!AQ166*Calculateur!AS166*VLOOKUP('Données projet'!$B$10,Paramètres!$A$1:$I$89,3,0)*0.475*44/12</f>
        <v>0.51734177771944856</v>
      </c>
      <c r="AW166" s="21">
        <f>EXP(-LN(2)/2)*AW165+(1-EXP(-LN(2)/2))/(LN(2)/2)*AQ166*AT166*VLOOKUP('Données projet'!$B$10,Paramètres!$A$1:$I$89,3,0)*0.475*44/12</f>
        <v>2.8989248051832652E-19</v>
      </c>
      <c r="AX166" s="21">
        <f t="shared" si="166"/>
        <v>0.76850390130063428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4.6111381379887463E-14</v>
      </c>
      <c r="BF166" s="13">
        <f t="shared" si="167"/>
        <v>7.5804141040779151E-13</v>
      </c>
      <c r="BG166" s="20">
        <f t="shared" si="168"/>
        <v>1.4005661123635408E-12</v>
      </c>
      <c r="BH166" s="59">
        <f t="shared" si="116"/>
        <v>293.33333333333474</v>
      </c>
      <c r="BI166" s="59">
        <f ca="1">AVERAGE(OFFSET($BH$3,0,0,'Données projet'!$E$11+1,1))-AVERAGE(OFFSET($H$3,0,0,'Données projet'!$E$11+1,1))</f>
        <v>230.68538392491388</v>
      </c>
      <c r="BJ166" s="59">
        <f t="shared" si="146"/>
        <v>267.97457956620724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0.21294380920270345</v>
      </c>
      <c r="BR166" s="21">
        <f>EXP(-LN(2)/2)*BR165+(1-EXP(-LN(2)/2))/(LN(2)/2)*BL166*BO166*VLOOKUP('Données projet'!$B$11,Paramètres!$A$1:$I$89,3,0)*0.475*44/12</f>
        <v>1.0515105210221475E-19</v>
      </c>
      <c r="BS166" s="22">
        <f t="shared" si="169"/>
        <v>0.21294380920270345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2.8421709430404007E-14</v>
      </c>
      <c r="BZ166" s="13">
        <f>BY166*VLOOKUP('Données projet'!$B$12,Paramètres!$A$1:$I$89,3,0)*VLOOKUP('Données projet'!$B$12,Paramètres!$A$1:$I$89,5,0)</f>
        <v>3.2366642699344085E-14</v>
      </c>
      <c r="CA166" s="13">
        <f t="shared" si="170"/>
        <v>5.5446527398450045E-13</v>
      </c>
      <c r="CB166" s="20">
        <f t="shared" si="171"/>
        <v>1.0220655882243624E-12</v>
      </c>
      <c r="CC166" s="59">
        <f t="shared" si="119"/>
        <v>293.33333333333434</v>
      </c>
      <c r="CD166" s="59">
        <f ca="1">AVERAGE(OFFSET($CC$3,0,0,'Données projet'!$E$12+1,1))-AVERAGE(OFFSET($H$3,0,0,'Données projet'!$E$12+1,1))</f>
        <v>242.1473060698724</v>
      </c>
      <c r="CE166" s="59">
        <f t="shared" si="148"/>
        <v>96.127995920458659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0</v>
      </c>
      <c r="CZ166" s="59">
        <f t="shared" si="150"/>
        <v>0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0</v>
      </c>
      <c r="DU166" s="59">
        <f t="shared" si="152"/>
        <v>0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1.3596945791505279E-13</v>
      </c>
      <c r="P167" s="13">
        <f t="shared" si="141"/>
        <v>1.9708830566360721E-12</v>
      </c>
      <c r="Q167" s="20">
        <f t="shared" si="162"/>
        <v>3.669434796176543E-12</v>
      </c>
      <c r="R167" s="59">
        <f t="shared" si="109"/>
        <v>293.33333333333701</v>
      </c>
      <c r="S167" s="59">
        <f ca="1">AVERAGE(OFFSET($R$3,0,0,'Données projet'!$E$9+1,1))-AVERAGE(OFFSET($H$3,0,0,'Données projet'!$E$9+1,1))</f>
        <v>212.98969326021802</v>
      </c>
      <c r="T167" s="59">
        <f t="shared" si="142"/>
        <v>422.91218020922895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5.2459131452276475</v>
      </c>
      <c r="AA167" s="21">
        <f>EXP(-LN(2)/25)*AA166+(1-EXP(-LN(2)/25))/(LN(2)/25)*Calculateur!V167*Calculateur!X167*VLOOKUP('Données projet'!$B$9,Paramètres!$A$1:$I$89,3,0)*0.475*44/12</f>
        <v>1.6446431484937272</v>
      </c>
      <c r="AB167" s="21">
        <f>EXP(-LN(2)/2)*AB166+(1-EXP(-LN(2)/2))/(LN(2)/2)*V167*Y167*VLOOKUP('Données projet'!$B$9,Paramètres!$A$1:$I$89,3,0)*0.475*44/12</f>
        <v>3.4771593094541012E-18</v>
      </c>
      <c r="AC167" s="22">
        <f t="shared" si="163"/>
        <v>6.8905562937213745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-7.9580786405131221E-13</v>
      </c>
      <c r="AJ167" s="13">
        <f>AI167*VLOOKUP('Données projet'!$B$10,Paramètres!$A$1:$I$89,3,0)*VLOOKUP('Données projet'!$B$10,Paramètres!$A$1:$I$89,5,0)</f>
        <v>-4.758931027026848E-13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318.09371753144256</v>
      </c>
      <c r="AO167" s="59">
        <f t="shared" si="144"/>
        <v>298.61479562586919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0.24623698753152748</v>
      </c>
      <c r="AV167" s="21">
        <f>EXP(-LN(2)/25)*AV166+(1-EXP(-LN(2)/25))/(LN(2)/25)*Calculateur!AQ167*Calculateur!AS167*VLOOKUP('Données projet'!$B$10,Paramètres!$A$1:$I$89,3,0)*0.475*44/12</f>
        <v>0.50319503960188849</v>
      </c>
      <c r="AW167" s="21">
        <f>EXP(-LN(2)/2)*AW166+(1-EXP(-LN(2)/2))/(LN(2)/2)*AQ167*AT167*VLOOKUP('Données projet'!$B$10,Paramètres!$A$1:$I$89,3,0)*0.475*44/12</f>
        <v>2.049849387894978E-19</v>
      </c>
      <c r="AX167" s="21">
        <f t="shared" si="166"/>
        <v>0.74943202713341595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4.6111381379887463E-14</v>
      </c>
      <c r="BF167" s="13">
        <f t="shared" si="167"/>
        <v>7.5804141040779151E-13</v>
      </c>
      <c r="BG167" s="20">
        <f t="shared" si="168"/>
        <v>1.4005661123635408E-12</v>
      </c>
      <c r="BH167" s="59">
        <f t="shared" si="116"/>
        <v>293.33333333333474</v>
      </c>
      <c r="BI167" s="59">
        <f ca="1">AVERAGE(OFFSET($BH$3,0,0,'Données projet'!$E$11+1,1))-AVERAGE(OFFSET($H$3,0,0,'Données projet'!$E$11+1,1))</f>
        <v>230.68538392491388</v>
      </c>
      <c r="BJ167" s="59">
        <f t="shared" si="146"/>
        <v>267.97457956620724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0.20712084954182727</v>
      </c>
      <c r="BR167" s="21">
        <f>EXP(-LN(2)/2)*BR166+(1-EXP(-LN(2)/2))/(LN(2)/2)*BL167*BO167*VLOOKUP('Données projet'!$B$11,Paramètres!$A$1:$I$89,3,0)*0.475*44/12</f>
        <v>7.4353021990376022E-20</v>
      </c>
      <c r="BS167" s="22">
        <f t="shared" si="169"/>
        <v>0.20712084954182727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2.8421709430404007E-14</v>
      </c>
      <c r="BZ167" s="13">
        <f>BY167*VLOOKUP('Données projet'!$B$12,Paramètres!$A$1:$I$89,3,0)*VLOOKUP('Données projet'!$B$12,Paramètres!$A$1:$I$89,5,0)</f>
        <v>3.2366642699344085E-14</v>
      </c>
      <c r="CA167" s="13">
        <f t="shared" si="170"/>
        <v>5.5446527398450045E-13</v>
      </c>
      <c r="CB167" s="20">
        <f t="shared" si="171"/>
        <v>1.0220655882243624E-12</v>
      </c>
      <c r="CC167" s="59">
        <f t="shared" si="119"/>
        <v>293.33333333333434</v>
      </c>
      <c r="CD167" s="59">
        <f ca="1">AVERAGE(OFFSET($CC$3,0,0,'Données projet'!$E$12+1,1))-AVERAGE(OFFSET($H$3,0,0,'Données projet'!$E$12+1,1))</f>
        <v>242.1473060698724</v>
      </c>
      <c r="CE167" s="59">
        <f t="shared" si="148"/>
        <v>96.127995920458659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0</v>
      </c>
      <c r="CZ167" s="59">
        <f t="shared" si="150"/>
        <v>0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0</v>
      </c>
      <c r="DU167" s="59">
        <f t="shared" si="152"/>
        <v>0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1.3596945791505279E-13</v>
      </c>
      <c r="P168" s="13">
        <f t="shared" si="141"/>
        <v>1.9708830566360721E-12</v>
      </c>
      <c r="Q168" s="20">
        <f t="shared" si="162"/>
        <v>3.669434796176543E-12</v>
      </c>
      <c r="R168" s="59">
        <f t="shared" si="109"/>
        <v>293.33333333333701</v>
      </c>
      <c r="S168" s="59">
        <f ca="1">AVERAGE(OFFSET($R$3,0,0,'Données projet'!$E$9+1,1))-AVERAGE(OFFSET($H$3,0,0,'Données projet'!$E$9+1,1))</f>
        <v>212.98969326021802</v>
      </c>
      <c r="T168" s="59">
        <f t="shared" si="142"/>
        <v>422.91218020922895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5.1430439881408088</v>
      </c>
      <c r="AA168" s="21">
        <f>EXP(-LN(2)/25)*AA167+(1-EXP(-LN(2)/25))/(LN(2)/25)*Calculateur!V168*Calculateur!X168*VLOOKUP('Données projet'!$B$9,Paramètres!$A$1:$I$89,3,0)*0.475*44/12</f>
        <v>1.5996702951101418</v>
      </c>
      <c r="AB168" s="21">
        <f>EXP(-LN(2)/2)*AB167+(1-EXP(-LN(2)/2))/(LN(2)/2)*V168*Y168*VLOOKUP('Données projet'!$B$9,Paramètres!$A$1:$I$89,3,0)*0.475*44/12</f>
        <v>2.4587229269809278E-18</v>
      </c>
      <c r="AC168" s="22">
        <f t="shared" si="163"/>
        <v>6.742714283250951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-7.9580786405131221E-13</v>
      </c>
      <c r="AJ168" s="13">
        <f>AI168*VLOOKUP('Données projet'!$B$10,Paramètres!$A$1:$I$89,3,0)*VLOOKUP('Données projet'!$B$10,Paramètres!$A$1:$I$89,5,0)</f>
        <v>-4.758931027026848E-13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318.09371753144256</v>
      </c>
      <c r="AO168" s="59">
        <f t="shared" si="144"/>
        <v>298.61479562586919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0.24140843039576662</v>
      </c>
      <c r="AV168" s="21">
        <f>EXP(-LN(2)/25)*AV167+(1-EXP(-LN(2)/25))/(LN(2)/25)*Calculateur!AQ168*Calculateur!AS168*VLOOKUP('Données projet'!$B$10,Paramètres!$A$1:$I$89,3,0)*0.475*44/12</f>
        <v>0.48943514478209776</v>
      </c>
      <c r="AW168" s="21">
        <f>EXP(-LN(2)/2)*AW167+(1-EXP(-LN(2)/2))/(LN(2)/2)*AQ168*AT168*VLOOKUP('Données projet'!$B$10,Paramètres!$A$1:$I$89,3,0)*0.475*44/12</f>
        <v>1.4494624025916326E-19</v>
      </c>
      <c r="AX168" s="21">
        <f t="shared" si="166"/>
        <v>0.73084357517786436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4.6111381379887463E-14</v>
      </c>
      <c r="BF168" s="13">
        <f t="shared" si="167"/>
        <v>7.5804141040779151E-13</v>
      </c>
      <c r="BG168" s="20">
        <f t="shared" si="168"/>
        <v>1.4005661123635408E-12</v>
      </c>
      <c r="BH168" s="59">
        <f t="shared" si="116"/>
        <v>293.33333333333474</v>
      </c>
      <c r="BI168" s="59">
        <f ca="1">AVERAGE(OFFSET($BH$3,0,0,'Données projet'!$E$11+1,1))-AVERAGE(OFFSET($H$3,0,0,'Données projet'!$E$11+1,1))</f>
        <v>230.68538392491388</v>
      </c>
      <c r="BJ168" s="59">
        <f t="shared" si="146"/>
        <v>267.97457956620724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0.20145711901909391</v>
      </c>
      <c r="BR168" s="21">
        <f>EXP(-LN(2)/2)*BR167+(1-EXP(-LN(2)/2))/(LN(2)/2)*BL168*BO168*VLOOKUP('Données projet'!$B$11,Paramètres!$A$1:$I$89,3,0)*0.475*44/12</f>
        <v>5.2575526051107375E-20</v>
      </c>
      <c r="BS168" s="22">
        <f t="shared" si="169"/>
        <v>0.20145711901909391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2.8421709430404007E-14</v>
      </c>
      <c r="BZ168" s="13">
        <f>BY168*VLOOKUP('Données projet'!$B$12,Paramètres!$A$1:$I$89,3,0)*VLOOKUP('Données projet'!$B$12,Paramètres!$A$1:$I$89,5,0)</f>
        <v>3.2366642699344085E-14</v>
      </c>
      <c r="CA168" s="13">
        <f t="shared" si="170"/>
        <v>5.5446527398450045E-13</v>
      </c>
      <c r="CB168" s="20">
        <f t="shared" si="171"/>
        <v>1.0220655882243624E-12</v>
      </c>
      <c r="CC168" s="59">
        <f t="shared" si="119"/>
        <v>293.33333333333434</v>
      </c>
      <c r="CD168" s="59">
        <f ca="1">AVERAGE(OFFSET($CC$3,0,0,'Données projet'!$E$12+1,1))-AVERAGE(OFFSET($H$3,0,0,'Données projet'!$E$12+1,1))</f>
        <v>242.1473060698724</v>
      </c>
      <c r="CE168" s="59">
        <f t="shared" si="148"/>
        <v>96.127995920458659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0</v>
      </c>
      <c r="CZ168" s="59">
        <f t="shared" si="150"/>
        <v>0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0</v>
      </c>
      <c r="DU168" s="59">
        <f t="shared" si="152"/>
        <v>0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1.3596945791505279E-13</v>
      </c>
      <c r="P169" s="13">
        <f t="shared" si="141"/>
        <v>1.9708830566360721E-12</v>
      </c>
      <c r="Q169" s="20">
        <f t="shared" si="162"/>
        <v>3.669434796176543E-12</v>
      </c>
      <c r="R169" s="59">
        <f t="shared" si="109"/>
        <v>293.33333333333701</v>
      </c>
      <c r="S169" s="59">
        <f ca="1">AVERAGE(OFFSET($R$3,0,0,'Données projet'!$E$9+1,1))-AVERAGE(OFFSET($H$3,0,0,'Données projet'!$E$9+1,1))</f>
        <v>212.98969326021802</v>
      </c>
      <c r="T169" s="59">
        <f t="shared" si="142"/>
        <v>422.91218020922895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5.0421920324804521</v>
      </c>
      <c r="AA169" s="21">
        <f>EXP(-LN(2)/25)*AA168+(1-EXP(-LN(2)/25))/(LN(2)/25)*Calculateur!V169*Calculateur!X169*VLOOKUP('Données projet'!$B$9,Paramètres!$A$1:$I$89,3,0)*0.475*44/12</f>
        <v>1.5559272267673503</v>
      </c>
      <c r="AB169" s="21">
        <f>EXP(-LN(2)/2)*AB168+(1-EXP(-LN(2)/2))/(LN(2)/2)*V169*Y169*VLOOKUP('Données projet'!$B$9,Paramètres!$A$1:$I$89,3,0)*0.475*44/12</f>
        <v>1.7385796547270506E-18</v>
      </c>
      <c r="AC169" s="22">
        <f t="shared" si="163"/>
        <v>6.5981192592478024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-7.9580786405131221E-13</v>
      </c>
      <c r="AJ169" s="13">
        <f>AI169*VLOOKUP('Données projet'!$B$10,Paramètres!$A$1:$I$89,3,0)*VLOOKUP('Données projet'!$B$10,Paramètres!$A$1:$I$89,5,0)</f>
        <v>-4.758931027026848E-13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318.09371753144256</v>
      </c>
      <c r="AO169" s="59">
        <f t="shared" si="144"/>
        <v>298.61479562586919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0.23667455832030898</v>
      </c>
      <c r="AV169" s="21">
        <f>EXP(-LN(2)/25)*AV168+(1-EXP(-LN(2)/25))/(LN(2)/25)*Calculateur!AQ169*Calculateur!AS169*VLOOKUP('Données projet'!$B$10,Paramètres!$A$1:$I$89,3,0)*0.475*44/12</f>
        <v>0.47605151500975568</v>
      </c>
      <c r="AW169" s="21">
        <f>EXP(-LN(2)/2)*AW168+(1-EXP(-LN(2)/2))/(LN(2)/2)*AQ169*AT169*VLOOKUP('Données projet'!$B$10,Paramètres!$A$1:$I$89,3,0)*0.475*44/12</f>
        <v>1.024924693947489E-19</v>
      </c>
      <c r="AX169" s="21">
        <f t="shared" si="166"/>
        <v>0.71272607333006466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4.6111381379887463E-14</v>
      </c>
      <c r="BF169" s="13">
        <f t="shared" si="167"/>
        <v>7.5804141040779151E-13</v>
      </c>
      <c r="BG169" s="20">
        <f t="shared" si="168"/>
        <v>1.4005661123635408E-12</v>
      </c>
      <c r="BH169" s="59">
        <f t="shared" si="116"/>
        <v>293.33333333333474</v>
      </c>
      <c r="BI169" s="59">
        <f ca="1">AVERAGE(OFFSET($BH$3,0,0,'Données projet'!$E$11+1,1))-AVERAGE(OFFSET($H$3,0,0,'Données projet'!$E$11+1,1))</f>
        <v>230.68538392491388</v>
      </c>
      <c r="BJ169" s="59">
        <f t="shared" si="146"/>
        <v>267.97457956620724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0.19594826350534733</v>
      </c>
      <c r="BR169" s="21">
        <f>EXP(-LN(2)/2)*BR168+(1-EXP(-LN(2)/2))/(LN(2)/2)*BL169*BO169*VLOOKUP('Données projet'!$B$11,Paramètres!$A$1:$I$89,3,0)*0.475*44/12</f>
        <v>3.7176510995188011E-20</v>
      </c>
      <c r="BS169" s="22">
        <f t="shared" si="169"/>
        <v>0.19594826350534733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2.8421709430404007E-14</v>
      </c>
      <c r="BZ169" s="13">
        <f>BY169*VLOOKUP('Données projet'!$B$12,Paramètres!$A$1:$I$89,3,0)*VLOOKUP('Données projet'!$B$12,Paramètres!$A$1:$I$89,5,0)</f>
        <v>3.2366642699344085E-14</v>
      </c>
      <c r="CA169" s="13">
        <f t="shared" si="170"/>
        <v>5.5446527398450045E-13</v>
      </c>
      <c r="CB169" s="20">
        <f t="shared" si="171"/>
        <v>1.0220655882243624E-12</v>
      </c>
      <c r="CC169" s="59">
        <f t="shared" si="119"/>
        <v>293.33333333333434</v>
      </c>
      <c r="CD169" s="59">
        <f ca="1">AVERAGE(OFFSET($CC$3,0,0,'Données projet'!$E$12+1,1))-AVERAGE(OFFSET($H$3,0,0,'Données projet'!$E$12+1,1))</f>
        <v>242.1473060698724</v>
      </c>
      <c r="CE169" s="59">
        <f t="shared" si="148"/>
        <v>96.127995920458659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0</v>
      </c>
      <c r="CZ169" s="59">
        <f t="shared" si="150"/>
        <v>0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0</v>
      </c>
      <c r="DU169" s="59">
        <f t="shared" si="152"/>
        <v>0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1.3596945791505279E-13</v>
      </c>
      <c r="P170" s="13">
        <f t="shared" si="141"/>
        <v>1.9708830566360721E-12</v>
      </c>
      <c r="Q170" s="20">
        <f t="shared" si="162"/>
        <v>3.669434796176543E-12</v>
      </c>
      <c r="R170" s="59">
        <f t="shared" si="109"/>
        <v>293.33333333333701</v>
      </c>
      <c r="S170" s="59">
        <f ca="1">AVERAGE(OFFSET($R$3,0,0,'Données projet'!$E$9+1,1))-AVERAGE(OFFSET($H$3,0,0,'Données projet'!$E$9+1,1))</f>
        <v>212.98969326021802</v>
      </c>
      <c r="T170" s="59">
        <f t="shared" si="142"/>
        <v>422.91218020922895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4.9433177221569764</v>
      </c>
      <c r="AA170" s="21">
        <f>EXP(-LN(2)/25)*AA169+(1-EXP(-LN(2)/25))/(LN(2)/25)*Calculateur!V170*Calculateur!X170*VLOOKUP('Données projet'!$B$9,Paramètres!$A$1:$I$89,3,0)*0.475*44/12</f>
        <v>1.5133803149287404</v>
      </c>
      <c r="AB170" s="21">
        <f>EXP(-LN(2)/2)*AB169+(1-EXP(-LN(2)/2))/(LN(2)/2)*V170*Y170*VLOOKUP('Données projet'!$B$9,Paramètres!$A$1:$I$89,3,0)*0.475*44/12</f>
        <v>1.2293614634904639E-18</v>
      </c>
      <c r="AC170" s="22">
        <f t="shared" si="163"/>
        <v>6.456698037085717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-7.9580786405131221E-13</v>
      </c>
      <c r="AJ170" s="13">
        <f>AI170*VLOOKUP('Données projet'!$B$10,Paramètres!$A$1:$I$89,3,0)*VLOOKUP('Données projet'!$B$10,Paramètres!$A$1:$I$89,5,0)</f>
        <v>-4.758931027026848E-13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318.09371753144256</v>
      </c>
      <c r="AO170" s="59">
        <f t="shared" si="144"/>
        <v>298.61479562586919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0.2320335145888742</v>
      </c>
      <c r="AV170" s="21">
        <f>EXP(-LN(2)/25)*AV169+(1-EXP(-LN(2)/25))/(LN(2)/25)*Calculateur!AQ170*Calculateur!AS170*VLOOKUP('Données projet'!$B$10,Paramètres!$A$1:$I$89,3,0)*0.475*44/12</f>
        <v>0.46303386129735274</v>
      </c>
      <c r="AW170" s="21">
        <f>EXP(-LN(2)/2)*AW169+(1-EXP(-LN(2)/2))/(LN(2)/2)*AQ170*AT170*VLOOKUP('Données projet'!$B$10,Paramètres!$A$1:$I$89,3,0)*0.475*44/12</f>
        <v>7.247312012958163E-20</v>
      </c>
      <c r="AX170" s="21">
        <f t="shared" si="166"/>
        <v>0.69506737588622691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4.6111381379887463E-14</v>
      </c>
      <c r="BF170" s="13">
        <f t="shared" si="167"/>
        <v>7.5804141040779151E-13</v>
      </c>
      <c r="BG170" s="20">
        <f t="shared" si="168"/>
        <v>1.4005661123635408E-12</v>
      </c>
      <c r="BH170" s="59">
        <f t="shared" si="116"/>
        <v>293.33333333333474</v>
      </c>
      <c r="BI170" s="59">
        <f ca="1">AVERAGE(OFFSET($BH$3,0,0,'Données projet'!$E$11+1,1))-AVERAGE(OFFSET($H$3,0,0,'Données projet'!$E$11+1,1))</f>
        <v>230.68538392491388</v>
      </c>
      <c r="BJ170" s="59">
        <f t="shared" si="146"/>
        <v>267.97457956620724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0.19059004793532228</v>
      </c>
      <c r="BR170" s="21">
        <f>EXP(-LN(2)/2)*BR169+(1-EXP(-LN(2)/2))/(LN(2)/2)*BL170*BO170*VLOOKUP('Données projet'!$B$11,Paramètres!$A$1:$I$89,3,0)*0.475*44/12</f>
        <v>2.6287763025553687E-20</v>
      </c>
      <c r="BS170" s="22">
        <f t="shared" si="169"/>
        <v>0.19059004793532228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2.8421709430404007E-14</v>
      </c>
      <c r="BZ170" s="13">
        <f>BY170*VLOOKUP('Données projet'!$B$12,Paramètres!$A$1:$I$89,3,0)*VLOOKUP('Données projet'!$B$12,Paramètres!$A$1:$I$89,5,0)</f>
        <v>3.2366642699344085E-14</v>
      </c>
      <c r="CA170" s="13">
        <f t="shared" si="170"/>
        <v>5.5446527398450045E-13</v>
      </c>
      <c r="CB170" s="20">
        <f t="shared" si="171"/>
        <v>1.0220655882243624E-12</v>
      </c>
      <c r="CC170" s="59">
        <f t="shared" si="119"/>
        <v>293.33333333333434</v>
      </c>
      <c r="CD170" s="59">
        <f ca="1">AVERAGE(OFFSET($CC$3,0,0,'Données projet'!$E$12+1,1))-AVERAGE(OFFSET($H$3,0,0,'Données projet'!$E$12+1,1))</f>
        <v>242.1473060698724</v>
      </c>
      <c r="CE170" s="59">
        <f t="shared" si="148"/>
        <v>96.127995920458659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0</v>
      </c>
      <c r="CZ170" s="59">
        <f t="shared" si="150"/>
        <v>0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0</v>
      </c>
      <c r="DU170" s="59">
        <f t="shared" si="152"/>
        <v>0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1.3596945791505279E-13</v>
      </c>
      <c r="P171" s="13">
        <f t="shared" si="141"/>
        <v>1.9708830566360721E-12</v>
      </c>
      <c r="Q171" s="20">
        <f t="shared" si="162"/>
        <v>3.669434796176543E-12</v>
      </c>
      <c r="R171" s="59">
        <f t="shared" si="109"/>
        <v>293.33333333333701</v>
      </c>
      <c r="S171" s="59">
        <f ca="1">AVERAGE(OFFSET($R$3,0,0,'Données projet'!$E$9+1,1))-AVERAGE(OFFSET($H$3,0,0,'Données projet'!$E$9+1,1))</f>
        <v>212.98969326021802</v>
      </c>
      <c r="T171" s="59">
        <f t="shared" si="142"/>
        <v>422.91218020922895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4.8463822767515694</v>
      </c>
      <c r="AA171" s="21">
        <f>EXP(-LN(2)/25)*AA170+(1-EXP(-LN(2)/25))/(LN(2)/25)*Calculateur!V171*Calculateur!X171*VLOOKUP('Données projet'!$B$9,Paramètres!$A$1:$I$89,3,0)*0.475*44/12</f>
        <v>1.471996850631802</v>
      </c>
      <c r="AB171" s="21">
        <f>EXP(-LN(2)/2)*AB170+(1-EXP(-LN(2)/2))/(LN(2)/2)*V171*Y171*VLOOKUP('Données projet'!$B$9,Paramètres!$A$1:$I$89,3,0)*0.475*44/12</f>
        <v>8.6928982736352529E-19</v>
      </c>
      <c r="AC171" s="22">
        <f t="shared" si="163"/>
        <v>6.3183791273833716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-7.9580786405131221E-13</v>
      </c>
      <c r="AJ171" s="13">
        <f>AI171*VLOOKUP('Données projet'!$B$10,Paramètres!$A$1:$I$89,3,0)*VLOOKUP('Données projet'!$B$10,Paramètres!$A$1:$I$89,5,0)</f>
        <v>-4.758931027026848E-13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318.09371753144256</v>
      </c>
      <c r="AO171" s="59">
        <f t="shared" si="144"/>
        <v>298.61479562586919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0.22748347889425569</v>
      </c>
      <c r="AV171" s="21">
        <f>EXP(-LN(2)/25)*AV170+(1-EXP(-LN(2)/25))/(LN(2)/25)*Calculateur!AQ171*Calculateur!AS171*VLOOKUP('Données projet'!$B$10,Paramètres!$A$1:$I$89,3,0)*0.475*44/12</f>
        <v>0.45037217601028412</v>
      </c>
      <c r="AW171" s="21">
        <f>EXP(-LN(2)/2)*AW170+(1-EXP(-LN(2)/2))/(LN(2)/2)*AQ171*AT171*VLOOKUP('Données projet'!$B$10,Paramètres!$A$1:$I$89,3,0)*0.475*44/12</f>
        <v>5.1246234697374451E-20</v>
      </c>
      <c r="AX171" s="21">
        <f t="shared" si="166"/>
        <v>0.67785565490453981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4.6111381379887463E-14</v>
      </c>
      <c r="BF171" s="13">
        <f t="shared" si="167"/>
        <v>7.5804141040779151E-13</v>
      </c>
      <c r="BG171" s="20">
        <f t="shared" si="168"/>
        <v>1.4005661123635408E-12</v>
      </c>
      <c r="BH171" s="59">
        <f t="shared" si="116"/>
        <v>293.33333333333474</v>
      </c>
      <c r="BI171" s="59">
        <f ca="1">AVERAGE(OFFSET($BH$3,0,0,'Données projet'!$E$11+1,1))-AVERAGE(OFFSET($H$3,0,0,'Données projet'!$E$11+1,1))</f>
        <v>230.68538392491388</v>
      </c>
      <c r="BJ171" s="59">
        <f t="shared" si="146"/>
        <v>267.97457956620724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0.18537835305183586</v>
      </c>
      <c r="BR171" s="21">
        <f>EXP(-LN(2)/2)*BR170+(1-EXP(-LN(2)/2))/(LN(2)/2)*BL171*BO171*VLOOKUP('Données projet'!$B$11,Paramètres!$A$1:$I$89,3,0)*0.475*44/12</f>
        <v>1.8588255497594005E-20</v>
      </c>
      <c r="BS171" s="22">
        <f t="shared" si="169"/>
        <v>0.18537835305183586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2.8421709430404007E-14</v>
      </c>
      <c r="BZ171" s="13">
        <f>BY171*VLOOKUP('Données projet'!$B$12,Paramètres!$A$1:$I$89,3,0)*VLOOKUP('Données projet'!$B$12,Paramètres!$A$1:$I$89,5,0)</f>
        <v>3.2366642699344085E-14</v>
      </c>
      <c r="CA171" s="13">
        <f t="shared" si="170"/>
        <v>5.5446527398450045E-13</v>
      </c>
      <c r="CB171" s="20">
        <f t="shared" si="171"/>
        <v>1.0220655882243624E-12</v>
      </c>
      <c r="CC171" s="59">
        <f t="shared" si="119"/>
        <v>293.33333333333434</v>
      </c>
      <c r="CD171" s="59">
        <f ca="1">AVERAGE(OFFSET($CC$3,0,0,'Données projet'!$E$12+1,1))-AVERAGE(OFFSET($H$3,0,0,'Données projet'!$E$12+1,1))</f>
        <v>242.1473060698724</v>
      </c>
      <c r="CE171" s="59">
        <f t="shared" si="148"/>
        <v>96.127995920458659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0</v>
      </c>
      <c r="CZ171" s="59">
        <f t="shared" si="150"/>
        <v>0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0</v>
      </c>
      <c r="DU171" s="59">
        <f t="shared" si="152"/>
        <v>0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1.3596945791505279E-13</v>
      </c>
      <c r="P172" s="13">
        <f t="shared" si="141"/>
        <v>1.9708830566360721E-12</v>
      </c>
      <c r="Q172" s="20">
        <f t="shared" si="162"/>
        <v>3.669434796176543E-12</v>
      </c>
      <c r="R172" s="59">
        <f t="shared" si="109"/>
        <v>293.33333333333701</v>
      </c>
      <c r="S172" s="59">
        <f ca="1">AVERAGE(OFFSET($R$3,0,0,'Données projet'!$E$9+1,1))-AVERAGE(OFFSET($H$3,0,0,'Données projet'!$E$9+1,1))</f>
        <v>212.98969326021802</v>
      </c>
      <c r="T172" s="59">
        <f t="shared" si="142"/>
        <v>422.91218020922895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4.7513476763057794</v>
      </c>
      <c r="AA172" s="21">
        <f>EXP(-LN(2)/25)*AA171+(1-EXP(-LN(2)/25))/(LN(2)/25)*Calculateur!V172*Calculateur!X172*VLOOKUP('Données projet'!$B$9,Paramètres!$A$1:$I$89,3,0)*0.475*44/12</f>
        <v>1.4317450193423253</v>
      </c>
      <c r="AB172" s="21">
        <f>EXP(-LN(2)/2)*AB171+(1-EXP(-LN(2)/2))/(LN(2)/2)*V172*Y172*VLOOKUP('Données projet'!$B$9,Paramètres!$A$1:$I$89,3,0)*0.475*44/12</f>
        <v>6.1468073174523196E-19</v>
      </c>
      <c r="AC172" s="22">
        <f t="shared" si="163"/>
        <v>6.1830926956481047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-7.9580786405131221E-13</v>
      </c>
      <c r="AJ172" s="13">
        <f>AI172*VLOOKUP('Données projet'!$B$10,Paramètres!$A$1:$I$89,3,0)*VLOOKUP('Données projet'!$B$10,Paramètres!$A$1:$I$89,5,0)</f>
        <v>-4.758931027026848E-13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318.09371753144256</v>
      </c>
      <c r="AO172" s="59">
        <f t="shared" si="144"/>
        <v>298.61479562586919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0.2230226666243609</v>
      </c>
      <c r="AV172" s="21">
        <f>EXP(-LN(2)/25)*AV171+(1-EXP(-LN(2)/25))/(LN(2)/25)*Calculateur!AQ172*Calculateur!AS172*VLOOKUP('Données projet'!$B$10,Paramètres!$A$1:$I$89,3,0)*0.475*44/12</f>
        <v>0.43805672517323951</v>
      </c>
      <c r="AW172" s="21">
        <f>EXP(-LN(2)/2)*AW171+(1-EXP(-LN(2)/2))/(LN(2)/2)*AQ172*AT172*VLOOKUP('Données projet'!$B$10,Paramètres!$A$1:$I$89,3,0)*0.475*44/12</f>
        <v>3.6236560064790815E-20</v>
      </c>
      <c r="AX172" s="21">
        <f t="shared" si="166"/>
        <v>0.66107939179760045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4.6111381379887463E-14</v>
      </c>
      <c r="BF172" s="13">
        <f t="shared" si="167"/>
        <v>7.5804141040779151E-13</v>
      </c>
      <c r="BG172" s="20">
        <f t="shared" si="168"/>
        <v>1.4005661123635408E-12</v>
      </c>
      <c r="BH172" s="59">
        <f t="shared" si="116"/>
        <v>293.33333333333474</v>
      </c>
      <c r="BI172" s="59">
        <f ca="1">AVERAGE(OFFSET($BH$3,0,0,'Données projet'!$E$11+1,1))-AVERAGE(OFFSET($H$3,0,0,'Données projet'!$E$11+1,1))</f>
        <v>230.68538392491388</v>
      </c>
      <c r="BJ172" s="59">
        <f t="shared" si="146"/>
        <v>267.97457956620724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0.18030917223900952</v>
      </c>
      <c r="BR172" s="21">
        <f>EXP(-LN(2)/2)*BR171+(1-EXP(-LN(2)/2))/(LN(2)/2)*BL172*BO172*VLOOKUP('Données projet'!$B$11,Paramètres!$A$1:$I$89,3,0)*0.475*44/12</f>
        <v>1.3143881512776844E-20</v>
      </c>
      <c r="BS172" s="22">
        <f t="shared" si="169"/>
        <v>0.18030917223900952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2.8421709430404007E-14</v>
      </c>
      <c r="BZ172" s="13">
        <f>BY172*VLOOKUP('Données projet'!$B$12,Paramètres!$A$1:$I$89,3,0)*VLOOKUP('Données projet'!$B$12,Paramètres!$A$1:$I$89,5,0)</f>
        <v>3.2366642699344085E-14</v>
      </c>
      <c r="CA172" s="13">
        <f t="shared" si="170"/>
        <v>5.5446527398450045E-13</v>
      </c>
      <c r="CB172" s="20">
        <f t="shared" si="171"/>
        <v>1.0220655882243624E-12</v>
      </c>
      <c r="CC172" s="59">
        <f t="shared" si="119"/>
        <v>293.33333333333434</v>
      </c>
      <c r="CD172" s="59">
        <f ca="1">AVERAGE(OFFSET($CC$3,0,0,'Données projet'!$E$12+1,1))-AVERAGE(OFFSET($H$3,0,0,'Données projet'!$E$12+1,1))</f>
        <v>242.1473060698724</v>
      </c>
      <c r="CE172" s="59">
        <f t="shared" si="148"/>
        <v>96.127995920458659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0</v>
      </c>
      <c r="CZ172" s="59">
        <f t="shared" si="150"/>
        <v>0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0</v>
      </c>
      <c r="DU172" s="59">
        <f t="shared" si="152"/>
        <v>0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1.3596945791505279E-13</v>
      </c>
      <c r="P173" s="13">
        <f t="shared" si="141"/>
        <v>1.9708830566360721E-12</v>
      </c>
      <c r="Q173" s="20">
        <f t="shared" si="162"/>
        <v>3.669434796176543E-12</v>
      </c>
      <c r="R173" s="59">
        <f t="shared" si="109"/>
        <v>293.33333333333701</v>
      </c>
      <c r="S173" s="59">
        <f ca="1">AVERAGE(OFFSET($R$3,0,0,'Données projet'!$E$9+1,1))-AVERAGE(OFFSET($H$3,0,0,'Données projet'!$E$9+1,1))</f>
        <v>212.98969326021802</v>
      </c>
      <c r="T173" s="59">
        <f t="shared" si="142"/>
        <v>422.91218020922895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4.6581766464093484</v>
      </c>
      <c r="AA173" s="21">
        <f>EXP(-LN(2)/25)*AA172+(1-EXP(-LN(2)/25))/(LN(2)/25)*Calculateur!V173*Calculateur!X173*VLOOKUP('Données projet'!$B$9,Paramètres!$A$1:$I$89,3,0)*0.475*44/12</f>
        <v>1.3925938764962111</v>
      </c>
      <c r="AB173" s="21">
        <f>EXP(-LN(2)/2)*AB172+(1-EXP(-LN(2)/2))/(LN(2)/2)*V173*Y173*VLOOKUP('Données projet'!$B$9,Paramètres!$A$1:$I$89,3,0)*0.475*44/12</f>
        <v>4.3464491368176264E-19</v>
      </c>
      <c r="AC173" s="22">
        <f t="shared" si="163"/>
        <v>6.0507705229055597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-7.9580786405131221E-13</v>
      </c>
      <c r="AJ173" s="13">
        <f>AI173*VLOOKUP('Données projet'!$B$10,Paramètres!$A$1:$I$89,3,0)*VLOOKUP('Données projet'!$B$10,Paramètres!$A$1:$I$89,5,0)</f>
        <v>-4.758931027026848E-13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318.09371753144256</v>
      </c>
      <c r="AO173" s="59">
        <f t="shared" si="144"/>
        <v>298.61479562586919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0.21864932816225194</v>
      </c>
      <c r="AV173" s="21">
        <f>EXP(-LN(2)/25)*AV172+(1-EXP(-LN(2)/25))/(LN(2)/25)*Calculateur!AQ173*Calculateur!AS173*VLOOKUP('Données projet'!$B$10,Paramètres!$A$1:$I$89,3,0)*0.475*44/12</f>
        <v>0.42607804098697527</v>
      </c>
      <c r="AW173" s="21">
        <f>EXP(-LN(2)/2)*AW172+(1-EXP(-LN(2)/2))/(LN(2)/2)*AQ173*AT173*VLOOKUP('Données projet'!$B$10,Paramètres!$A$1:$I$89,3,0)*0.475*44/12</f>
        <v>2.5623117348687225E-20</v>
      </c>
      <c r="AX173" s="21">
        <f t="shared" si="166"/>
        <v>0.64472736914922724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4.6111381379887463E-14</v>
      </c>
      <c r="BF173" s="13">
        <f t="shared" si="167"/>
        <v>7.5804141040779151E-13</v>
      </c>
      <c r="BG173" s="20">
        <f t="shared" si="168"/>
        <v>1.4005661123635408E-12</v>
      </c>
      <c r="BH173" s="59">
        <f t="shared" si="116"/>
        <v>293.33333333333474</v>
      </c>
      <c r="BI173" s="59">
        <f ca="1">AVERAGE(OFFSET($BH$3,0,0,'Données projet'!$E$11+1,1))-AVERAGE(OFFSET($H$3,0,0,'Données projet'!$E$11+1,1))</f>
        <v>230.68538392491388</v>
      </c>
      <c r="BJ173" s="59">
        <f t="shared" si="146"/>
        <v>267.97457956620724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0.17537860844208655</v>
      </c>
      <c r="BR173" s="21">
        <f>EXP(-LN(2)/2)*BR172+(1-EXP(-LN(2)/2))/(LN(2)/2)*BL173*BO173*VLOOKUP('Données projet'!$B$11,Paramètres!$A$1:$I$89,3,0)*0.475*44/12</f>
        <v>9.2941277487970027E-21</v>
      </c>
      <c r="BS173" s="22">
        <f t="shared" si="169"/>
        <v>0.17537860844208655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2.8421709430404007E-14</v>
      </c>
      <c r="BZ173" s="13">
        <f>BY173*VLOOKUP('Données projet'!$B$12,Paramètres!$A$1:$I$89,3,0)*VLOOKUP('Données projet'!$B$12,Paramètres!$A$1:$I$89,5,0)</f>
        <v>3.2366642699344085E-14</v>
      </c>
      <c r="CA173" s="13">
        <f t="shared" si="170"/>
        <v>5.5446527398450045E-13</v>
      </c>
      <c r="CB173" s="20">
        <f t="shared" si="171"/>
        <v>1.0220655882243624E-12</v>
      </c>
      <c r="CC173" s="59">
        <f t="shared" si="119"/>
        <v>293.33333333333434</v>
      </c>
      <c r="CD173" s="59">
        <f ca="1">AVERAGE(OFFSET($CC$3,0,0,'Données projet'!$E$12+1,1))-AVERAGE(OFFSET($H$3,0,0,'Données projet'!$E$12+1,1))</f>
        <v>242.1473060698724</v>
      </c>
      <c r="CE173" s="59">
        <f t="shared" si="148"/>
        <v>96.127995920458659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0</v>
      </c>
      <c r="CZ173" s="59">
        <f t="shared" si="150"/>
        <v>0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0</v>
      </c>
      <c r="DU173" s="59">
        <f t="shared" si="152"/>
        <v>0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1.3596945791505279E-13</v>
      </c>
      <c r="P174" s="13">
        <f t="shared" si="141"/>
        <v>1.9708830566360721E-12</v>
      </c>
      <c r="Q174" s="20">
        <f t="shared" si="162"/>
        <v>3.669434796176543E-12</v>
      </c>
      <c r="R174" s="59">
        <f t="shared" si="109"/>
        <v>293.33333333333701</v>
      </c>
      <c r="S174" s="59">
        <f ca="1">AVERAGE(OFFSET($R$3,0,0,'Données projet'!$E$9+1,1))-AVERAGE(OFFSET($H$3,0,0,'Données projet'!$E$9+1,1))</f>
        <v>212.98969326021802</v>
      </c>
      <c r="T174" s="59">
        <f t="shared" si="142"/>
        <v>422.91218020922895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4.5668326435804696</v>
      </c>
      <c r="AA174" s="21">
        <f>EXP(-LN(2)/25)*AA173+(1-EXP(-LN(2)/25))/(LN(2)/25)*Calculateur!V174*Calculateur!X174*VLOOKUP('Données projet'!$B$9,Paramètres!$A$1:$I$89,3,0)*0.475*44/12</f>
        <v>1.354513323710093</v>
      </c>
      <c r="AB174" s="21">
        <f>EXP(-LN(2)/2)*AB173+(1-EXP(-LN(2)/2))/(LN(2)/2)*V174*Y174*VLOOKUP('Données projet'!$B$9,Paramètres!$A$1:$I$89,3,0)*0.475*44/12</f>
        <v>3.0734036587261598E-19</v>
      </c>
      <c r="AC174" s="22">
        <f t="shared" si="163"/>
        <v>5.9213459672905628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-7.9580786405131221E-13</v>
      </c>
      <c r="AJ174" s="13">
        <f>AI174*VLOOKUP('Données projet'!$B$10,Paramètres!$A$1:$I$89,3,0)*VLOOKUP('Données projet'!$B$10,Paramètres!$A$1:$I$89,5,0)</f>
        <v>-4.758931027026848E-13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318.09371753144256</v>
      </c>
      <c r="AO174" s="59">
        <f t="shared" si="144"/>
        <v>298.61479562586919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0.21436174819991186</v>
      </c>
      <c r="AV174" s="21">
        <f>EXP(-LN(2)/25)*AV173+(1-EXP(-LN(2)/25))/(LN(2)/25)*Calculateur!AQ174*Calculateur!AS174*VLOOKUP('Données projet'!$B$10,Paramètres!$A$1:$I$89,3,0)*0.475*44/12</f>
        <v>0.41442691454971609</v>
      </c>
      <c r="AW174" s="21">
        <f>EXP(-LN(2)/2)*AW173+(1-EXP(-LN(2)/2))/(LN(2)/2)*AQ174*AT174*VLOOKUP('Données projet'!$B$10,Paramètres!$A$1:$I$89,3,0)*0.475*44/12</f>
        <v>1.8118280032395407E-20</v>
      </c>
      <c r="AX174" s="21">
        <f t="shared" si="166"/>
        <v>0.62878866274962797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4.6111381379887463E-14</v>
      </c>
      <c r="BF174" s="13">
        <f t="shared" si="167"/>
        <v>7.5804141040779151E-13</v>
      </c>
      <c r="BG174" s="20">
        <f t="shared" si="168"/>
        <v>1.4005661123635408E-12</v>
      </c>
      <c r="BH174" s="59">
        <f t="shared" si="116"/>
        <v>293.33333333333474</v>
      </c>
      <c r="BI174" s="59">
        <f ca="1">AVERAGE(OFFSET($BH$3,0,0,'Données projet'!$E$11+1,1))-AVERAGE(OFFSET($H$3,0,0,'Données projet'!$E$11+1,1))</f>
        <v>230.68538392491388</v>
      </c>
      <c r="BJ174" s="59">
        <f t="shared" si="146"/>
        <v>267.97457956620724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0.17058287117147752</v>
      </c>
      <c r="BR174" s="21">
        <f>EXP(-LN(2)/2)*BR173+(1-EXP(-LN(2)/2))/(LN(2)/2)*BL174*BO174*VLOOKUP('Données projet'!$B$11,Paramètres!$A$1:$I$89,3,0)*0.475*44/12</f>
        <v>6.5719407563884218E-21</v>
      </c>
      <c r="BS174" s="22">
        <f t="shared" si="169"/>
        <v>0.17058287117147752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2.8421709430404007E-14</v>
      </c>
      <c r="BZ174" s="13">
        <f>BY174*VLOOKUP('Données projet'!$B$12,Paramètres!$A$1:$I$89,3,0)*VLOOKUP('Données projet'!$B$12,Paramètres!$A$1:$I$89,5,0)</f>
        <v>3.2366642699344085E-14</v>
      </c>
      <c r="CA174" s="13">
        <f t="shared" si="170"/>
        <v>5.5446527398450045E-13</v>
      </c>
      <c r="CB174" s="20">
        <f t="shared" si="171"/>
        <v>1.0220655882243624E-12</v>
      </c>
      <c r="CC174" s="59">
        <f t="shared" si="119"/>
        <v>293.33333333333434</v>
      </c>
      <c r="CD174" s="59">
        <f ca="1">AVERAGE(OFFSET($CC$3,0,0,'Données projet'!$E$12+1,1))-AVERAGE(OFFSET($H$3,0,0,'Données projet'!$E$12+1,1))</f>
        <v>242.1473060698724</v>
      </c>
      <c r="CE174" s="59">
        <f t="shared" si="148"/>
        <v>96.127995920458659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0</v>
      </c>
      <c r="CZ174" s="59">
        <f t="shared" si="150"/>
        <v>0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0</v>
      </c>
      <c r="DU174" s="59">
        <f t="shared" si="152"/>
        <v>0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1.3596945791505279E-13</v>
      </c>
      <c r="P175" s="13">
        <f t="shared" si="141"/>
        <v>1.9708830566360721E-12</v>
      </c>
      <c r="Q175" s="20">
        <f t="shared" si="162"/>
        <v>3.669434796176543E-12</v>
      </c>
      <c r="R175" s="59">
        <f t="shared" si="109"/>
        <v>293.33333333333701</v>
      </c>
      <c r="S175" s="59">
        <f ca="1">AVERAGE(OFFSET($R$3,0,0,'Données projet'!$E$9+1,1))-AVERAGE(OFFSET($H$3,0,0,'Données projet'!$E$9+1,1))</f>
        <v>212.98969326021802</v>
      </c>
      <c r="T175" s="59">
        <f t="shared" si="142"/>
        <v>422.91218020922895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4.4772798409327246</v>
      </c>
      <c r="AA175" s="21">
        <f>EXP(-LN(2)/25)*AA174+(1-EXP(-LN(2)/25))/(LN(2)/25)*Calculateur!V175*Calculateur!X175*VLOOKUP('Données projet'!$B$9,Paramètres!$A$1:$I$89,3,0)*0.475*44/12</f>
        <v>1.3174740856424807</v>
      </c>
      <c r="AB175" s="21">
        <f>EXP(-LN(2)/2)*AB174+(1-EXP(-LN(2)/2))/(LN(2)/2)*V175*Y175*VLOOKUP('Données projet'!$B$9,Paramètres!$A$1:$I$89,3,0)*0.475*44/12</f>
        <v>2.1732245684088132E-19</v>
      </c>
      <c r="AC175" s="22">
        <f t="shared" si="163"/>
        <v>5.794753926575205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-7.9580786405131221E-13</v>
      </c>
      <c r="AJ175" s="13">
        <f>AI175*VLOOKUP('Données projet'!$B$10,Paramètres!$A$1:$I$89,3,0)*VLOOKUP('Données projet'!$B$10,Paramètres!$A$1:$I$89,5,0)</f>
        <v>-4.758931027026848E-13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318.09371753144256</v>
      </c>
      <c r="AO175" s="59">
        <f t="shared" si="144"/>
        <v>298.61479562586919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0.21015824506546771</v>
      </c>
      <c r="AV175" s="21">
        <f>EXP(-LN(2)/25)*AV174+(1-EXP(-LN(2)/25))/(LN(2)/25)*Calculateur!AQ175*Calculateur!AS175*VLOOKUP('Données projet'!$B$10,Paramètres!$A$1:$I$89,3,0)*0.475*44/12</f>
        <v>0.40309438877758985</v>
      </c>
      <c r="AW175" s="21">
        <f>EXP(-LN(2)/2)*AW174+(1-EXP(-LN(2)/2))/(LN(2)/2)*AQ175*AT175*VLOOKUP('Données projet'!$B$10,Paramètres!$A$1:$I$89,3,0)*0.475*44/12</f>
        <v>1.2811558674343613E-20</v>
      </c>
      <c r="AX175" s="21">
        <f t="shared" si="166"/>
        <v>0.6132526338430575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4.6111381379887463E-14</v>
      </c>
      <c r="BF175" s="13">
        <f t="shared" si="167"/>
        <v>7.5804141040779151E-13</v>
      </c>
      <c r="BG175" s="20">
        <f t="shared" si="168"/>
        <v>1.4005661123635408E-12</v>
      </c>
      <c r="BH175" s="59">
        <f t="shared" si="116"/>
        <v>293.33333333333474</v>
      </c>
      <c r="BI175" s="59">
        <f ca="1">AVERAGE(OFFSET($BH$3,0,0,'Données projet'!$E$11+1,1))-AVERAGE(OFFSET($H$3,0,0,'Données projet'!$E$11+1,1))</f>
        <v>230.68538392491388</v>
      </c>
      <c r="BJ175" s="59">
        <f t="shared" si="146"/>
        <v>267.97457956620724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0.16591827358873015</v>
      </c>
      <c r="BR175" s="21">
        <f>EXP(-LN(2)/2)*BR174+(1-EXP(-LN(2)/2))/(LN(2)/2)*BL175*BO175*VLOOKUP('Données projet'!$B$11,Paramètres!$A$1:$I$89,3,0)*0.475*44/12</f>
        <v>4.6470638743985014E-21</v>
      </c>
      <c r="BS175" s="22">
        <f t="shared" si="169"/>
        <v>0.16591827358873015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2.8421709430404007E-14</v>
      </c>
      <c r="BZ175" s="13">
        <f>BY175*VLOOKUP('Données projet'!$B$12,Paramètres!$A$1:$I$89,3,0)*VLOOKUP('Données projet'!$B$12,Paramètres!$A$1:$I$89,5,0)</f>
        <v>3.2366642699344085E-14</v>
      </c>
      <c r="CA175" s="13">
        <f t="shared" si="170"/>
        <v>5.5446527398450045E-13</v>
      </c>
      <c r="CB175" s="20">
        <f t="shared" si="171"/>
        <v>1.0220655882243624E-12</v>
      </c>
      <c r="CC175" s="59">
        <f t="shared" si="119"/>
        <v>293.33333333333434</v>
      </c>
      <c r="CD175" s="59">
        <f ca="1">AVERAGE(OFFSET($CC$3,0,0,'Données projet'!$E$12+1,1))-AVERAGE(OFFSET($H$3,0,0,'Données projet'!$E$12+1,1))</f>
        <v>242.1473060698724</v>
      </c>
      <c r="CE175" s="59">
        <f t="shared" si="148"/>
        <v>96.127995920458659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0</v>
      </c>
      <c r="CZ175" s="59">
        <f t="shared" si="150"/>
        <v>0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0</v>
      </c>
      <c r="DU175" s="59">
        <f t="shared" si="152"/>
        <v>0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1.3596945791505279E-13</v>
      </c>
      <c r="P176" s="13">
        <f t="shared" si="141"/>
        <v>1.9708830566360721E-12</v>
      </c>
      <c r="Q176" s="20">
        <f t="shared" si="162"/>
        <v>3.669434796176543E-12</v>
      </c>
      <c r="R176" s="59">
        <f t="shared" si="109"/>
        <v>293.33333333333701</v>
      </c>
      <c r="S176" s="59">
        <f ca="1">AVERAGE(OFFSET($R$3,0,0,'Données projet'!$E$9+1,1))-AVERAGE(OFFSET($H$3,0,0,'Données projet'!$E$9+1,1))</f>
        <v>212.98969326021802</v>
      </c>
      <c r="T176" s="59">
        <f t="shared" si="142"/>
        <v>422.91218020922895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4.3894831141230854</v>
      </c>
      <c r="AA176" s="21">
        <f>EXP(-LN(2)/25)*AA175+(1-EXP(-LN(2)/25))/(LN(2)/25)*Calculateur!V176*Calculateur!X176*VLOOKUP('Données projet'!$B$9,Paramètres!$A$1:$I$89,3,0)*0.475*44/12</f>
        <v>1.2814476874876359</v>
      </c>
      <c r="AB176" s="21">
        <f>EXP(-LN(2)/2)*AB175+(1-EXP(-LN(2)/2))/(LN(2)/2)*V176*Y176*VLOOKUP('Données projet'!$B$9,Paramètres!$A$1:$I$89,3,0)*0.475*44/12</f>
        <v>1.5367018293630799E-19</v>
      </c>
      <c r="AC176" s="22">
        <f t="shared" si="163"/>
        <v>5.6709308016107212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-7.9580786405131221E-13</v>
      </c>
      <c r="AJ176" s="13">
        <f>AI176*VLOOKUP('Données projet'!$B$10,Paramètres!$A$1:$I$89,3,0)*VLOOKUP('Données projet'!$B$10,Paramètres!$A$1:$I$89,5,0)</f>
        <v>-4.758931027026848E-13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318.09371753144256</v>
      </c>
      <c r="AO176" s="59">
        <f t="shared" si="144"/>
        <v>298.61479562586919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0.20603717006360628</v>
      </c>
      <c r="AV176" s="21">
        <f>EXP(-LN(2)/25)*AV175+(1-EXP(-LN(2)/25))/(LN(2)/25)*Calculateur!AQ176*Calculateur!AS176*VLOOKUP('Données projet'!$B$10,Paramètres!$A$1:$I$89,3,0)*0.475*44/12</f>
        <v>0.39207175151865403</v>
      </c>
      <c r="AW176" s="21">
        <f>EXP(-LN(2)/2)*AW175+(1-EXP(-LN(2)/2))/(LN(2)/2)*AQ176*AT176*VLOOKUP('Données projet'!$B$10,Paramètres!$A$1:$I$89,3,0)*0.475*44/12</f>
        <v>9.0591400161977037E-21</v>
      </c>
      <c r="AX176" s="21">
        <f t="shared" si="166"/>
        <v>0.59810892158226037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4.6111381379887463E-14</v>
      </c>
      <c r="BF176" s="13">
        <f t="shared" si="167"/>
        <v>7.5804141040779151E-13</v>
      </c>
      <c r="BG176" s="20">
        <f t="shared" si="168"/>
        <v>1.4005661123635408E-12</v>
      </c>
      <c r="BH176" s="59">
        <f t="shared" si="116"/>
        <v>293.33333333333474</v>
      </c>
      <c r="BI176" s="59">
        <f ca="1">AVERAGE(OFFSET($BH$3,0,0,'Données projet'!$E$11+1,1))-AVERAGE(OFFSET($H$3,0,0,'Données projet'!$E$11+1,1))</f>
        <v>230.68538392491388</v>
      </c>
      <c r="BJ176" s="59">
        <f t="shared" si="146"/>
        <v>267.97457956620724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0.16138122967218352</v>
      </c>
      <c r="BR176" s="21">
        <f>EXP(-LN(2)/2)*BR175+(1-EXP(-LN(2)/2))/(LN(2)/2)*BL176*BO176*VLOOKUP('Données projet'!$B$11,Paramètres!$A$1:$I$89,3,0)*0.475*44/12</f>
        <v>3.2859703781942109E-21</v>
      </c>
      <c r="BS176" s="22">
        <f t="shared" si="169"/>
        <v>0.16138122967218352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2.8421709430404007E-14</v>
      </c>
      <c r="BZ176" s="13">
        <f>BY176*VLOOKUP('Données projet'!$B$12,Paramètres!$A$1:$I$89,3,0)*VLOOKUP('Données projet'!$B$12,Paramètres!$A$1:$I$89,5,0)</f>
        <v>3.2366642699344085E-14</v>
      </c>
      <c r="CA176" s="13">
        <f t="shared" si="170"/>
        <v>5.5446527398450045E-13</v>
      </c>
      <c r="CB176" s="20">
        <f t="shared" si="171"/>
        <v>1.0220655882243624E-12</v>
      </c>
      <c r="CC176" s="59">
        <f t="shared" si="119"/>
        <v>293.33333333333434</v>
      </c>
      <c r="CD176" s="59">
        <f ca="1">AVERAGE(OFFSET($CC$3,0,0,'Données projet'!$E$12+1,1))-AVERAGE(OFFSET($H$3,0,0,'Données projet'!$E$12+1,1))</f>
        <v>242.1473060698724</v>
      </c>
      <c r="CE176" s="59">
        <f t="shared" si="148"/>
        <v>96.127995920458659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0</v>
      </c>
      <c r="CZ176" s="59">
        <f t="shared" si="150"/>
        <v>0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0</v>
      </c>
      <c r="DU176" s="59">
        <f t="shared" si="152"/>
        <v>0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1.3596945791505279E-13</v>
      </c>
      <c r="P177" s="13">
        <f t="shared" si="141"/>
        <v>1.9708830566360721E-12</v>
      </c>
      <c r="Q177" s="20">
        <f t="shared" si="162"/>
        <v>3.669434796176543E-12</v>
      </c>
      <c r="R177" s="59">
        <f t="shared" si="109"/>
        <v>293.33333333333701</v>
      </c>
      <c r="S177" s="59">
        <f ca="1">AVERAGE(OFFSET($R$3,0,0,'Données projet'!$E$9+1,1))-AVERAGE(OFFSET($H$3,0,0,'Données projet'!$E$9+1,1))</f>
        <v>212.98969326021802</v>
      </c>
      <c r="T177" s="59">
        <f t="shared" si="142"/>
        <v>422.91218020922895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4.3034080275754683</v>
      </c>
      <c r="AA177" s="21">
        <f>EXP(-LN(2)/25)*AA176+(1-EXP(-LN(2)/25))/(LN(2)/25)*Calculateur!V177*Calculateur!X177*VLOOKUP('Données projet'!$B$9,Paramètres!$A$1:$I$89,3,0)*0.475*44/12</f>
        <v>1.2464064330848814</v>
      </c>
      <c r="AB177" s="21">
        <f>EXP(-LN(2)/2)*AB176+(1-EXP(-LN(2)/2))/(LN(2)/2)*V177*Y177*VLOOKUP('Données projet'!$B$9,Paramètres!$A$1:$I$89,3,0)*0.475*44/12</f>
        <v>1.0866122842044066E-19</v>
      </c>
      <c r="AC177" s="22">
        <f t="shared" si="163"/>
        <v>5.5498144606603494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-7.9580786405131221E-13</v>
      </c>
      <c r="AJ177" s="13">
        <f>AI177*VLOOKUP('Données projet'!$B$10,Paramètres!$A$1:$I$89,3,0)*VLOOKUP('Données projet'!$B$10,Paramètres!$A$1:$I$89,5,0)</f>
        <v>-4.758931027026848E-13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318.09371753144256</v>
      </c>
      <c r="AO177" s="59">
        <f t="shared" si="144"/>
        <v>298.61479562586919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0.20199690682892379</v>
      </c>
      <c r="AV177" s="21">
        <f>EXP(-LN(2)/25)*AV176+(1-EXP(-LN(2)/25))/(LN(2)/25)*Calculateur!AQ177*Calculateur!AS177*VLOOKUP('Données projet'!$B$10,Paramètres!$A$1:$I$89,3,0)*0.475*44/12</f>
        <v>0.38135052885521914</v>
      </c>
      <c r="AW177" s="21">
        <f>EXP(-LN(2)/2)*AW176+(1-EXP(-LN(2)/2))/(LN(2)/2)*AQ177*AT177*VLOOKUP('Données projet'!$B$10,Paramètres!$A$1:$I$89,3,0)*0.475*44/12</f>
        <v>6.4057793371718063E-21</v>
      </c>
      <c r="AX177" s="21">
        <f t="shared" si="166"/>
        <v>0.58334743568414293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4.6111381379887463E-14</v>
      </c>
      <c r="BF177" s="13">
        <f t="shared" si="167"/>
        <v>7.5804141040779151E-13</v>
      </c>
      <c r="BG177" s="20">
        <f t="shared" si="168"/>
        <v>1.4005661123635408E-12</v>
      </c>
      <c r="BH177" s="59">
        <f t="shared" si="116"/>
        <v>293.33333333333474</v>
      </c>
      <c r="BI177" s="59">
        <f ca="1">AVERAGE(OFFSET($BH$3,0,0,'Données projet'!$E$11+1,1))-AVERAGE(OFFSET($H$3,0,0,'Données projet'!$E$11+1,1))</f>
        <v>230.68538392491388</v>
      </c>
      <c r="BJ177" s="59">
        <f t="shared" si="146"/>
        <v>267.97457956620724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0.15696825146012763</v>
      </c>
      <c r="BR177" s="21">
        <f>EXP(-LN(2)/2)*BR176+(1-EXP(-LN(2)/2))/(LN(2)/2)*BL177*BO177*VLOOKUP('Données projet'!$B$11,Paramètres!$A$1:$I$89,3,0)*0.475*44/12</f>
        <v>2.3235319371992507E-21</v>
      </c>
      <c r="BS177" s="22">
        <f t="shared" si="169"/>
        <v>0.15696825146012763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2.8421709430404007E-14</v>
      </c>
      <c r="BZ177" s="13">
        <f>BY177*VLOOKUP('Données projet'!$B$12,Paramètres!$A$1:$I$89,3,0)*VLOOKUP('Données projet'!$B$12,Paramètres!$A$1:$I$89,5,0)</f>
        <v>3.2366642699344085E-14</v>
      </c>
      <c r="CA177" s="13">
        <f t="shared" si="170"/>
        <v>5.5446527398450045E-13</v>
      </c>
      <c r="CB177" s="20">
        <f t="shared" si="171"/>
        <v>1.0220655882243624E-12</v>
      </c>
      <c r="CC177" s="59">
        <f t="shared" si="119"/>
        <v>293.33333333333434</v>
      </c>
      <c r="CD177" s="59">
        <f ca="1">AVERAGE(OFFSET($CC$3,0,0,'Données projet'!$E$12+1,1))-AVERAGE(OFFSET($H$3,0,0,'Données projet'!$E$12+1,1))</f>
        <v>242.1473060698724</v>
      </c>
      <c r="CE177" s="59">
        <f t="shared" si="148"/>
        <v>96.127995920458659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0</v>
      </c>
      <c r="CZ177" s="59">
        <f t="shared" si="150"/>
        <v>0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0</v>
      </c>
      <c r="DU177" s="59">
        <f t="shared" si="152"/>
        <v>0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1.3596945791505279E-13</v>
      </c>
      <c r="P178" s="13">
        <f t="shared" si="141"/>
        <v>1.9708830566360721E-12</v>
      </c>
      <c r="Q178" s="20">
        <f t="shared" si="162"/>
        <v>3.669434796176543E-12</v>
      </c>
      <c r="R178" s="59">
        <f t="shared" si="109"/>
        <v>293.33333333333701</v>
      </c>
      <c r="S178" s="59">
        <f ca="1">AVERAGE(OFFSET($R$3,0,0,'Données projet'!$E$9+1,1))-AVERAGE(OFFSET($H$3,0,0,'Données projet'!$E$9+1,1))</f>
        <v>212.98969326021802</v>
      </c>
      <c r="T178" s="59">
        <f t="shared" si="142"/>
        <v>422.91218020922895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4.2190208209744311</v>
      </c>
      <c r="AA178" s="21">
        <f>EXP(-LN(2)/25)*AA177+(1-EXP(-LN(2)/25))/(LN(2)/25)*Calculateur!V178*Calculateur!X178*VLOOKUP('Données projet'!$B$9,Paramètres!$A$1:$I$89,3,0)*0.475*44/12</f>
        <v>1.2123233836265097</v>
      </c>
      <c r="AB178" s="21">
        <f>EXP(-LN(2)/2)*AB177+(1-EXP(-LN(2)/2))/(LN(2)/2)*V178*Y178*VLOOKUP('Données projet'!$B$9,Paramètres!$A$1:$I$89,3,0)*0.475*44/12</f>
        <v>7.6835091468153995E-20</v>
      </c>
      <c r="AC178" s="22">
        <f t="shared" si="163"/>
        <v>5.4313442046009408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-7.9580786405131221E-13</v>
      </c>
      <c r="AJ178" s="13">
        <f>AI178*VLOOKUP('Données projet'!$B$10,Paramètres!$A$1:$I$89,3,0)*VLOOKUP('Données projet'!$B$10,Paramètres!$A$1:$I$89,5,0)</f>
        <v>-4.758931027026848E-13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318.09371753144256</v>
      </c>
      <c r="AO178" s="59">
        <f t="shared" si="144"/>
        <v>298.61479562586919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0.19803587069195619</v>
      </c>
      <c r="AV178" s="21">
        <f>EXP(-LN(2)/25)*AV177+(1-EXP(-LN(2)/25))/(LN(2)/25)*Calculateur!AQ178*Calculateur!AS178*VLOOKUP('Données projet'!$B$10,Paramètres!$A$1:$I$89,3,0)*0.475*44/12</f>
        <v>0.37092247858932043</v>
      </c>
      <c r="AW178" s="21">
        <f>EXP(-LN(2)/2)*AW177+(1-EXP(-LN(2)/2))/(LN(2)/2)*AQ178*AT178*VLOOKUP('Données projet'!$B$10,Paramètres!$A$1:$I$89,3,0)*0.475*44/12</f>
        <v>4.5295700080988518E-21</v>
      </c>
      <c r="AX178" s="21">
        <f t="shared" si="166"/>
        <v>0.56895834928127664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4.6111381379887463E-14</v>
      </c>
      <c r="BF178" s="13">
        <f t="shared" si="167"/>
        <v>7.5804141040779151E-13</v>
      </c>
      <c r="BG178" s="20">
        <f t="shared" si="168"/>
        <v>1.4005661123635408E-12</v>
      </c>
      <c r="BH178" s="59">
        <f t="shared" si="116"/>
        <v>293.33333333333474</v>
      </c>
      <c r="BI178" s="59">
        <f ca="1">AVERAGE(OFFSET($BH$3,0,0,'Données projet'!$E$11+1,1))-AVERAGE(OFFSET($H$3,0,0,'Données projet'!$E$11+1,1))</f>
        <v>230.68538392491388</v>
      </c>
      <c r="BJ178" s="59">
        <f t="shared" si="146"/>
        <v>267.97457956620724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0.15267594636934886</v>
      </c>
      <c r="BR178" s="21">
        <f>EXP(-LN(2)/2)*BR177+(1-EXP(-LN(2)/2))/(LN(2)/2)*BL178*BO178*VLOOKUP('Données projet'!$B$11,Paramètres!$A$1:$I$89,3,0)*0.475*44/12</f>
        <v>1.6429851890971055E-21</v>
      </c>
      <c r="BS178" s="22">
        <f t="shared" si="169"/>
        <v>0.15267594636934886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2.8421709430404007E-14</v>
      </c>
      <c r="BZ178" s="13">
        <f>BY178*VLOOKUP('Données projet'!$B$12,Paramètres!$A$1:$I$89,3,0)*VLOOKUP('Données projet'!$B$12,Paramètres!$A$1:$I$89,5,0)</f>
        <v>3.2366642699344085E-14</v>
      </c>
      <c r="CA178" s="13">
        <f t="shared" si="170"/>
        <v>5.5446527398450045E-13</v>
      </c>
      <c r="CB178" s="20">
        <f t="shared" si="171"/>
        <v>1.0220655882243624E-12</v>
      </c>
      <c r="CC178" s="59">
        <f t="shared" si="119"/>
        <v>293.33333333333434</v>
      </c>
      <c r="CD178" s="59">
        <f ca="1">AVERAGE(OFFSET($CC$3,0,0,'Données projet'!$E$12+1,1))-AVERAGE(OFFSET($H$3,0,0,'Données projet'!$E$12+1,1))</f>
        <v>242.1473060698724</v>
      </c>
      <c r="CE178" s="59">
        <f t="shared" si="148"/>
        <v>96.127995920458659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0</v>
      </c>
      <c r="CZ178" s="59">
        <f t="shared" si="150"/>
        <v>0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0</v>
      </c>
      <c r="DU178" s="59">
        <f t="shared" si="152"/>
        <v>0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1.3596945791505279E-13</v>
      </c>
      <c r="P179" s="13">
        <f t="shared" si="141"/>
        <v>1.9708830566360721E-12</v>
      </c>
      <c r="Q179" s="20">
        <f t="shared" si="162"/>
        <v>3.669434796176543E-12</v>
      </c>
      <c r="R179" s="59">
        <f t="shared" si="109"/>
        <v>293.33333333333701</v>
      </c>
      <c r="S179" s="59">
        <f ca="1">AVERAGE(OFFSET($R$3,0,0,'Données projet'!$E$9+1,1))-AVERAGE(OFFSET($H$3,0,0,'Données projet'!$E$9+1,1))</f>
        <v>212.98969326021802</v>
      </c>
      <c r="T179" s="59">
        <f t="shared" si="142"/>
        <v>422.91218020922895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4.1362883960237262</v>
      </c>
      <c r="AA179" s="21">
        <f>EXP(-LN(2)/25)*AA178+(1-EXP(-LN(2)/25))/(LN(2)/25)*Calculateur!V179*Calculateur!X179*VLOOKUP('Données projet'!$B$9,Paramètres!$A$1:$I$89,3,0)*0.475*44/12</f>
        <v>1.1791723369479268</v>
      </c>
      <c r="AB179" s="21">
        <f>EXP(-LN(2)/2)*AB178+(1-EXP(-LN(2)/2))/(LN(2)/2)*V179*Y179*VLOOKUP('Données projet'!$B$9,Paramètres!$A$1:$I$89,3,0)*0.475*44/12</f>
        <v>5.4330614210220331E-20</v>
      </c>
      <c r="AC179" s="22">
        <f t="shared" si="163"/>
        <v>5.315460732971653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-7.9580786405131221E-13</v>
      </c>
      <c r="AJ179" s="13">
        <f>AI179*VLOOKUP('Données projet'!$B$10,Paramètres!$A$1:$I$89,3,0)*VLOOKUP('Données projet'!$B$10,Paramètres!$A$1:$I$89,5,0)</f>
        <v>-4.758931027026848E-13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318.09371753144256</v>
      </c>
      <c r="AO179" s="59">
        <f t="shared" si="144"/>
        <v>298.61479562586919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0.19415250805764103</v>
      </c>
      <c r="AV179" s="21">
        <f>EXP(-LN(2)/25)*AV178+(1-EXP(-LN(2)/25))/(LN(2)/25)*Calculateur!AQ179*Calculateur!AS179*VLOOKUP('Données projet'!$B$10,Paramètres!$A$1:$I$89,3,0)*0.475*44/12</f>
        <v>0.36077958390633008</v>
      </c>
      <c r="AW179" s="21">
        <f>EXP(-LN(2)/2)*AW178+(1-EXP(-LN(2)/2))/(LN(2)/2)*AQ179*AT179*VLOOKUP('Données projet'!$B$10,Paramètres!$A$1:$I$89,3,0)*0.475*44/12</f>
        <v>3.2028896685859032E-21</v>
      </c>
      <c r="AX179" s="21">
        <f t="shared" si="166"/>
        <v>0.55493209196397109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4.6111381379887463E-14</v>
      </c>
      <c r="BF179" s="13">
        <f t="shared" si="167"/>
        <v>7.5804141040779151E-13</v>
      </c>
      <c r="BG179" s="20">
        <f t="shared" si="168"/>
        <v>1.4005661123635408E-12</v>
      </c>
      <c r="BH179" s="59">
        <f t="shared" si="116"/>
        <v>293.33333333333474</v>
      </c>
      <c r="BI179" s="59">
        <f ca="1">AVERAGE(OFFSET($BH$3,0,0,'Données projet'!$E$11+1,1))-AVERAGE(OFFSET($H$3,0,0,'Données projet'!$E$11+1,1))</f>
        <v>230.68538392491388</v>
      </c>
      <c r="BJ179" s="59">
        <f t="shared" si="146"/>
        <v>267.97457956620724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0.14850101458699994</v>
      </c>
      <c r="BR179" s="21">
        <f>EXP(-LN(2)/2)*BR178+(1-EXP(-LN(2)/2))/(LN(2)/2)*BL179*BO179*VLOOKUP('Données projet'!$B$11,Paramètres!$A$1:$I$89,3,0)*0.475*44/12</f>
        <v>1.1617659685996253E-21</v>
      </c>
      <c r="BS179" s="22">
        <f t="shared" si="169"/>
        <v>0.14850101458699994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2.8421709430404007E-14</v>
      </c>
      <c r="BZ179" s="13">
        <f>BY179*VLOOKUP('Données projet'!$B$12,Paramètres!$A$1:$I$89,3,0)*VLOOKUP('Données projet'!$B$12,Paramètres!$A$1:$I$89,5,0)</f>
        <v>3.2366642699344085E-14</v>
      </c>
      <c r="CA179" s="13">
        <f t="shared" si="170"/>
        <v>5.5446527398450045E-13</v>
      </c>
      <c r="CB179" s="20">
        <f t="shared" si="171"/>
        <v>1.0220655882243624E-12</v>
      </c>
      <c r="CC179" s="59">
        <f t="shared" si="119"/>
        <v>293.33333333333434</v>
      </c>
      <c r="CD179" s="59">
        <f ca="1">AVERAGE(OFFSET($CC$3,0,0,'Données projet'!$E$12+1,1))-AVERAGE(OFFSET($H$3,0,0,'Données projet'!$E$12+1,1))</f>
        <v>242.1473060698724</v>
      </c>
      <c r="CE179" s="59">
        <f t="shared" si="148"/>
        <v>96.127995920458659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0</v>
      </c>
      <c r="CZ179" s="59">
        <f t="shared" si="150"/>
        <v>0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0</v>
      </c>
      <c r="DU179" s="59">
        <f t="shared" si="152"/>
        <v>0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1.3596945791505279E-13</v>
      </c>
      <c r="P180" s="13">
        <f t="shared" si="141"/>
        <v>1.9708830566360721E-12</v>
      </c>
      <c r="Q180" s="20">
        <f t="shared" si="162"/>
        <v>3.669434796176543E-12</v>
      </c>
      <c r="R180" s="59">
        <f t="shared" si="109"/>
        <v>293.33333333333701</v>
      </c>
      <c r="S180" s="59">
        <f ca="1">AVERAGE(OFFSET($R$3,0,0,'Données projet'!$E$9+1,1))-AVERAGE(OFFSET($H$3,0,0,'Données projet'!$E$9+1,1))</f>
        <v>212.98969326021802</v>
      </c>
      <c r="T180" s="59">
        <f t="shared" si="142"/>
        <v>422.91218020922895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4.0551783034645084</v>
      </c>
      <c r="AA180" s="21">
        <f>EXP(-LN(2)/25)*AA179+(1-EXP(-LN(2)/25))/(LN(2)/25)*Calculateur!V180*Calculateur!X180*VLOOKUP('Données projet'!$B$9,Paramètres!$A$1:$I$89,3,0)*0.475*44/12</f>
        <v>1.1469278073841076</v>
      </c>
      <c r="AB180" s="21">
        <f>EXP(-LN(2)/2)*AB179+(1-EXP(-LN(2)/2))/(LN(2)/2)*V180*Y180*VLOOKUP('Données projet'!$B$9,Paramètres!$A$1:$I$89,3,0)*0.475*44/12</f>
        <v>3.8417545734076997E-20</v>
      </c>
      <c r="AC180" s="22">
        <f t="shared" si="163"/>
        <v>5.2021061108486162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-7.9580786405131221E-13</v>
      </c>
      <c r="AJ180" s="13">
        <f>AI180*VLOOKUP('Données projet'!$B$10,Paramètres!$A$1:$I$89,3,0)*VLOOKUP('Données projet'!$B$10,Paramètres!$A$1:$I$89,5,0)</f>
        <v>-4.758931027026848E-13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318.09371753144256</v>
      </c>
      <c r="AO180" s="59">
        <f t="shared" si="144"/>
        <v>298.61479562586919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0.19034529579596748</v>
      </c>
      <c r="AV180" s="21">
        <f>EXP(-LN(2)/25)*AV179+(1-EXP(-LN(2)/25))/(LN(2)/25)*Calculateur!AQ180*Calculateur!AS180*VLOOKUP('Données projet'!$B$10,Paramètres!$A$1:$I$89,3,0)*0.475*44/12</f>
        <v>0.35091404721183772</v>
      </c>
      <c r="AW180" s="21">
        <f>EXP(-LN(2)/2)*AW179+(1-EXP(-LN(2)/2))/(LN(2)/2)*AQ180*AT180*VLOOKUP('Données projet'!$B$10,Paramètres!$A$1:$I$89,3,0)*0.475*44/12</f>
        <v>2.2647850040494259E-21</v>
      </c>
      <c r="AX180" s="21">
        <f t="shared" si="166"/>
        <v>0.5412593430078052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4.6111381379887463E-14</v>
      </c>
      <c r="BF180" s="13">
        <f t="shared" si="167"/>
        <v>7.5804141040779151E-13</v>
      </c>
      <c r="BG180" s="20">
        <f t="shared" si="168"/>
        <v>1.4005661123635408E-12</v>
      </c>
      <c r="BH180" s="59">
        <f t="shared" si="116"/>
        <v>293.33333333333474</v>
      </c>
      <c r="BI180" s="59">
        <f ca="1">AVERAGE(OFFSET($BH$3,0,0,'Données projet'!$E$11+1,1))-AVERAGE(OFFSET($H$3,0,0,'Données projet'!$E$11+1,1))</f>
        <v>230.68538392491388</v>
      </c>
      <c r="BJ180" s="59">
        <f t="shared" si="146"/>
        <v>267.97457956620724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0.14444024653378948</v>
      </c>
      <c r="BR180" s="21">
        <f>EXP(-LN(2)/2)*BR179+(1-EXP(-LN(2)/2))/(LN(2)/2)*BL180*BO180*VLOOKUP('Données projet'!$B$11,Paramètres!$A$1:$I$89,3,0)*0.475*44/12</f>
        <v>8.2149259454855273E-22</v>
      </c>
      <c r="BS180" s="22">
        <f t="shared" si="169"/>
        <v>0.14444024653378948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2.8421709430404007E-14</v>
      </c>
      <c r="BZ180" s="13">
        <f>BY180*VLOOKUP('Données projet'!$B$12,Paramètres!$A$1:$I$89,3,0)*VLOOKUP('Données projet'!$B$12,Paramètres!$A$1:$I$89,5,0)</f>
        <v>3.2366642699344085E-14</v>
      </c>
      <c r="CA180" s="13">
        <f t="shared" si="170"/>
        <v>5.5446527398450045E-13</v>
      </c>
      <c r="CB180" s="20">
        <f t="shared" si="171"/>
        <v>1.0220655882243624E-12</v>
      </c>
      <c r="CC180" s="59">
        <f t="shared" si="119"/>
        <v>293.33333333333434</v>
      </c>
      <c r="CD180" s="59">
        <f ca="1">AVERAGE(OFFSET($CC$3,0,0,'Données projet'!$E$12+1,1))-AVERAGE(OFFSET($H$3,0,0,'Données projet'!$E$12+1,1))</f>
        <v>242.1473060698724</v>
      </c>
      <c r="CE180" s="59">
        <f t="shared" si="148"/>
        <v>96.127995920458659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0</v>
      </c>
      <c r="CZ180" s="59">
        <f t="shared" si="150"/>
        <v>0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0</v>
      </c>
      <c r="DU180" s="59">
        <f t="shared" si="152"/>
        <v>0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1.3596945791505279E-13</v>
      </c>
      <c r="P181" s="13">
        <f t="shared" si="141"/>
        <v>1.9708830566360721E-12</v>
      </c>
      <c r="Q181" s="20">
        <f t="shared" si="162"/>
        <v>3.669434796176543E-12</v>
      </c>
      <c r="R181" s="59">
        <f t="shared" si="109"/>
        <v>293.33333333333701</v>
      </c>
      <c r="S181" s="59">
        <f ca="1">AVERAGE(OFFSET($R$3,0,0,'Données projet'!$E$9+1,1))-AVERAGE(OFFSET($H$3,0,0,'Données projet'!$E$9+1,1))</f>
        <v>212.98969326021802</v>
      </c>
      <c r="T181" s="59">
        <f t="shared" si="142"/>
        <v>422.91218020922895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3.9756587303481052</v>
      </c>
      <c r="AA181" s="21">
        <f>EXP(-LN(2)/25)*AA180+(1-EXP(-LN(2)/25))/(LN(2)/25)*Calculateur!V181*Calculateur!X181*VLOOKUP('Données projet'!$B$9,Paramètres!$A$1:$I$89,3,0)*0.475*44/12</f>
        <v>1.1155650061768771</v>
      </c>
      <c r="AB181" s="21">
        <f>EXP(-LN(2)/2)*AB180+(1-EXP(-LN(2)/2))/(LN(2)/2)*V181*Y181*VLOOKUP('Données projet'!$B$9,Paramètres!$A$1:$I$89,3,0)*0.475*44/12</f>
        <v>2.7165307105110165E-20</v>
      </c>
      <c r="AC181" s="22">
        <f t="shared" si="163"/>
        <v>5.0912237365249826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-7.9580786405131221E-13</v>
      </c>
      <c r="AJ181" s="13">
        <f>AI181*VLOOKUP('Données projet'!$B$10,Paramètres!$A$1:$I$89,3,0)*VLOOKUP('Données projet'!$B$10,Paramètres!$A$1:$I$89,5,0)</f>
        <v>-4.758931027026848E-13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318.09371753144256</v>
      </c>
      <c r="AO181" s="59">
        <f t="shared" si="144"/>
        <v>298.61479562586919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0.18661274064457517</v>
      </c>
      <c r="AV181" s="21">
        <f>EXP(-LN(2)/25)*AV180+(1-EXP(-LN(2)/25))/(LN(2)/25)*Calculateur!AQ181*Calculateur!AS181*VLOOKUP('Données projet'!$B$10,Paramètres!$A$1:$I$89,3,0)*0.475*44/12</f>
        <v>0.34131828413706228</v>
      </c>
      <c r="AW181" s="21">
        <f>EXP(-LN(2)/2)*AW180+(1-EXP(-LN(2)/2))/(LN(2)/2)*AQ181*AT181*VLOOKUP('Données projet'!$B$10,Paramètres!$A$1:$I$89,3,0)*0.475*44/12</f>
        <v>1.6014448342929516E-21</v>
      </c>
      <c r="AX181" s="21">
        <f t="shared" si="166"/>
        <v>0.52793102478163745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4.6111381379887463E-14</v>
      </c>
      <c r="BF181" s="13">
        <f t="shared" si="167"/>
        <v>7.5804141040779151E-13</v>
      </c>
      <c r="BG181" s="20">
        <f t="shared" si="168"/>
        <v>1.4005661123635408E-12</v>
      </c>
      <c r="BH181" s="59">
        <f t="shared" si="116"/>
        <v>293.33333333333474</v>
      </c>
      <c r="BI181" s="59">
        <f ca="1">AVERAGE(OFFSET($BH$3,0,0,'Données projet'!$E$11+1,1))-AVERAGE(OFFSET($H$3,0,0,'Données projet'!$E$11+1,1))</f>
        <v>230.68538392491388</v>
      </c>
      <c r="BJ181" s="59">
        <f t="shared" si="146"/>
        <v>267.97457956620724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0.14049052039654056</v>
      </c>
      <c r="BR181" s="21">
        <f>EXP(-LN(2)/2)*BR180+(1-EXP(-LN(2)/2))/(LN(2)/2)*BL181*BO181*VLOOKUP('Données projet'!$B$11,Paramètres!$A$1:$I$89,3,0)*0.475*44/12</f>
        <v>5.8088298429981267E-22</v>
      </c>
      <c r="BS181" s="22">
        <f t="shared" si="169"/>
        <v>0.14049052039654056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2.8421709430404007E-14</v>
      </c>
      <c r="BZ181" s="13">
        <f>BY181*VLOOKUP('Données projet'!$B$12,Paramètres!$A$1:$I$89,3,0)*VLOOKUP('Données projet'!$B$12,Paramètres!$A$1:$I$89,5,0)</f>
        <v>3.2366642699344085E-14</v>
      </c>
      <c r="CA181" s="13">
        <f t="shared" si="170"/>
        <v>5.5446527398450045E-13</v>
      </c>
      <c r="CB181" s="20">
        <f t="shared" si="171"/>
        <v>1.0220655882243624E-12</v>
      </c>
      <c r="CC181" s="59">
        <f t="shared" si="119"/>
        <v>293.33333333333434</v>
      </c>
      <c r="CD181" s="59">
        <f ca="1">AVERAGE(OFFSET($CC$3,0,0,'Données projet'!$E$12+1,1))-AVERAGE(OFFSET($H$3,0,0,'Données projet'!$E$12+1,1))</f>
        <v>242.1473060698724</v>
      </c>
      <c r="CE181" s="59">
        <f t="shared" si="148"/>
        <v>96.127995920458659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0</v>
      </c>
      <c r="CZ181" s="59">
        <f t="shared" si="150"/>
        <v>0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0</v>
      </c>
      <c r="DU181" s="59">
        <f t="shared" si="152"/>
        <v>0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1.3596945791505279E-13</v>
      </c>
      <c r="P182" s="13">
        <f t="shared" si="141"/>
        <v>1.9708830566360721E-12</v>
      </c>
      <c r="Q182" s="20">
        <f t="shared" si="162"/>
        <v>3.669434796176543E-12</v>
      </c>
      <c r="R182" s="59">
        <f t="shared" si="109"/>
        <v>293.33333333333701</v>
      </c>
      <c r="S182" s="59">
        <f ca="1">AVERAGE(OFFSET($R$3,0,0,'Données projet'!$E$9+1,1))-AVERAGE(OFFSET($H$3,0,0,'Données projet'!$E$9+1,1))</f>
        <v>212.98969326021802</v>
      </c>
      <c r="T182" s="59">
        <f t="shared" si="142"/>
        <v>422.91218020922895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3.897698487558364</v>
      </c>
      <c r="AA182" s="21">
        <f>EXP(-LN(2)/25)*AA181+(1-EXP(-LN(2)/25))/(LN(2)/25)*Calculateur!V182*Calculateur!X182*VLOOKUP('Données projet'!$B$9,Paramètres!$A$1:$I$89,3,0)*0.475*44/12</f>
        <v>1.0850598224179564</v>
      </c>
      <c r="AB182" s="21">
        <f>EXP(-LN(2)/2)*AB181+(1-EXP(-LN(2)/2))/(LN(2)/2)*V182*Y182*VLOOKUP('Données projet'!$B$9,Paramètres!$A$1:$I$89,3,0)*0.475*44/12</f>
        <v>1.9208772867038499E-20</v>
      </c>
      <c r="AC182" s="22">
        <f t="shared" si="163"/>
        <v>4.9827583099763206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-7.9580786405131221E-13</v>
      </c>
      <c r="AJ182" s="13">
        <f>AI182*VLOOKUP('Données projet'!$B$10,Paramètres!$A$1:$I$89,3,0)*VLOOKUP('Données projet'!$B$10,Paramètres!$A$1:$I$89,5,0)</f>
        <v>-4.758931027026848E-13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318.09371753144256</v>
      </c>
      <c r="AO182" s="59">
        <f t="shared" si="144"/>
        <v>298.61479562586919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0.18295337862306779</v>
      </c>
      <c r="AV182" s="21">
        <f>EXP(-LN(2)/25)*AV181+(1-EXP(-LN(2)/25))/(LN(2)/25)*Calculateur!AQ182*Calculateur!AS182*VLOOKUP('Données projet'!$B$10,Paramètres!$A$1:$I$89,3,0)*0.475*44/12</f>
        <v>0.33198491770818583</v>
      </c>
      <c r="AW182" s="21">
        <f>EXP(-LN(2)/2)*AW181+(1-EXP(-LN(2)/2))/(LN(2)/2)*AQ182*AT182*VLOOKUP('Données projet'!$B$10,Paramètres!$A$1:$I$89,3,0)*0.475*44/12</f>
        <v>1.132392502024713E-21</v>
      </c>
      <c r="AX182" s="21">
        <f t="shared" si="166"/>
        <v>0.51493829633125365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4.6111381379887463E-14</v>
      </c>
      <c r="BF182" s="13">
        <f t="shared" si="167"/>
        <v>7.5804141040779151E-13</v>
      </c>
      <c r="BG182" s="20">
        <f t="shared" si="168"/>
        <v>1.4005661123635408E-12</v>
      </c>
      <c r="BH182" s="59">
        <f t="shared" si="116"/>
        <v>293.33333333333474</v>
      </c>
      <c r="BI182" s="59">
        <f ca="1">AVERAGE(OFFSET($BH$3,0,0,'Données projet'!$E$11+1,1))-AVERAGE(OFFSET($H$3,0,0,'Données projet'!$E$11+1,1))</f>
        <v>230.68538392491388</v>
      </c>
      <c r="BJ182" s="59">
        <f t="shared" si="146"/>
        <v>267.97457956620724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0.13664879972822178</v>
      </c>
      <c r="BR182" s="21">
        <f>EXP(-LN(2)/2)*BR181+(1-EXP(-LN(2)/2))/(LN(2)/2)*BL182*BO182*VLOOKUP('Données projet'!$B$11,Paramètres!$A$1:$I$89,3,0)*0.475*44/12</f>
        <v>4.1074629727427636E-22</v>
      </c>
      <c r="BS182" s="22">
        <f t="shared" si="169"/>
        <v>0.13664879972822178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2.8421709430404007E-14</v>
      </c>
      <c r="BZ182" s="13">
        <f>BY182*VLOOKUP('Données projet'!$B$12,Paramètres!$A$1:$I$89,3,0)*VLOOKUP('Données projet'!$B$12,Paramètres!$A$1:$I$89,5,0)</f>
        <v>3.2366642699344085E-14</v>
      </c>
      <c r="CA182" s="13">
        <f t="shared" si="170"/>
        <v>5.5446527398450045E-13</v>
      </c>
      <c r="CB182" s="20">
        <f t="shared" si="171"/>
        <v>1.0220655882243624E-12</v>
      </c>
      <c r="CC182" s="59">
        <f t="shared" si="119"/>
        <v>293.33333333333434</v>
      </c>
      <c r="CD182" s="59">
        <f ca="1">AVERAGE(OFFSET($CC$3,0,0,'Données projet'!$E$12+1,1))-AVERAGE(OFFSET($H$3,0,0,'Données projet'!$E$12+1,1))</f>
        <v>242.1473060698724</v>
      </c>
      <c r="CE182" s="59">
        <f t="shared" si="148"/>
        <v>96.127995920458659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0</v>
      </c>
      <c r="CZ182" s="59">
        <f t="shared" si="150"/>
        <v>0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0</v>
      </c>
      <c r="DU182" s="59">
        <f t="shared" si="152"/>
        <v>0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1.3596945791505279E-13</v>
      </c>
      <c r="P183" s="13">
        <f t="shared" si="141"/>
        <v>1.9708830566360721E-12</v>
      </c>
      <c r="Q183" s="20">
        <f t="shared" si="162"/>
        <v>3.669434796176543E-12</v>
      </c>
      <c r="R183" s="59">
        <f t="shared" si="109"/>
        <v>293.33333333333701</v>
      </c>
      <c r="S183" s="59">
        <f ca="1">AVERAGE(OFFSET($R$3,0,0,'Données projet'!$E$9+1,1))-AVERAGE(OFFSET($H$3,0,0,'Données projet'!$E$9+1,1))</f>
        <v>212.98969326021802</v>
      </c>
      <c r="T183" s="59">
        <f t="shared" si="142"/>
        <v>422.91218020922895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3.821266997578677</v>
      </c>
      <c r="AA183" s="21">
        <f>EXP(-LN(2)/25)*AA182+(1-EXP(-LN(2)/25))/(LN(2)/25)*Calculateur!V183*Calculateur!X183*VLOOKUP('Données projet'!$B$9,Paramètres!$A$1:$I$89,3,0)*0.475*44/12</f>
        <v>1.0553888045131212</v>
      </c>
      <c r="AB183" s="21">
        <f>EXP(-LN(2)/2)*AB182+(1-EXP(-LN(2)/2))/(LN(2)/2)*V183*Y183*VLOOKUP('Données projet'!$B$9,Paramètres!$A$1:$I$89,3,0)*0.475*44/12</f>
        <v>1.3582653552555083E-20</v>
      </c>
      <c r="AC183" s="22">
        <f t="shared" si="163"/>
        <v>4.8766558020917987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-7.9580786405131221E-13</v>
      </c>
      <c r="AJ183" s="13">
        <f>AI183*VLOOKUP('Données projet'!$B$10,Paramètres!$A$1:$I$89,3,0)*VLOOKUP('Données projet'!$B$10,Paramètres!$A$1:$I$89,5,0)</f>
        <v>-4.758931027026848E-13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318.09371753144256</v>
      </c>
      <c r="AO183" s="59">
        <f t="shared" si="144"/>
        <v>298.61479562586919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0.17936577445881174</v>
      </c>
      <c r="AV183" s="21">
        <f>EXP(-LN(2)/25)*AV182+(1-EXP(-LN(2)/25))/(LN(2)/25)*Calculateur!AQ183*Calculateur!AS183*VLOOKUP('Données projet'!$B$10,Paramètres!$A$1:$I$89,3,0)*0.475*44/12</f>
        <v>0.32290677267512741</v>
      </c>
      <c r="AW183" s="21">
        <f>EXP(-LN(2)/2)*AW182+(1-EXP(-LN(2)/2))/(LN(2)/2)*AQ183*AT183*VLOOKUP('Données projet'!$B$10,Paramètres!$A$1:$I$89,3,0)*0.475*44/12</f>
        <v>8.0072241714647579E-22</v>
      </c>
      <c r="AX183" s="21">
        <f t="shared" si="166"/>
        <v>0.5022725471339391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4.6111381379887463E-14</v>
      </c>
      <c r="BF183" s="13">
        <f t="shared" si="167"/>
        <v>7.5804141040779151E-13</v>
      </c>
      <c r="BG183" s="20">
        <f t="shared" si="168"/>
        <v>1.4005661123635408E-12</v>
      </c>
      <c r="BH183" s="59">
        <f t="shared" si="116"/>
        <v>293.33333333333474</v>
      </c>
      <c r="BI183" s="59">
        <f ca="1">AVERAGE(OFFSET($BH$3,0,0,'Données projet'!$E$11+1,1))-AVERAGE(OFFSET($H$3,0,0,'Données projet'!$E$11+1,1))</f>
        <v>230.68538392491388</v>
      </c>
      <c r="BJ183" s="59">
        <f t="shared" si="146"/>
        <v>267.97457956620724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0.13291213111360548</v>
      </c>
      <c r="BR183" s="21">
        <f>EXP(-LN(2)/2)*BR182+(1-EXP(-LN(2)/2))/(LN(2)/2)*BL183*BO183*VLOOKUP('Données projet'!$B$11,Paramètres!$A$1:$I$89,3,0)*0.475*44/12</f>
        <v>2.9044149214990634E-22</v>
      </c>
      <c r="BS183" s="22">
        <f t="shared" si="169"/>
        <v>0.13291213111360548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2.8421709430404007E-14</v>
      </c>
      <c r="BZ183" s="13">
        <f>BY183*VLOOKUP('Données projet'!$B$12,Paramètres!$A$1:$I$89,3,0)*VLOOKUP('Données projet'!$B$12,Paramètres!$A$1:$I$89,5,0)</f>
        <v>3.2366642699344085E-14</v>
      </c>
      <c r="CA183" s="13">
        <f t="shared" si="170"/>
        <v>5.5446527398450045E-13</v>
      </c>
      <c r="CB183" s="20">
        <f t="shared" si="171"/>
        <v>1.0220655882243624E-12</v>
      </c>
      <c r="CC183" s="59">
        <f t="shared" si="119"/>
        <v>293.33333333333434</v>
      </c>
      <c r="CD183" s="59">
        <f ca="1">AVERAGE(OFFSET($CC$3,0,0,'Données projet'!$E$12+1,1))-AVERAGE(OFFSET($H$3,0,0,'Données projet'!$E$12+1,1))</f>
        <v>242.1473060698724</v>
      </c>
      <c r="CE183" s="59">
        <f t="shared" si="148"/>
        <v>96.127995920458659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0</v>
      </c>
      <c r="CZ183" s="59">
        <f t="shared" si="150"/>
        <v>0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0</v>
      </c>
      <c r="DU183" s="59">
        <f t="shared" si="152"/>
        <v>0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1.3596945791505279E-13</v>
      </c>
      <c r="P184" s="13">
        <f t="shared" si="141"/>
        <v>1.9708830566360721E-12</v>
      </c>
      <c r="Q184" s="20">
        <f t="shared" si="162"/>
        <v>3.669434796176543E-12</v>
      </c>
      <c r="R184" s="59">
        <f t="shared" si="109"/>
        <v>293.33333333333701</v>
      </c>
      <c r="S184" s="59">
        <f ca="1">AVERAGE(OFFSET($R$3,0,0,'Données projet'!$E$9+1,1))-AVERAGE(OFFSET($H$3,0,0,'Données projet'!$E$9+1,1))</f>
        <v>212.98969326021802</v>
      </c>
      <c r="T184" s="59">
        <f t="shared" si="142"/>
        <v>422.91218020922895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3.7463342824988861</v>
      </c>
      <c r="AA184" s="21">
        <f>EXP(-LN(2)/25)*AA183+(1-EXP(-LN(2)/25))/(LN(2)/25)*Calculateur!V184*Calculateur!X184*VLOOKUP('Données projet'!$B$9,Paramètres!$A$1:$I$89,3,0)*0.475*44/12</f>
        <v>1.0265291421532248</v>
      </c>
      <c r="AB184" s="21">
        <f>EXP(-LN(2)/2)*AB183+(1-EXP(-LN(2)/2))/(LN(2)/2)*V184*Y184*VLOOKUP('Données projet'!$B$9,Paramètres!$A$1:$I$89,3,0)*0.475*44/12</f>
        <v>9.6043864335192494E-21</v>
      </c>
      <c r="AC184" s="22">
        <f t="shared" si="163"/>
        <v>4.7728634246521109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-7.9580786405131221E-13</v>
      </c>
      <c r="AJ184" s="13">
        <f>AI184*VLOOKUP('Données projet'!$B$10,Paramètres!$A$1:$I$89,3,0)*VLOOKUP('Données projet'!$B$10,Paramètres!$A$1:$I$89,5,0)</f>
        <v>-4.758931027026848E-13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318.09371753144256</v>
      </c>
      <c r="AO184" s="59">
        <f t="shared" si="144"/>
        <v>298.61479562586919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0.17584852102399429</v>
      </c>
      <c r="AV184" s="21">
        <f>EXP(-LN(2)/25)*AV183+(1-EXP(-LN(2)/25))/(LN(2)/25)*Calculateur!AQ184*Calculateur!AS184*VLOOKUP('Données projet'!$B$10,Paramètres!$A$1:$I$89,3,0)*0.475*44/12</f>
        <v>0.31407686999539691</v>
      </c>
      <c r="AW184" s="21">
        <f>EXP(-LN(2)/2)*AW183+(1-EXP(-LN(2)/2))/(LN(2)/2)*AQ184*AT184*VLOOKUP('Données projet'!$B$10,Paramètres!$A$1:$I$89,3,0)*0.475*44/12</f>
        <v>5.6619625101235648E-22</v>
      </c>
      <c r="AX184" s="21">
        <f t="shared" si="166"/>
        <v>0.4899253910193912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4.6111381379887463E-14</v>
      </c>
      <c r="BF184" s="13">
        <f t="shared" si="167"/>
        <v>7.5804141040779151E-13</v>
      </c>
      <c r="BG184" s="20">
        <f t="shared" si="168"/>
        <v>1.4005661123635408E-12</v>
      </c>
      <c r="BH184" s="59">
        <f t="shared" si="116"/>
        <v>293.33333333333474</v>
      </c>
      <c r="BI184" s="59">
        <f ca="1">AVERAGE(OFFSET($BH$3,0,0,'Données projet'!$E$11+1,1))-AVERAGE(OFFSET($H$3,0,0,'Données projet'!$E$11+1,1))</f>
        <v>230.68538392491388</v>
      </c>
      <c r="BJ184" s="59">
        <f t="shared" si="146"/>
        <v>267.97457956620724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0.12927764189875873</v>
      </c>
      <c r="BR184" s="21">
        <f>EXP(-LN(2)/2)*BR183+(1-EXP(-LN(2)/2))/(LN(2)/2)*BL184*BO184*VLOOKUP('Données projet'!$B$11,Paramètres!$A$1:$I$89,3,0)*0.475*44/12</f>
        <v>2.0537314863713818E-22</v>
      </c>
      <c r="BS184" s="22">
        <f t="shared" si="169"/>
        <v>0.12927764189875873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2.8421709430404007E-14</v>
      </c>
      <c r="BZ184" s="13">
        <f>BY184*VLOOKUP('Données projet'!$B$12,Paramètres!$A$1:$I$89,3,0)*VLOOKUP('Données projet'!$B$12,Paramètres!$A$1:$I$89,5,0)</f>
        <v>3.2366642699344085E-14</v>
      </c>
      <c r="CA184" s="13">
        <f t="shared" si="170"/>
        <v>5.5446527398450045E-13</v>
      </c>
      <c r="CB184" s="20">
        <f t="shared" si="171"/>
        <v>1.0220655882243624E-12</v>
      </c>
      <c r="CC184" s="59">
        <f t="shared" si="119"/>
        <v>293.33333333333434</v>
      </c>
      <c r="CD184" s="59">
        <f ca="1">AVERAGE(OFFSET($CC$3,0,0,'Données projet'!$E$12+1,1))-AVERAGE(OFFSET($H$3,0,0,'Données projet'!$E$12+1,1))</f>
        <v>242.1473060698724</v>
      </c>
      <c r="CE184" s="59">
        <f t="shared" si="148"/>
        <v>96.127995920458659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0</v>
      </c>
      <c r="CZ184" s="59">
        <f t="shared" si="150"/>
        <v>0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0</v>
      </c>
      <c r="DU184" s="59">
        <f t="shared" si="152"/>
        <v>0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1.3596945791505279E-13</v>
      </c>
      <c r="P185" s="13">
        <f t="shared" si="141"/>
        <v>1.9708830566360721E-12</v>
      </c>
      <c r="Q185" s="20">
        <f t="shared" si="162"/>
        <v>3.669434796176543E-12</v>
      </c>
      <c r="R185" s="59">
        <f t="shared" si="109"/>
        <v>293.33333333333701</v>
      </c>
      <c r="S185" s="59">
        <f ca="1">AVERAGE(OFFSET($R$3,0,0,'Données projet'!$E$9+1,1))-AVERAGE(OFFSET($H$3,0,0,'Données projet'!$E$9+1,1))</f>
        <v>212.98969326021802</v>
      </c>
      <c r="T185" s="59">
        <f t="shared" si="142"/>
        <v>422.91218020922895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3.6728709522573664</v>
      </c>
      <c r="AA185" s="21">
        <f>EXP(-LN(2)/25)*AA184+(1-EXP(-LN(2)/25))/(LN(2)/25)*Calculateur!V185*Calculateur!X185*VLOOKUP('Données projet'!$B$9,Paramètres!$A$1:$I$89,3,0)*0.475*44/12</f>
        <v>0.99845864877822343</v>
      </c>
      <c r="AB185" s="21">
        <f>EXP(-LN(2)/2)*AB184+(1-EXP(-LN(2)/2))/(LN(2)/2)*V185*Y185*VLOOKUP('Données projet'!$B$9,Paramètres!$A$1:$I$89,3,0)*0.475*44/12</f>
        <v>6.7913267762775413E-21</v>
      </c>
      <c r="AC185" s="22">
        <f t="shared" si="163"/>
        <v>4.6713296010355894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-7.9580786405131221E-13</v>
      </c>
      <c r="AJ185" s="13">
        <f>AI185*VLOOKUP('Données projet'!$B$10,Paramètres!$A$1:$I$89,3,0)*VLOOKUP('Données projet'!$B$10,Paramètres!$A$1:$I$89,5,0)</f>
        <v>-4.758931027026848E-13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318.09371753144256</v>
      </c>
      <c r="AO185" s="59">
        <f t="shared" si="144"/>
        <v>298.61479562586919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0.17240023878372082</v>
      </c>
      <c r="AV185" s="21">
        <f>EXP(-LN(2)/25)*AV184+(1-EXP(-LN(2)/25))/(LN(2)/25)*Calculateur!AQ185*Calculateur!AS185*VLOOKUP('Données projet'!$B$10,Paramètres!$A$1:$I$89,3,0)*0.475*44/12</f>
        <v>0.30548842146878802</v>
      </c>
      <c r="AW185" s="21">
        <f>EXP(-LN(2)/2)*AW184+(1-EXP(-LN(2)/2))/(LN(2)/2)*AQ185*AT185*VLOOKUP('Données projet'!$B$10,Paramètres!$A$1:$I$89,3,0)*0.475*44/12</f>
        <v>4.003612085732379E-22</v>
      </c>
      <c r="AX185" s="21">
        <f t="shared" si="166"/>
        <v>0.47788866025250887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4.6111381379887463E-14</v>
      </c>
      <c r="BF185" s="13">
        <f t="shared" si="167"/>
        <v>7.5804141040779151E-13</v>
      </c>
      <c r="BG185" s="20">
        <f t="shared" si="168"/>
        <v>1.4005661123635408E-12</v>
      </c>
      <c r="BH185" s="59">
        <f t="shared" si="116"/>
        <v>293.33333333333474</v>
      </c>
      <c r="BI185" s="59">
        <f ca="1">AVERAGE(OFFSET($BH$3,0,0,'Données projet'!$E$11+1,1))-AVERAGE(OFFSET($H$3,0,0,'Données projet'!$E$11+1,1))</f>
        <v>230.68538392491388</v>
      </c>
      <c r="BJ185" s="59">
        <f t="shared" si="146"/>
        <v>267.97457956620724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0.12574253798262144</v>
      </c>
      <c r="BR185" s="21">
        <f>EXP(-LN(2)/2)*BR184+(1-EXP(-LN(2)/2))/(LN(2)/2)*BL185*BO185*VLOOKUP('Données projet'!$B$11,Paramètres!$A$1:$I$89,3,0)*0.475*44/12</f>
        <v>1.4522074607495317E-22</v>
      </c>
      <c r="BS185" s="22">
        <f t="shared" si="169"/>
        <v>0.12574253798262144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2.8421709430404007E-14</v>
      </c>
      <c r="BZ185" s="13">
        <f>BY185*VLOOKUP('Données projet'!$B$12,Paramètres!$A$1:$I$89,3,0)*VLOOKUP('Données projet'!$B$12,Paramètres!$A$1:$I$89,5,0)</f>
        <v>3.2366642699344085E-14</v>
      </c>
      <c r="CA185" s="13">
        <f t="shared" si="170"/>
        <v>5.5446527398450045E-13</v>
      </c>
      <c r="CB185" s="20">
        <f t="shared" si="171"/>
        <v>1.0220655882243624E-12</v>
      </c>
      <c r="CC185" s="59">
        <f t="shared" si="119"/>
        <v>293.33333333333434</v>
      </c>
      <c r="CD185" s="59">
        <f ca="1">AVERAGE(OFFSET($CC$3,0,0,'Données projet'!$E$12+1,1))-AVERAGE(OFFSET($H$3,0,0,'Données projet'!$E$12+1,1))</f>
        <v>242.1473060698724</v>
      </c>
      <c r="CE185" s="59">
        <f t="shared" si="148"/>
        <v>96.127995920458659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0</v>
      </c>
      <c r="CZ185" s="59">
        <f t="shared" si="150"/>
        <v>0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0</v>
      </c>
      <c r="DU185" s="59">
        <f t="shared" si="152"/>
        <v>0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1.3596945791505279E-13</v>
      </c>
      <c r="P186" s="13">
        <f t="shared" si="141"/>
        <v>1.9708830566360721E-12</v>
      </c>
      <c r="Q186" s="20">
        <f t="shared" si="162"/>
        <v>3.669434796176543E-12</v>
      </c>
      <c r="R186" s="59">
        <f t="shared" si="109"/>
        <v>293.33333333333701</v>
      </c>
      <c r="S186" s="59">
        <f ca="1">AVERAGE(OFFSET($R$3,0,0,'Données projet'!$E$9+1,1))-AVERAGE(OFFSET($H$3,0,0,'Données projet'!$E$9+1,1))</f>
        <v>212.98969326021802</v>
      </c>
      <c r="T186" s="59">
        <f t="shared" si="142"/>
        <v>422.91218020922895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3.6008481931136758</v>
      </c>
      <c r="AA186" s="21">
        <f>EXP(-LN(2)/25)*AA185+(1-EXP(-LN(2)/25))/(LN(2)/25)*Calculateur!V186*Calculateur!X186*VLOOKUP('Données projet'!$B$9,Paramètres!$A$1:$I$89,3,0)*0.475*44/12</f>
        <v>0.97115574452072462</v>
      </c>
      <c r="AB186" s="21">
        <f>EXP(-LN(2)/2)*AB185+(1-EXP(-LN(2)/2))/(LN(2)/2)*V186*Y186*VLOOKUP('Données projet'!$B$9,Paramètres!$A$1:$I$89,3,0)*0.475*44/12</f>
        <v>4.8021932167596247E-21</v>
      </c>
      <c r="AC186" s="22">
        <f t="shared" si="163"/>
        <v>4.5720039376344008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-7.9580786405131221E-13</v>
      </c>
      <c r="AJ186" s="13">
        <f>AI186*VLOOKUP('Données projet'!$B$10,Paramètres!$A$1:$I$89,3,0)*VLOOKUP('Données projet'!$B$10,Paramètres!$A$1:$I$89,5,0)</f>
        <v>-4.758931027026848E-13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318.09371753144256</v>
      </c>
      <c r="AO186" s="59">
        <f t="shared" si="144"/>
        <v>298.61479562586919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0.16901957525493463</v>
      </c>
      <c r="AV186" s="21">
        <f>EXP(-LN(2)/25)*AV185+(1-EXP(-LN(2)/25))/(LN(2)/25)*Calculateur!AQ186*Calculateur!AS186*VLOOKUP('Données projet'!$B$10,Paramètres!$A$1:$I$89,3,0)*0.475*44/12</f>
        <v>0.29713482451878614</v>
      </c>
      <c r="AW186" s="21">
        <f>EXP(-LN(2)/2)*AW185+(1-EXP(-LN(2)/2))/(LN(2)/2)*AQ186*AT186*VLOOKUP('Données projet'!$B$10,Paramètres!$A$1:$I$89,3,0)*0.475*44/12</f>
        <v>2.8309812550617824E-22</v>
      </c>
      <c r="AX186" s="21">
        <f t="shared" si="166"/>
        <v>0.46615439977372075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4.6111381379887463E-14</v>
      </c>
      <c r="BF186" s="13">
        <f t="shared" si="167"/>
        <v>7.5804141040779151E-13</v>
      </c>
      <c r="BG186" s="20">
        <f t="shared" si="168"/>
        <v>1.4005661123635408E-12</v>
      </c>
      <c r="BH186" s="59">
        <f t="shared" si="116"/>
        <v>293.33333333333474</v>
      </c>
      <c r="BI186" s="59">
        <f ca="1">AVERAGE(OFFSET($BH$3,0,0,'Données projet'!$E$11+1,1))-AVERAGE(OFFSET($H$3,0,0,'Données projet'!$E$11+1,1))</f>
        <v>230.68538392491388</v>
      </c>
      <c r="BJ186" s="59">
        <f t="shared" si="146"/>
        <v>267.97457956620724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0.12230410166897397</v>
      </c>
      <c r="BR186" s="21">
        <f>EXP(-LN(2)/2)*BR185+(1-EXP(-LN(2)/2))/(LN(2)/2)*BL186*BO186*VLOOKUP('Données projet'!$B$11,Paramètres!$A$1:$I$89,3,0)*0.475*44/12</f>
        <v>1.0268657431856909E-22</v>
      </c>
      <c r="BS186" s="22">
        <f t="shared" si="169"/>
        <v>0.12230410166897397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2.8421709430404007E-14</v>
      </c>
      <c r="BZ186" s="13">
        <f>BY186*VLOOKUP('Données projet'!$B$12,Paramètres!$A$1:$I$89,3,0)*VLOOKUP('Données projet'!$B$12,Paramètres!$A$1:$I$89,5,0)</f>
        <v>3.2366642699344085E-14</v>
      </c>
      <c r="CA186" s="13">
        <f t="shared" si="170"/>
        <v>5.5446527398450045E-13</v>
      </c>
      <c r="CB186" s="20">
        <f t="shared" si="171"/>
        <v>1.0220655882243624E-12</v>
      </c>
      <c r="CC186" s="59">
        <f t="shared" si="119"/>
        <v>293.33333333333434</v>
      </c>
      <c r="CD186" s="59">
        <f ca="1">AVERAGE(OFFSET($CC$3,0,0,'Données projet'!$E$12+1,1))-AVERAGE(OFFSET($H$3,0,0,'Données projet'!$E$12+1,1))</f>
        <v>242.1473060698724</v>
      </c>
      <c r="CE186" s="59">
        <f t="shared" si="148"/>
        <v>96.127995920458659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0</v>
      </c>
      <c r="CZ186" s="59">
        <f t="shared" si="150"/>
        <v>0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0</v>
      </c>
      <c r="DU186" s="59">
        <f t="shared" si="152"/>
        <v>0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1.3596945791505279E-13</v>
      </c>
      <c r="P187" s="13">
        <f t="shared" si="141"/>
        <v>1.9708830566360721E-12</v>
      </c>
      <c r="Q187" s="20">
        <f t="shared" si="162"/>
        <v>3.669434796176543E-12</v>
      </c>
      <c r="R187" s="59">
        <f t="shared" si="109"/>
        <v>293.33333333333701</v>
      </c>
      <c r="S187" s="59">
        <f ca="1">AVERAGE(OFFSET($R$3,0,0,'Données projet'!$E$9+1,1))-AVERAGE(OFFSET($H$3,0,0,'Données projet'!$E$9+1,1))</f>
        <v>212.98969326021802</v>
      </c>
      <c r="T187" s="59">
        <f t="shared" si="142"/>
        <v>422.91218020922895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3.5302377563472476</v>
      </c>
      <c r="AA187" s="21">
        <f>EXP(-LN(2)/25)*AA186+(1-EXP(-LN(2)/25))/(LN(2)/25)*Calculateur!V187*Calculateur!X187*VLOOKUP('Données projet'!$B$9,Paramètres!$A$1:$I$89,3,0)*0.475*44/12</f>
        <v>0.94459943961594439</v>
      </c>
      <c r="AB187" s="21">
        <f>EXP(-LN(2)/2)*AB186+(1-EXP(-LN(2)/2))/(LN(2)/2)*V187*Y187*VLOOKUP('Données projet'!$B$9,Paramètres!$A$1:$I$89,3,0)*0.475*44/12</f>
        <v>3.3956633881387707E-21</v>
      </c>
      <c r="AC187" s="22">
        <f t="shared" si="163"/>
        <v>4.4748371959631923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-7.9580786405131221E-13</v>
      </c>
      <c r="AJ187" s="13">
        <f>AI187*VLOOKUP('Données projet'!$B$10,Paramètres!$A$1:$I$89,3,0)*VLOOKUP('Données projet'!$B$10,Paramètres!$A$1:$I$89,5,0)</f>
        <v>-4.758931027026848E-13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318.09371753144256</v>
      </c>
      <c r="AO187" s="59">
        <f t="shared" si="144"/>
        <v>298.61479562586919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0.1657052044759468</v>
      </c>
      <c r="AV187" s="21">
        <f>EXP(-LN(2)/25)*AV186+(1-EXP(-LN(2)/25))/(LN(2)/25)*Calculateur!AQ187*Calculateur!AS187*VLOOKUP('Données projet'!$B$10,Paramètres!$A$1:$I$89,3,0)*0.475*44/12</f>
        <v>0.28900965711667864</v>
      </c>
      <c r="AW187" s="21">
        <f>EXP(-LN(2)/2)*AW186+(1-EXP(-LN(2)/2))/(LN(2)/2)*AQ187*AT187*VLOOKUP('Données projet'!$B$10,Paramètres!$A$1:$I$89,3,0)*0.475*44/12</f>
        <v>2.0018060428661895E-22</v>
      </c>
      <c r="AX187" s="21">
        <f t="shared" si="166"/>
        <v>0.45471486159262542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4.6111381379887463E-14</v>
      </c>
      <c r="BF187" s="13">
        <f t="shared" si="167"/>
        <v>7.5804141040779151E-13</v>
      </c>
      <c r="BG187" s="20">
        <f t="shared" si="168"/>
        <v>1.4005661123635408E-12</v>
      </c>
      <c r="BH187" s="59">
        <f t="shared" si="116"/>
        <v>293.33333333333474</v>
      </c>
      <c r="BI187" s="59">
        <f ca="1">AVERAGE(OFFSET($BH$3,0,0,'Données projet'!$E$11+1,1))-AVERAGE(OFFSET($H$3,0,0,'Données projet'!$E$11+1,1))</f>
        <v>230.68538392491388</v>
      </c>
      <c r="BJ187" s="59">
        <f t="shared" si="146"/>
        <v>267.97457956620724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0.1189596895771427</v>
      </c>
      <c r="BR187" s="21">
        <f>EXP(-LN(2)/2)*BR186+(1-EXP(-LN(2)/2))/(LN(2)/2)*BL187*BO187*VLOOKUP('Données projet'!$B$11,Paramètres!$A$1:$I$89,3,0)*0.475*44/12</f>
        <v>7.2610373037476584E-23</v>
      </c>
      <c r="BS187" s="22">
        <f t="shared" si="169"/>
        <v>0.1189596895771427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2.8421709430404007E-14</v>
      </c>
      <c r="BZ187" s="13">
        <f>BY187*VLOOKUP('Données projet'!$B$12,Paramètres!$A$1:$I$89,3,0)*VLOOKUP('Données projet'!$B$12,Paramètres!$A$1:$I$89,5,0)</f>
        <v>3.2366642699344085E-14</v>
      </c>
      <c r="CA187" s="13">
        <f t="shared" si="170"/>
        <v>5.5446527398450045E-13</v>
      </c>
      <c r="CB187" s="20">
        <f t="shared" si="171"/>
        <v>1.0220655882243624E-12</v>
      </c>
      <c r="CC187" s="59">
        <f t="shared" si="119"/>
        <v>293.33333333333434</v>
      </c>
      <c r="CD187" s="59">
        <f ca="1">AVERAGE(OFFSET($CC$3,0,0,'Données projet'!$E$12+1,1))-AVERAGE(OFFSET($H$3,0,0,'Données projet'!$E$12+1,1))</f>
        <v>242.1473060698724</v>
      </c>
      <c r="CE187" s="59">
        <f t="shared" si="148"/>
        <v>96.127995920458659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0</v>
      </c>
      <c r="CZ187" s="59">
        <f t="shared" si="150"/>
        <v>0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0</v>
      </c>
      <c r="DU187" s="59">
        <f t="shared" si="152"/>
        <v>0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1.3596945791505279E-13</v>
      </c>
      <c r="P188" s="13">
        <f t="shared" si="141"/>
        <v>1.9708830566360721E-12</v>
      </c>
      <c r="Q188" s="20">
        <f t="shared" si="162"/>
        <v>3.669434796176543E-12</v>
      </c>
      <c r="R188" s="59">
        <f t="shared" si="109"/>
        <v>293.33333333333701</v>
      </c>
      <c r="S188" s="59">
        <f ca="1">AVERAGE(OFFSET($R$3,0,0,'Données projet'!$E$9+1,1))-AVERAGE(OFFSET($H$3,0,0,'Données projet'!$E$9+1,1))</f>
        <v>212.98969326021802</v>
      </c>
      <c r="T188" s="59">
        <f t="shared" si="142"/>
        <v>422.91218020922895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3.4610119471776954</v>
      </c>
      <c r="AA188" s="21">
        <f>EXP(-LN(2)/25)*AA187+(1-EXP(-LN(2)/25))/(LN(2)/25)*Calculateur!V188*Calculateur!X188*VLOOKUP('Données projet'!$B$9,Paramètres!$A$1:$I$89,3,0)*0.475*44/12</f>
        <v>0.91876931826532082</v>
      </c>
      <c r="AB188" s="21">
        <f>EXP(-LN(2)/2)*AB187+(1-EXP(-LN(2)/2))/(LN(2)/2)*V188*Y188*VLOOKUP('Données projet'!$B$9,Paramètres!$A$1:$I$89,3,0)*0.475*44/12</f>
        <v>2.4010966083798123E-21</v>
      </c>
      <c r="AC188" s="22">
        <f t="shared" si="163"/>
        <v>4.3797812654430164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-7.9580786405131221E-13</v>
      </c>
      <c r="AJ188" s="13">
        <f>AI188*VLOOKUP('Données projet'!$B$10,Paramètres!$A$1:$I$89,3,0)*VLOOKUP('Données projet'!$B$10,Paramètres!$A$1:$I$89,5,0)</f>
        <v>-4.758931027026848E-13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318.09371753144256</v>
      </c>
      <c r="AO188" s="59">
        <f t="shared" si="144"/>
        <v>298.61479562586919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0.16245582648636836</v>
      </c>
      <c r="AV188" s="21">
        <f>EXP(-LN(2)/25)*AV187+(1-EXP(-LN(2)/25))/(LN(2)/25)*Calculateur!AQ188*Calculateur!AS188*VLOOKUP('Données projet'!$B$10,Paramètres!$A$1:$I$89,3,0)*0.475*44/12</f>
        <v>0.28110667284446572</v>
      </c>
      <c r="AW188" s="21">
        <f>EXP(-LN(2)/2)*AW187+(1-EXP(-LN(2)/2))/(LN(2)/2)*AQ188*AT188*VLOOKUP('Données projet'!$B$10,Paramètres!$A$1:$I$89,3,0)*0.475*44/12</f>
        <v>1.4154906275308912E-22</v>
      </c>
      <c r="AX188" s="21">
        <f t="shared" si="166"/>
        <v>0.44356249933083408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4.6111381379887463E-14</v>
      </c>
      <c r="BF188" s="13">
        <f t="shared" si="167"/>
        <v>7.5804141040779151E-13</v>
      </c>
      <c r="BG188" s="20">
        <f t="shared" si="168"/>
        <v>1.4005661123635408E-12</v>
      </c>
      <c r="BH188" s="59">
        <f t="shared" si="116"/>
        <v>293.33333333333474</v>
      </c>
      <c r="BI188" s="59">
        <f ca="1">AVERAGE(OFFSET($BH$3,0,0,'Données projet'!$E$11+1,1))-AVERAGE(OFFSET($H$3,0,0,'Données projet'!$E$11+1,1))</f>
        <v>230.68538392491388</v>
      </c>
      <c r="BJ188" s="59">
        <f t="shared" si="146"/>
        <v>267.97457956620724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0.11570673060983755</v>
      </c>
      <c r="BR188" s="21">
        <f>EXP(-LN(2)/2)*BR187+(1-EXP(-LN(2)/2))/(LN(2)/2)*BL188*BO188*VLOOKUP('Données projet'!$B$11,Paramètres!$A$1:$I$89,3,0)*0.475*44/12</f>
        <v>5.1343287159284546E-23</v>
      </c>
      <c r="BS188" s="22">
        <f t="shared" si="169"/>
        <v>0.11570673060983755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2.8421709430404007E-14</v>
      </c>
      <c r="BZ188" s="13">
        <f>BY188*VLOOKUP('Données projet'!$B$12,Paramètres!$A$1:$I$89,3,0)*VLOOKUP('Données projet'!$B$12,Paramètres!$A$1:$I$89,5,0)</f>
        <v>3.2366642699344085E-14</v>
      </c>
      <c r="CA188" s="13">
        <f t="shared" si="170"/>
        <v>5.5446527398450045E-13</v>
      </c>
      <c r="CB188" s="20">
        <f t="shared" si="171"/>
        <v>1.0220655882243624E-12</v>
      </c>
      <c r="CC188" s="59">
        <f t="shared" si="119"/>
        <v>293.33333333333434</v>
      </c>
      <c r="CD188" s="59">
        <f ca="1">AVERAGE(OFFSET($CC$3,0,0,'Données projet'!$E$12+1,1))-AVERAGE(OFFSET($H$3,0,0,'Données projet'!$E$12+1,1))</f>
        <v>242.1473060698724</v>
      </c>
      <c r="CE188" s="59">
        <f t="shared" si="148"/>
        <v>96.127995920458659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0</v>
      </c>
      <c r="CZ188" s="59">
        <f t="shared" si="150"/>
        <v>0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0</v>
      </c>
      <c r="DU188" s="59">
        <f t="shared" si="152"/>
        <v>0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1.3596945791505279E-13</v>
      </c>
      <c r="P189" s="13">
        <f t="shared" si="141"/>
        <v>1.9708830566360721E-12</v>
      </c>
      <c r="Q189" s="20">
        <f t="shared" si="162"/>
        <v>3.669434796176543E-12</v>
      </c>
      <c r="R189" s="59">
        <f t="shared" si="109"/>
        <v>293.33333333333701</v>
      </c>
      <c r="S189" s="59">
        <f ca="1">AVERAGE(OFFSET($R$3,0,0,'Données projet'!$E$9+1,1))-AVERAGE(OFFSET($H$3,0,0,'Données projet'!$E$9+1,1))</f>
        <v>212.98969326021802</v>
      </c>
      <c r="T189" s="59">
        <f t="shared" si="142"/>
        <v>422.91218020922895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3.3931436139023838</v>
      </c>
      <c r="AA189" s="21">
        <f>EXP(-LN(2)/25)*AA188+(1-EXP(-LN(2)/25))/(LN(2)/25)*Calculateur!V189*Calculateur!X189*VLOOKUP('Données projet'!$B$9,Paramètres!$A$1:$I$89,3,0)*0.475*44/12</f>
        <v>0.893645522941377</v>
      </c>
      <c r="AB189" s="21">
        <f>EXP(-LN(2)/2)*AB188+(1-EXP(-LN(2)/2))/(LN(2)/2)*V189*Y189*VLOOKUP('Données projet'!$B$9,Paramètres!$A$1:$I$89,3,0)*0.475*44/12</f>
        <v>1.6978316940693853E-21</v>
      </c>
      <c r="AC189" s="22">
        <f t="shared" si="163"/>
        <v>4.286789136843761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-7.9580786405131221E-13</v>
      </c>
      <c r="AJ189" s="13">
        <f>AI189*VLOOKUP('Données projet'!$B$10,Paramètres!$A$1:$I$89,3,0)*VLOOKUP('Données projet'!$B$10,Paramètres!$A$1:$I$89,5,0)</f>
        <v>-4.758931027026848E-13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318.09371753144256</v>
      </c>
      <c r="AO189" s="59">
        <f t="shared" si="144"/>
        <v>298.61479562586919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0.15927016681724068</v>
      </c>
      <c r="AV189" s="21">
        <f>EXP(-LN(2)/25)*AV188+(1-EXP(-LN(2)/25))/(LN(2)/25)*Calculateur!AQ189*Calculateur!AS189*VLOOKUP('Données projet'!$B$10,Paramètres!$A$1:$I$89,3,0)*0.475*44/12</f>
        <v>0.27341979609277633</v>
      </c>
      <c r="AW189" s="21">
        <f>EXP(-LN(2)/2)*AW188+(1-EXP(-LN(2)/2))/(LN(2)/2)*AQ189*AT189*VLOOKUP('Données projet'!$B$10,Paramètres!$A$1:$I$89,3,0)*0.475*44/12</f>
        <v>1.0009030214330947E-22</v>
      </c>
      <c r="AX189" s="21">
        <f t="shared" si="166"/>
        <v>0.43268996291001705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4.6111381379887463E-14</v>
      </c>
      <c r="BF189" s="13">
        <f t="shared" si="167"/>
        <v>7.5804141040779151E-13</v>
      </c>
      <c r="BG189" s="20">
        <f t="shared" si="168"/>
        <v>1.4005661123635408E-12</v>
      </c>
      <c r="BH189" s="59">
        <f t="shared" si="116"/>
        <v>293.33333333333474</v>
      </c>
      <c r="BI189" s="59">
        <f ca="1">AVERAGE(OFFSET($BH$3,0,0,'Données projet'!$E$11+1,1))-AVERAGE(OFFSET($H$3,0,0,'Données projet'!$E$11+1,1))</f>
        <v>230.68538392491388</v>
      </c>
      <c r="BJ189" s="59">
        <f t="shared" si="146"/>
        <v>267.97457956620724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0.11254272397655903</v>
      </c>
      <c r="BR189" s="21">
        <f>EXP(-LN(2)/2)*BR188+(1-EXP(-LN(2)/2))/(LN(2)/2)*BL189*BO189*VLOOKUP('Données projet'!$B$11,Paramètres!$A$1:$I$89,3,0)*0.475*44/12</f>
        <v>3.6305186518738292E-23</v>
      </c>
      <c r="BS189" s="22">
        <f t="shared" si="169"/>
        <v>0.11254272397655903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2.8421709430404007E-14</v>
      </c>
      <c r="BZ189" s="13">
        <f>BY189*VLOOKUP('Données projet'!$B$12,Paramètres!$A$1:$I$89,3,0)*VLOOKUP('Données projet'!$B$12,Paramètres!$A$1:$I$89,5,0)</f>
        <v>3.2366642699344085E-14</v>
      </c>
      <c r="CA189" s="13">
        <f t="shared" si="170"/>
        <v>5.5446527398450045E-13</v>
      </c>
      <c r="CB189" s="20">
        <f t="shared" si="171"/>
        <v>1.0220655882243624E-12</v>
      </c>
      <c r="CC189" s="59">
        <f t="shared" si="119"/>
        <v>293.33333333333434</v>
      </c>
      <c r="CD189" s="59">
        <f ca="1">AVERAGE(OFFSET($CC$3,0,0,'Données projet'!$E$12+1,1))-AVERAGE(OFFSET($H$3,0,0,'Données projet'!$E$12+1,1))</f>
        <v>242.1473060698724</v>
      </c>
      <c r="CE189" s="59">
        <f t="shared" si="148"/>
        <v>96.127995920458659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0</v>
      </c>
      <c r="CZ189" s="59">
        <f t="shared" si="150"/>
        <v>0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0</v>
      </c>
      <c r="DU189" s="59">
        <f t="shared" si="152"/>
        <v>0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1.3596945791505279E-13</v>
      </c>
      <c r="P190" s="13">
        <f t="shared" si="141"/>
        <v>1.9708830566360721E-12</v>
      </c>
      <c r="Q190" s="20">
        <f t="shared" si="162"/>
        <v>3.669434796176543E-12</v>
      </c>
      <c r="R190" s="59">
        <f t="shared" si="109"/>
        <v>293.33333333333701</v>
      </c>
      <c r="S190" s="59">
        <f ca="1">AVERAGE(OFFSET($R$3,0,0,'Données projet'!$E$9+1,1))-AVERAGE(OFFSET($H$3,0,0,'Données projet'!$E$9+1,1))</f>
        <v>212.98969326021802</v>
      </c>
      <c r="T190" s="59">
        <f t="shared" si="142"/>
        <v>422.91218020922895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3.3266061372470053</v>
      </c>
      <c r="AA190" s="21">
        <f>EXP(-LN(2)/25)*AA189+(1-EXP(-LN(2)/25))/(LN(2)/25)*Calculateur!V190*Calculateur!X190*VLOOKUP('Données projet'!$B$9,Paramètres!$A$1:$I$89,3,0)*0.475*44/12</f>
        <v>0.86920873912176944</v>
      </c>
      <c r="AB190" s="21">
        <f>EXP(-LN(2)/2)*AB189+(1-EXP(-LN(2)/2))/(LN(2)/2)*V190*Y190*VLOOKUP('Données projet'!$B$9,Paramètres!$A$1:$I$89,3,0)*0.475*44/12</f>
        <v>1.2005483041899062E-21</v>
      </c>
      <c r="AC190" s="22">
        <f t="shared" si="163"/>
        <v>4.1958148763687744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-7.9580786405131221E-13</v>
      </c>
      <c r="AJ190" s="13">
        <f>AI190*VLOOKUP('Données projet'!$B$10,Paramètres!$A$1:$I$89,3,0)*VLOOKUP('Données projet'!$B$10,Paramètres!$A$1:$I$89,5,0)</f>
        <v>-4.758931027026848E-13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318.09371753144256</v>
      </c>
      <c r="AO190" s="59">
        <f t="shared" si="144"/>
        <v>298.61479562586919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0.15614697599116406</v>
      </c>
      <c r="AV190" s="21">
        <f>EXP(-LN(2)/25)*AV189+(1-EXP(-LN(2)/25))/(LN(2)/25)*Calculateur!AQ190*Calculateur!AS190*VLOOKUP('Données projet'!$B$10,Paramètres!$A$1:$I$89,3,0)*0.475*44/12</f>
        <v>0.26594311739009718</v>
      </c>
      <c r="AW190" s="21">
        <f>EXP(-LN(2)/2)*AW189+(1-EXP(-LN(2)/2))/(LN(2)/2)*AQ190*AT190*VLOOKUP('Données projet'!$B$10,Paramètres!$A$1:$I$89,3,0)*0.475*44/12</f>
        <v>7.077453137654456E-23</v>
      </c>
      <c r="AX190" s="21">
        <f t="shared" si="166"/>
        <v>0.42209009338126124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4.6111381379887463E-14</v>
      </c>
      <c r="BF190" s="13">
        <f t="shared" si="167"/>
        <v>7.5804141040779151E-13</v>
      </c>
      <c r="BG190" s="20">
        <f t="shared" si="168"/>
        <v>1.4005661123635408E-12</v>
      </c>
      <c r="BH190" s="59">
        <f t="shared" si="116"/>
        <v>293.33333333333474</v>
      </c>
      <c r="BI190" s="59">
        <f ca="1">AVERAGE(OFFSET($BH$3,0,0,'Données projet'!$E$11+1,1))-AVERAGE(OFFSET($H$3,0,0,'Données projet'!$E$11+1,1))</f>
        <v>230.68538392491388</v>
      </c>
      <c r="BJ190" s="59">
        <f t="shared" si="146"/>
        <v>267.97457956620724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0.10946523727105538</v>
      </c>
      <c r="BR190" s="21">
        <f>EXP(-LN(2)/2)*BR189+(1-EXP(-LN(2)/2))/(LN(2)/2)*BL190*BO190*VLOOKUP('Données projet'!$B$11,Paramètres!$A$1:$I$89,3,0)*0.475*44/12</f>
        <v>2.5671643579642273E-23</v>
      </c>
      <c r="BS190" s="22">
        <f t="shared" si="169"/>
        <v>0.10946523727105538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2.8421709430404007E-14</v>
      </c>
      <c r="BZ190" s="13">
        <f>BY190*VLOOKUP('Données projet'!$B$12,Paramètres!$A$1:$I$89,3,0)*VLOOKUP('Données projet'!$B$12,Paramètres!$A$1:$I$89,5,0)</f>
        <v>3.2366642699344085E-14</v>
      </c>
      <c r="CA190" s="13">
        <f t="shared" si="170"/>
        <v>5.5446527398450045E-13</v>
      </c>
      <c r="CB190" s="20">
        <f t="shared" si="171"/>
        <v>1.0220655882243624E-12</v>
      </c>
      <c r="CC190" s="59">
        <f t="shared" si="119"/>
        <v>293.33333333333434</v>
      </c>
      <c r="CD190" s="59">
        <f ca="1">AVERAGE(OFFSET($CC$3,0,0,'Données projet'!$E$12+1,1))-AVERAGE(OFFSET($H$3,0,0,'Données projet'!$E$12+1,1))</f>
        <v>242.1473060698724</v>
      </c>
      <c r="CE190" s="59">
        <f t="shared" si="148"/>
        <v>96.127995920458659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0</v>
      </c>
      <c r="CZ190" s="59">
        <f t="shared" si="150"/>
        <v>0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0</v>
      </c>
      <c r="DU190" s="59">
        <f t="shared" si="152"/>
        <v>0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1.3596945791505279E-13</v>
      </c>
      <c r="P191" s="13">
        <f t="shared" si="141"/>
        <v>1.9708830566360721E-12</v>
      </c>
      <c r="Q191" s="20">
        <f t="shared" si="162"/>
        <v>3.669434796176543E-12</v>
      </c>
      <c r="R191" s="59">
        <f t="shared" si="109"/>
        <v>293.33333333333701</v>
      </c>
      <c r="S191" s="59">
        <f ca="1">AVERAGE(OFFSET($R$3,0,0,'Données projet'!$E$9+1,1))-AVERAGE(OFFSET($H$3,0,0,'Données projet'!$E$9+1,1))</f>
        <v>212.98969326021802</v>
      </c>
      <c r="T191" s="59">
        <f t="shared" si="142"/>
        <v>422.91218020922895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3.2613734199249853</v>
      </c>
      <c r="AA191" s="21">
        <f>EXP(-LN(2)/25)*AA190+(1-EXP(-LN(2)/25))/(LN(2)/25)*Calculateur!V191*Calculateur!X191*VLOOKUP('Données projet'!$B$9,Paramètres!$A$1:$I$89,3,0)*0.475*44/12</f>
        <v>0.84544018044078362</v>
      </c>
      <c r="AB191" s="21">
        <f>EXP(-LN(2)/2)*AB190+(1-EXP(-LN(2)/2))/(LN(2)/2)*V191*Y191*VLOOKUP('Données projet'!$B$9,Paramètres!$A$1:$I$89,3,0)*0.475*44/12</f>
        <v>8.4891584703469267E-22</v>
      </c>
      <c r="AC191" s="22">
        <f t="shared" si="163"/>
        <v>4.1068136003657685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-7.9580786405131221E-13</v>
      </c>
      <c r="AJ191" s="13">
        <f>AI191*VLOOKUP('Données projet'!$B$10,Paramètres!$A$1:$I$89,3,0)*VLOOKUP('Données projet'!$B$10,Paramètres!$A$1:$I$89,5,0)</f>
        <v>-4.758931027026848E-13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318.09371753144256</v>
      </c>
      <c r="AO191" s="59">
        <f t="shared" si="144"/>
        <v>298.61479562586919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0.15308502903222848</v>
      </c>
      <c r="AV191" s="21">
        <f>EXP(-LN(2)/25)*AV190+(1-EXP(-LN(2)/25))/(LN(2)/25)*Calculateur!AQ191*Calculateur!AS191*VLOOKUP('Données projet'!$B$10,Paramètres!$A$1:$I$89,3,0)*0.475*44/12</f>
        <v>0.25867088885972428</v>
      </c>
      <c r="AW191" s="21">
        <f>EXP(-LN(2)/2)*AW190+(1-EXP(-LN(2)/2))/(LN(2)/2)*AQ191*AT191*VLOOKUP('Données projet'!$B$10,Paramètres!$A$1:$I$89,3,0)*0.475*44/12</f>
        <v>5.0045151071654737E-23</v>
      </c>
      <c r="AX191" s="21">
        <f t="shared" si="166"/>
        <v>0.41175591789195276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4.6111381379887463E-14</v>
      </c>
      <c r="BF191" s="13">
        <f t="shared" si="167"/>
        <v>7.5804141040779151E-13</v>
      </c>
      <c r="BG191" s="20">
        <f t="shared" si="168"/>
        <v>1.4005661123635408E-12</v>
      </c>
      <c r="BH191" s="59">
        <f t="shared" si="116"/>
        <v>293.33333333333474</v>
      </c>
      <c r="BI191" s="59">
        <f ca="1">AVERAGE(OFFSET($BH$3,0,0,'Données projet'!$E$11+1,1))-AVERAGE(OFFSET($H$3,0,0,'Données projet'!$E$11+1,1))</f>
        <v>230.68538392491388</v>
      </c>
      <c r="BJ191" s="59">
        <f t="shared" si="146"/>
        <v>267.97457956620724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0.10647190460135172</v>
      </c>
      <c r="BR191" s="21">
        <f>EXP(-LN(2)/2)*BR190+(1-EXP(-LN(2)/2))/(LN(2)/2)*BL191*BO191*VLOOKUP('Données projet'!$B$11,Paramètres!$A$1:$I$89,3,0)*0.475*44/12</f>
        <v>1.8152593259369146E-23</v>
      </c>
      <c r="BS191" s="22">
        <f t="shared" si="169"/>
        <v>0.10647190460135172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2.8421709430404007E-14</v>
      </c>
      <c r="BZ191" s="13">
        <f>BY191*VLOOKUP('Données projet'!$B$12,Paramètres!$A$1:$I$89,3,0)*VLOOKUP('Données projet'!$B$12,Paramètres!$A$1:$I$89,5,0)</f>
        <v>3.2366642699344085E-14</v>
      </c>
      <c r="CA191" s="13">
        <f t="shared" si="170"/>
        <v>5.5446527398450045E-13</v>
      </c>
      <c r="CB191" s="20">
        <f t="shared" si="171"/>
        <v>1.0220655882243624E-12</v>
      </c>
      <c r="CC191" s="59">
        <f t="shared" si="119"/>
        <v>293.33333333333434</v>
      </c>
      <c r="CD191" s="59">
        <f ca="1">AVERAGE(OFFSET($CC$3,0,0,'Données projet'!$E$12+1,1))-AVERAGE(OFFSET($H$3,0,0,'Données projet'!$E$12+1,1))</f>
        <v>242.1473060698724</v>
      </c>
      <c r="CE191" s="59">
        <f t="shared" si="148"/>
        <v>96.127995920458659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0</v>
      </c>
      <c r="CZ191" s="59">
        <f t="shared" si="150"/>
        <v>0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0</v>
      </c>
      <c r="DU191" s="59">
        <f t="shared" si="152"/>
        <v>0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1.3596945791505279E-13</v>
      </c>
      <c r="P192" s="13">
        <f t="shared" si="141"/>
        <v>1.9708830566360721E-12</v>
      </c>
      <c r="Q192" s="20">
        <f t="shared" si="162"/>
        <v>3.669434796176543E-12</v>
      </c>
      <c r="R192" s="59">
        <f t="shared" si="109"/>
        <v>293.33333333333701</v>
      </c>
      <c r="S192" s="59">
        <f ca="1">AVERAGE(OFFSET($R$3,0,0,'Données projet'!$E$9+1,1))-AVERAGE(OFFSET($H$3,0,0,'Données projet'!$E$9+1,1))</f>
        <v>212.98969326021802</v>
      </c>
      <c r="T192" s="59">
        <f t="shared" si="142"/>
        <v>422.91218020922895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3.1974198764016211</v>
      </c>
      <c r="AA192" s="21">
        <f>EXP(-LN(2)/25)*AA191+(1-EXP(-LN(2)/25))/(LN(2)/25)*Calculateur!V192*Calculateur!X192*VLOOKUP('Données projet'!$B$9,Paramètres!$A$1:$I$89,3,0)*0.475*44/12</f>
        <v>0.82232157424686358</v>
      </c>
      <c r="AB192" s="21">
        <f>EXP(-LN(2)/2)*AB191+(1-EXP(-LN(2)/2))/(LN(2)/2)*V192*Y192*VLOOKUP('Données projet'!$B$9,Paramètres!$A$1:$I$89,3,0)*0.475*44/12</f>
        <v>6.0027415209495309E-22</v>
      </c>
      <c r="AC192" s="22">
        <f t="shared" si="163"/>
        <v>4.0197414506484845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-7.9580786405131221E-13</v>
      </c>
      <c r="AJ192" s="13">
        <f>AI192*VLOOKUP('Données projet'!$B$10,Paramètres!$A$1:$I$89,3,0)*VLOOKUP('Données projet'!$B$10,Paramètres!$A$1:$I$89,5,0)</f>
        <v>-4.758931027026848E-13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318.09371753144256</v>
      </c>
      <c r="AO192" s="59">
        <f t="shared" si="144"/>
        <v>298.61479562586919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0.1500831249855544</v>
      </c>
      <c r="AV192" s="21">
        <f>EXP(-LN(2)/25)*AV191+(1-EXP(-LN(2)/25))/(LN(2)/25)*Calculateur!AQ192*Calculateur!AS192*VLOOKUP('Données projet'!$B$10,Paramètres!$A$1:$I$89,3,0)*0.475*44/12</f>
        <v>0.25159751980094425</v>
      </c>
      <c r="AW192" s="21">
        <f>EXP(-LN(2)/2)*AW191+(1-EXP(-LN(2)/2))/(LN(2)/2)*AQ192*AT192*VLOOKUP('Données projet'!$B$10,Paramètres!$A$1:$I$89,3,0)*0.475*44/12</f>
        <v>3.538726568827228E-23</v>
      </c>
      <c r="AX192" s="21">
        <f t="shared" si="166"/>
        <v>0.40168064478649868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4.6111381379887463E-14</v>
      </c>
      <c r="BF192" s="13">
        <f t="shared" si="167"/>
        <v>7.5804141040779151E-13</v>
      </c>
      <c r="BG192" s="20">
        <f t="shared" si="168"/>
        <v>1.4005661123635408E-12</v>
      </c>
      <c r="BH192" s="59">
        <f t="shared" si="116"/>
        <v>293.33333333333474</v>
      </c>
      <c r="BI192" s="59">
        <f ca="1">AVERAGE(OFFSET($BH$3,0,0,'Données projet'!$E$11+1,1))-AVERAGE(OFFSET($H$3,0,0,'Données projet'!$E$11+1,1))</f>
        <v>230.68538392491388</v>
      </c>
      <c r="BJ192" s="59">
        <f t="shared" si="146"/>
        <v>267.97457956620724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0.10356042477091364</v>
      </c>
      <c r="BR192" s="21">
        <f>EXP(-LN(2)/2)*BR191+(1-EXP(-LN(2)/2))/(LN(2)/2)*BL192*BO192*VLOOKUP('Données projet'!$B$11,Paramètres!$A$1:$I$89,3,0)*0.475*44/12</f>
        <v>1.2835821789821136E-23</v>
      </c>
      <c r="BS192" s="22">
        <f t="shared" si="169"/>
        <v>0.10356042477091364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2.8421709430404007E-14</v>
      </c>
      <c r="BZ192" s="13">
        <f>BY192*VLOOKUP('Données projet'!$B$12,Paramètres!$A$1:$I$89,3,0)*VLOOKUP('Données projet'!$B$12,Paramètres!$A$1:$I$89,5,0)</f>
        <v>3.2366642699344085E-14</v>
      </c>
      <c r="CA192" s="13">
        <f t="shared" si="170"/>
        <v>5.5446527398450045E-13</v>
      </c>
      <c r="CB192" s="20">
        <f t="shared" si="171"/>
        <v>1.0220655882243624E-12</v>
      </c>
      <c r="CC192" s="59">
        <f t="shared" si="119"/>
        <v>293.33333333333434</v>
      </c>
      <c r="CD192" s="59">
        <f ca="1">AVERAGE(OFFSET($CC$3,0,0,'Données projet'!$E$12+1,1))-AVERAGE(OFFSET($H$3,0,0,'Données projet'!$E$12+1,1))</f>
        <v>242.1473060698724</v>
      </c>
      <c r="CE192" s="59">
        <f t="shared" si="148"/>
        <v>96.127995920458659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0</v>
      </c>
      <c r="CZ192" s="59">
        <f t="shared" si="150"/>
        <v>0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0</v>
      </c>
      <c r="DU192" s="59">
        <f t="shared" si="152"/>
        <v>0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1.3596945791505279E-13</v>
      </c>
      <c r="P193" s="13">
        <f t="shared" si="141"/>
        <v>1.9708830566360721E-12</v>
      </c>
      <c r="Q193" s="20">
        <f t="shared" si="162"/>
        <v>3.669434796176543E-12</v>
      </c>
      <c r="R193" s="59">
        <f t="shared" si="109"/>
        <v>293.33333333333701</v>
      </c>
      <c r="S193" s="59">
        <f ca="1">AVERAGE(OFFSET($R$3,0,0,'Données projet'!$E$9+1,1))-AVERAGE(OFFSET($H$3,0,0,'Données projet'!$E$9+1,1))</f>
        <v>212.98969326021802</v>
      </c>
      <c r="T193" s="59">
        <f t="shared" si="142"/>
        <v>422.91218020922895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3.1347204228589405</v>
      </c>
      <c r="AA193" s="21">
        <f>EXP(-LN(2)/25)*AA192+(1-EXP(-LN(2)/25))/(LN(2)/25)*Calculateur!V193*Calculateur!X193*VLOOKUP('Données projet'!$B$9,Paramètres!$A$1:$I$89,3,0)*0.475*44/12</f>
        <v>0.7998351475550709</v>
      </c>
      <c r="AB193" s="21">
        <f>EXP(-LN(2)/2)*AB192+(1-EXP(-LN(2)/2))/(LN(2)/2)*V193*Y193*VLOOKUP('Données projet'!$B$9,Paramètres!$A$1:$I$89,3,0)*0.475*44/12</f>
        <v>4.2445792351734633E-22</v>
      </c>
      <c r="AC193" s="22">
        <f t="shared" si="163"/>
        <v>3.9345555704140116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-7.9580786405131221E-13</v>
      </c>
      <c r="AJ193" s="13">
        <f>AI193*VLOOKUP('Données projet'!$B$10,Paramètres!$A$1:$I$89,3,0)*VLOOKUP('Données projet'!$B$10,Paramètres!$A$1:$I$89,5,0)</f>
        <v>-4.758931027026848E-13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318.09371753144256</v>
      </c>
      <c r="AO193" s="59">
        <f t="shared" si="144"/>
        <v>298.61479562586919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0.14714008644625493</v>
      </c>
      <c r="AV193" s="21">
        <f>EXP(-LN(2)/25)*AV192+(1-EXP(-LN(2)/25))/(LN(2)/25)*Calculateur!AQ193*Calculateur!AS193*VLOOKUP('Données projet'!$B$10,Paramètres!$A$1:$I$89,3,0)*0.475*44/12</f>
        <v>0.24471757239104888</v>
      </c>
      <c r="AW193" s="21">
        <f>EXP(-LN(2)/2)*AW192+(1-EXP(-LN(2)/2))/(LN(2)/2)*AQ193*AT193*VLOOKUP('Données projet'!$B$10,Paramètres!$A$1:$I$89,3,0)*0.475*44/12</f>
        <v>2.5022575535827369E-23</v>
      </c>
      <c r="AX193" s="21">
        <f t="shared" si="166"/>
        <v>0.39185765883730383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4.6111381379887463E-14</v>
      </c>
      <c r="BF193" s="13">
        <f t="shared" si="167"/>
        <v>7.5804141040779151E-13</v>
      </c>
      <c r="BG193" s="20">
        <f t="shared" si="168"/>
        <v>1.4005661123635408E-12</v>
      </c>
      <c r="BH193" s="59">
        <f t="shared" si="116"/>
        <v>293.33333333333474</v>
      </c>
      <c r="BI193" s="59">
        <f ca="1">AVERAGE(OFFSET($BH$3,0,0,'Données projet'!$E$11+1,1))-AVERAGE(OFFSET($H$3,0,0,'Données projet'!$E$11+1,1))</f>
        <v>230.68538392491388</v>
      </c>
      <c r="BJ193" s="59">
        <f t="shared" si="146"/>
        <v>267.97457956620724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0.10072855950954696</v>
      </c>
      <c r="BR193" s="21">
        <f>EXP(-LN(2)/2)*BR192+(1-EXP(-LN(2)/2))/(LN(2)/2)*BL193*BO193*VLOOKUP('Données projet'!$B$11,Paramètres!$A$1:$I$89,3,0)*0.475*44/12</f>
        <v>9.076296629684573E-24</v>
      </c>
      <c r="BS193" s="22">
        <f t="shared" si="169"/>
        <v>0.10072855950954696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2.8421709430404007E-14</v>
      </c>
      <c r="BZ193" s="13">
        <f>BY193*VLOOKUP('Données projet'!$B$12,Paramètres!$A$1:$I$89,3,0)*VLOOKUP('Données projet'!$B$12,Paramètres!$A$1:$I$89,5,0)</f>
        <v>3.2366642699344085E-14</v>
      </c>
      <c r="CA193" s="13">
        <f t="shared" si="170"/>
        <v>5.5446527398450045E-13</v>
      </c>
      <c r="CB193" s="20">
        <f t="shared" si="171"/>
        <v>1.0220655882243624E-12</v>
      </c>
      <c r="CC193" s="59">
        <f t="shared" si="119"/>
        <v>293.33333333333434</v>
      </c>
      <c r="CD193" s="59">
        <f ca="1">AVERAGE(OFFSET($CC$3,0,0,'Données projet'!$E$12+1,1))-AVERAGE(OFFSET($H$3,0,0,'Données projet'!$E$12+1,1))</f>
        <v>242.1473060698724</v>
      </c>
      <c r="CE193" s="59">
        <f t="shared" si="148"/>
        <v>96.127995920458659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0</v>
      </c>
      <c r="CZ193" s="59">
        <f t="shared" si="150"/>
        <v>0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0</v>
      </c>
      <c r="DU193" s="59">
        <f t="shared" si="152"/>
        <v>0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1.3596945791505279E-13</v>
      </c>
      <c r="P194" s="13">
        <f t="shared" si="141"/>
        <v>1.9708830566360721E-12</v>
      </c>
      <c r="Q194" s="20">
        <f t="shared" si="162"/>
        <v>3.669434796176543E-12</v>
      </c>
      <c r="R194" s="59">
        <f t="shared" si="109"/>
        <v>293.33333333333701</v>
      </c>
      <c r="S194" s="59">
        <f ca="1">AVERAGE(OFFSET($R$3,0,0,'Données projet'!$E$9+1,1))-AVERAGE(OFFSET($H$3,0,0,'Données projet'!$E$9+1,1))</f>
        <v>212.98969326021802</v>
      </c>
      <c r="T194" s="59">
        <f t="shared" si="142"/>
        <v>422.91218020922895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3.0732504673573411</v>
      </c>
      <c r="AA194" s="21">
        <f>EXP(-LN(2)/25)*AA193+(1-EXP(-LN(2)/25))/(LN(2)/25)*Calculateur!V194*Calculateur!X194*VLOOKUP('Données projet'!$B$9,Paramètres!$A$1:$I$89,3,0)*0.475*44/12</f>
        <v>0.77796361338367515</v>
      </c>
      <c r="AB194" s="21">
        <f>EXP(-LN(2)/2)*AB193+(1-EXP(-LN(2)/2))/(LN(2)/2)*V194*Y194*VLOOKUP('Données projet'!$B$9,Paramètres!$A$1:$I$89,3,0)*0.475*44/12</f>
        <v>3.0013707604747654E-22</v>
      </c>
      <c r="AC194" s="22">
        <f t="shared" si="163"/>
        <v>3.8512140807410162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-7.9580786405131221E-13</v>
      </c>
      <c r="AJ194" s="13">
        <f>AI194*VLOOKUP('Données projet'!$B$10,Paramètres!$A$1:$I$89,3,0)*VLOOKUP('Données projet'!$B$10,Paramètres!$A$1:$I$89,5,0)</f>
        <v>-4.758931027026848E-13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318.09371753144256</v>
      </c>
      <c r="AO194" s="59">
        <f t="shared" si="144"/>
        <v>298.61479562586919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0.14425475909763485</v>
      </c>
      <c r="AV194" s="21">
        <f>EXP(-LN(2)/25)*AV193+(1-EXP(-LN(2)/25))/(LN(2)/25)*Calculateur!AQ194*Calculateur!AS194*VLOOKUP('Données projet'!$B$10,Paramètres!$A$1:$I$89,3,0)*0.475*44/12</f>
        <v>0.23802575750487784</v>
      </c>
      <c r="AW194" s="21">
        <f>EXP(-LN(2)/2)*AW193+(1-EXP(-LN(2)/2))/(LN(2)/2)*AQ194*AT194*VLOOKUP('Données projet'!$B$10,Paramètres!$A$1:$I$89,3,0)*0.475*44/12</f>
        <v>1.769363284413614E-23</v>
      </c>
      <c r="AX194" s="21">
        <f t="shared" si="166"/>
        <v>0.38228051660251272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4.6111381379887463E-14</v>
      </c>
      <c r="BF194" s="13">
        <f t="shared" si="167"/>
        <v>7.5804141040779151E-13</v>
      </c>
      <c r="BG194" s="20">
        <f t="shared" si="168"/>
        <v>1.4005661123635408E-12</v>
      </c>
      <c r="BH194" s="59">
        <f t="shared" si="116"/>
        <v>293.33333333333474</v>
      </c>
      <c r="BI194" s="59">
        <f ca="1">AVERAGE(OFFSET($BH$3,0,0,'Données projet'!$E$11+1,1))-AVERAGE(OFFSET($H$3,0,0,'Données projet'!$E$11+1,1))</f>
        <v>230.68538392491388</v>
      </c>
      <c r="BJ194" s="59">
        <f t="shared" si="146"/>
        <v>267.97457956620724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9.7974131752673665E-2</v>
      </c>
      <c r="BR194" s="21">
        <f>EXP(-LN(2)/2)*BR193+(1-EXP(-LN(2)/2))/(LN(2)/2)*BL194*BO194*VLOOKUP('Données projet'!$B$11,Paramètres!$A$1:$I$89,3,0)*0.475*44/12</f>
        <v>6.4179108949105682E-24</v>
      </c>
      <c r="BS194" s="22">
        <f t="shared" si="169"/>
        <v>9.7974131752673665E-2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2.8421709430404007E-14</v>
      </c>
      <c r="BZ194" s="13">
        <f>BY194*VLOOKUP('Données projet'!$B$12,Paramètres!$A$1:$I$89,3,0)*VLOOKUP('Données projet'!$B$12,Paramètres!$A$1:$I$89,5,0)</f>
        <v>3.2366642699344085E-14</v>
      </c>
      <c r="CA194" s="13">
        <f t="shared" si="170"/>
        <v>5.5446527398450045E-13</v>
      </c>
      <c r="CB194" s="20">
        <f t="shared" si="171"/>
        <v>1.0220655882243624E-12</v>
      </c>
      <c r="CC194" s="59">
        <f t="shared" si="119"/>
        <v>293.33333333333434</v>
      </c>
      <c r="CD194" s="59">
        <f ca="1">AVERAGE(OFFSET($CC$3,0,0,'Données projet'!$E$12+1,1))-AVERAGE(OFFSET($H$3,0,0,'Données projet'!$E$12+1,1))</f>
        <v>242.1473060698724</v>
      </c>
      <c r="CE194" s="59">
        <f t="shared" si="148"/>
        <v>96.127995920458659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0</v>
      </c>
      <c r="CZ194" s="59">
        <f t="shared" si="150"/>
        <v>0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0</v>
      </c>
      <c r="DU194" s="59">
        <f t="shared" si="152"/>
        <v>0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1.3596945791505279E-13</v>
      </c>
      <c r="P195" s="13">
        <f t="shared" si="141"/>
        <v>1.9708830566360721E-12</v>
      </c>
      <c r="Q195" s="20">
        <f t="shared" si="162"/>
        <v>3.669434796176543E-12</v>
      </c>
      <c r="R195" s="59">
        <f t="shared" ref="R195:R203" si="191">Q195+(I195+J195)*44/12</f>
        <v>293.33333333333701</v>
      </c>
      <c r="S195" s="59">
        <f ca="1">AVERAGE(OFFSET($R$3,0,0,'Données projet'!$E$9+1,1))-AVERAGE(OFFSET($H$3,0,0,'Données projet'!$E$9+1,1))</f>
        <v>212.98969326021802</v>
      </c>
      <c r="T195" s="59">
        <f t="shared" si="142"/>
        <v>422.91218020922895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3.0129859001901576</v>
      </c>
      <c r="AA195" s="21">
        <f>EXP(-LN(2)/25)*AA194+(1-EXP(-LN(2)/25))/(LN(2)/25)*Calculateur!V195*Calculateur!X195*VLOOKUP('Données projet'!$B$9,Paramètres!$A$1:$I$89,3,0)*0.475*44/12</f>
        <v>0.75669015746437018</v>
      </c>
      <c r="AB195" s="21">
        <f>EXP(-LN(2)/2)*AB194+(1-EXP(-LN(2)/2))/(LN(2)/2)*V195*Y195*VLOOKUP('Données projet'!$B$9,Paramètres!$A$1:$I$89,3,0)*0.475*44/12</f>
        <v>2.1222896175867317E-22</v>
      </c>
      <c r="AC195" s="22">
        <f t="shared" si="163"/>
        <v>3.7696760576545278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-7.9580786405131221E-13</v>
      </c>
      <c r="AJ195" s="13">
        <f>AI195*VLOOKUP('Données projet'!$B$10,Paramètres!$A$1:$I$89,3,0)*VLOOKUP('Données projet'!$B$10,Paramètres!$A$1:$I$89,5,0)</f>
        <v>-4.758931027026848E-13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318.09371753144256</v>
      </c>
      <c r="AO195" s="59">
        <f t="shared" si="144"/>
        <v>298.61479562586919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0.14142601125844531</v>
      </c>
      <c r="AV195" s="21">
        <f>EXP(-LN(2)/25)*AV194+(1-EXP(-LN(2)/25))/(LN(2)/25)*Calculateur!AQ195*Calculateur!AS195*VLOOKUP('Données projet'!$B$10,Paramètres!$A$1:$I$89,3,0)*0.475*44/12</f>
        <v>0.23151693064867637</v>
      </c>
      <c r="AW195" s="21">
        <f>EXP(-LN(2)/2)*AW194+(1-EXP(-LN(2)/2))/(LN(2)/2)*AQ195*AT195*VLOOKUP('Données projet'!$B$10,Paramètres!$A$1:$I$89,3,0)*0.475*44/12</f>
        <v>1.2511287767913684E-23</v>
      </c>
      <c r="AX195" s="21">
        <f t="shared" si="166"/>
        <v>0.37294294190712168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4.6111381379887463E-14</v>
      </c>
      <c r="BF195" s="13">
        <f t="shared" si="167"/>
        <v>7.5804141040779151E-13</v>
      </c>
      <c r="BG195" s="20">
        <f t="shared" si="168"/>
        <v>1.4005661123635408E-12</v>
      </c>
      <c r="BH195" s="59">
        <f t="shared" si="116"/>
        <v>293.33333333333474</v>
      </c>
      <c r="BI195" s="59">
        <f ca="1">AVERAGE(OFFSET($BH$3,0,0,'Données projet'!$E$11+1,1))-AVERAGE(OFFSET($H$3,0,0,'Données projet'!$E$11+1,1))</f>
        <v>230.68538392491388</v>
      </c>
      <c r="BJ195" s="59">
        <f t="shared" si="146"/>
        <v>267.97457956620724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9.5295023967661138E-2</v>
      </c>
      <c r="BR195" s="21">
        <f>EXP(-LN(2)/2)*BR194+(1-EXP(-LN(2)/2))/(LN(2)/2)*BL195*BO195*VLOOKUP('Données projet'!$B$11,Paramètres!$A$1:$I$89,3,0)*0.475*44/12</f>
        <v>4.5381483148422865E-24</v>
      </c>
      <c r="BS195" s="22">
        <f t="shared" si="169"/>
        <v>9.5295023967661138E-2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2.8421709430404007E-14</v>
      </c>
      <c r="BZ195" s="13">
        <f>BY195*VLOOKUP('Données projet'!$B$12,Paramètres!$A$1:$I$89,3,0)*VLOOKUP('Données projet'!$B$12,Paramètres!$A$1:$I$89,5,0)</f>
        <v>3.2366642699344085E-14</v>
      </c>
      <c r="CA195" s="13">
        <f t="shared" si="170"/>
        <v>5.5446527398450045E-13</v>
      </c>
      <c r="CB195" s="20">
        <f t="shared" si="171"/>
        <v>1.0220655882243624E-12</v>
      </c>
      <c r="CC195" s="59">
        <f t="shared" si="119"/>
        <v>293.33333333333434</v>
      </c>
      <c r="CD195" s="59">
        <f ca="1">AVERAGE(OFFSET($CC$3,0,0,'Données projet'!$E$12+1,1))-AVERAGE(OFFSET($H$3,0,0,'Données projet'!$E$12+1,1))</f>
        <v>242.1473060698724</v>
      </c>
      <c r="CE195" s="59">
        <f t="shared" si="148"/>
        <v>96.127995920458659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0</v>
      </c>
      <c r="CZ195" s="59">
        <f t="shared" si="150"/>
        <v>0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0</v>
      </c>
      <c r="DU195" s="59">
        <f t="shared" si="152"/>
        <v>0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1.3596945791505279E-13</v>
      </c>
      <c r="P196" s="13">
        <f t="shared" si="141"/>
        <v>1.9708830566360721E-12</v>
      </c>
      <c r="Q196" s="20">
        <f t="shared" si="162"/>
        <v>3.669434796176543E-12</v>
      </c>
      <c r="R196" s="59">
        <f t="shared" si="191"/>
        <v>293.33333333333701</v>
      </c>
      <c r="S196" s="59">
        <f ca="1">AVERAGE(OFFSET($R$3,0,0,'Données projet'!$E$9+1,1))-AVERAGE(OFFSET($H$3,0,0,'Données projet'!$E$9+1,1))</f>
        <v>212.98969326021802</v>
      </c>
      <c r="T196" s="59">
        <f t="shared" si="142"/>
        <v>422.91218020922895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2.9539030844273659</v>
      </c>
      <c r="AA196" s="21">
        <f>EXP(-LN(2)/25)*AA195+(1-EXP(-LN(2)/25))/(LN(2)/25)*Calculateur!V196*Calculateur!X196*VLOOKUP('Données projet'!$B$9,Paramètres!$A$1:$I$89,3,0)*0.475*44/12</f>
        <v>0.73599842531590098</v>
      </c>
      <c r="AB196" s="21">
        <f>EXP(-LN(2)/2)*AB195+(1-EXP(-LN(2)/2))/(LN(2)/2)*V196*Y196*VLOOKUP('Données projet'!$B$9,Paramètres!$A$1:$I$89,3,0)*0.475*44/12</f>
        <v>1.5006853802373827E-22</v>
      </c>
      <c r="AC196" s="22">
        <f t="shared" si="163"/>
        <v>3.689901509743267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-7.9580786405131221E-13</v>
      </c>
      <c r="AJ196" s="13">
        <f>AI196*VLOOKUP('Données projet'!$B$10,Paramètres!$A$1:$I$89,3,0)*VLOOKUP('Données projet'!$B$10,Paramètres!$A$1:$I$89,5,0)</f>
        <v>-4.758931027026848E-13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318.09371753144256</v>
      </c>
      <c r="AO196" s="59">
        <f t="shared" si="144"/>
        <v>298.61479562586919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0.13865273343901646</v>
      </c>
      <c r="AV196" s="21">
        <f>EXP(-LN(2)/25)*AV195+(1-EXP(-LN(2)/25))/(LN(2)/25)*Calculateur!AQ196*Calculateur!AS196*VLOOKUP('Données projet'!$B$10,Paramètres!$A$1:$I$89,3,0)*0.475*44/12</f>
        <v>0.22518608800514206</v>
      </c>
      <c r="AW196" s="21">
        <f>EXP(-LN(2)/2)*AW195+(1-EXP(-LN(2)/2))/(LN(2)/2)*AQ196*AT196*VLOOKUP('Données projet'!$B$10,Paramètres!$A$1:$I$89,3,0)*0.475*44/12</f>
        <v>8.84681642206807E-24</v>
      </c>
      <c r="AX196" s="21">
        <f t="shared" si="166"/>
        <v>0.36383882144415852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4.6111381379887463E-14</v>
      </c>
      <c r="BF196" s="13">
        <f t="shared" si="167"/>
        <v>7.5804141040779151E-13</v>
      </c>
      <c r="BG196" s="20">
        <f t="shared" si="168"/>
        <v>1.4005661123635408E-12</v>
      </c>
      <c r="BH196" s="59">
        <f t="shared" ref="BH196:BH203" si="194">BG196+(AY196+AZ196)*44/12</f>
        <v>293.33333333333474</v>
      </c>
      <c r="BI196" s="59">
        <f ca="1">AVERAGE(OFFSET($BH$3,0,0,'Données projet'!$E$11+1,1))-AVERAGE(OFFSET($H$3,0,0,'Données projet'!$E$11+1,1))</f>
        <v>230.68538392491388</v>
      </c>
      <c r="BJ196" s="59">
        <f t="shared" si="146"/>
        <v>267.97457956620724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9.2689176525917932E-2</v>
      </c>
      <c r="BR196" s="21">
        <f>EXP(-LN(2)/2)*BR195+(1-EXP(-LN(2)/2))/(LN(2)/2)*BL196*BO196*VLOOKUP('Données projet'!$B$11,Paramètres!$A$1:$I$89,3,0)*0.475*44/12</f>
        <v>3.2089554474552841E-24</v>
      </c>
      <c r="BS196" s="22">
        <f t="shared" si="169"/>
        <v>9.2689176525917932E-2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2.8421709430404007E-14</v>
      </c>
      <c r="BZ196" s="13">
        <f>BY196*VLOOKUP('Données projet'!$B$12,Paramètres!$A$1:$I$89,3,0)*VLOOKUP('Données projet'!$B$12,Paramètres!$A$1:$I$89,5,0)</f>
        <v>3.2366642699344085E-14</v>
      </c>
      <c r="CA196" s="13">
        <f t="shared" si="170"/>
        <v>5.5446527398450045E-13</v>
      </c>
      <c r="CB196" s="20">
        <f t="shared" si="171"/>
        <v>1.0220655882243624E-12</v>
      </c>
      <c r="CC196" s="59">
        <f t="shared" ref="CC196:CC203" si="195">CB196+(BT196+BU196)*44/12</f>
        <v>293.33333333333434</v>
      </c>
      <c r="CD196" s="59">
        <f ca="1">AVERAGE(OFFSET($CC$3,0,0,'Données projet'!$E$12+1,1))-AVERAGE(OFFSET($H$3,0,0,'Données projet'!$E$12+1,1))</f>
        <v>242.1473060698724</v>
      </c>
      <c r="CE196" s="59">
        <f t="shared" si="148"/>
        <v>96.127995920458659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0</v>
      </c>
      <c r="CZ196" s="59">
        <f t="shared" si="150"/>
        <v>0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0</v>
      </c>
      <c r="DU196" s="59">
        <f t="shared" si="152"/>
        <v>0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1.3596945791505279E-13</v>
      </c>
      <c r="P197" s="13">
        <f t="shared" ref="P197:P203" si="203">EXP(-1.0587+0.8836*LN(O197)+0.284)</f>
        <v>1.9708830566360721E-12</v>
      </c>
      <c r="Q197" s="20">
        <f t="shared" si="162"/>
        <v>3.669434796176543E-12</v>
      </c>
      <c r="R197" s="59">
        <f t="shared" si="191"/>
        <v>293.33333333333701</v>
      </c>
      <c r="S197" s="59">
        <f ca="1">AVERAGE(OFFSET($R$3,0,0,'Données projet'!$E$9+1,1))-AVERAGE(OFFSET($H$3,0,0,'Données projet'!$E$9+1,1))</f>
        <v>212.98969326021802</v>
      </c>
      <c r="T197" s="59">
        <f t="shared" ref="T197:T203" si="204">$T$3</f>
        <v>422.91218020922895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2.8959788466447236</v>
      </c>
      <c r="AA197" s="21">
        <f>EXP(-LN(2)/25)*AA196+(1-EXP(-LN(2)/25))/(LN(2)/25)*Calculateur!V197*Calculateur!X197*VLOOKUP('Données projet'!$B$9,Paramètres!$A$1:$I$89,3,0)*0.475*44/12</f>
        <v>0.71587250967116267</v>
      </c>
      <c r="AB197" s="21">
        <f>EXP(-LN(2)/2)*AB196+(1-EXP(-LN(2)/2))/(LN(2)/2)*V197*Y197*VLOOKUP('Données projet'!$B$9,Paramètres!$A$1:$I$89,3,0)*0.475*44/12</f>
        <v>1.0611448087933658E-22</v>
      </c>
      <c r="AC197" s="22">
        <f t="shared" si="163"/>
        <v>3.6118513563158863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-7.9580786405131221E-13</v>
      </c>
      <c r="AJ197" s="13">
        <f>AI197*VLOOKUP('Données projet'!$B$10,Paramètres!$A$1:$I$89,3,0)*VLOOKUP('Données projet'!$B$10,Paramètres!$A$1:$I$89,5,0)</f>
        <v>-4.758931027026848E-13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318.09371753144256</v>
      </c>
      <c r="AO197" s="59">
        <f t="shared" ref="AO197:AO203" si="205">$AO$3</f>
        <v>298.61479562586919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0.13593383790609417</v>
      </c>
      <c r="AV197" s="21">
        <f>EXP(-LN(2)/25)*AV196+(1-EXP(-LN(2)/25))/(LN(2)/25)*Calculateur!AQ197*Calculateur!AS197*VLOOKUP('Données projet'!$B$10,Paramètres!$A$1:$I$89,3,0)*0.475*44/12</f>
        <v>0.21902836258661976</v>
      </c>
      <c r="AW197" s="21">
        <f>EXP(-LN(2)/2)*AW196+(1-EXP(-LN(2)/2))/(LN(2)/2)*AQ197*AT197*VLOOKUP('Données projet'!$B$10,Paramètres!$A$1:$I$89,3,0)*0.475*44/12</f>
        <v>6.2556438839568421E-24</v>
      </c>
      <c r="AX197" s="21">
        <f t="shared" si="166"/>
        <v>0.35496220049271393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4.6111381379887463E-14</v>
      </c>
      <c r="BF197" s="13">
        <f t="shared" si="167"/>
        <v>7.5804141040779151E-13</v>
      </c>
      <c r="BG197" s="20">
        <f t="shared" si="168"/>
        <v>1.4005661123635408E-12</v>
      </c>
      <c r="BH197" s="59">
        <f t="shared" si="194"/>
        <v>293.33333333333474</v>
      </c>
      <c r="BI197" s="59">
        <f ca="1">AVERAGE(OFFSET($BH$3,0,0,'Données projet'!$E$11+1,1))-AVERAGE(OFFSET($H$3,0,0,'Données projet'!$E$11+1,1))</f>
        <v>230.68538392491388</v>
      </c>
      <c r="BJ197" s="59">
        <f t="shared" ref="BJ197:BJ203" si="206">$BJ$3</f>
        <v>267.97457956620724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9.0154586119504762E-2</v>
      </c>
      <c r="BR197" s="21">
        <f>EXP(-LN(2)/2)*BR196+(1-EXP(-LN(2)/2))/(LN(2)/2)*BL197*BO197*VLOOKUP('Données projet'!$B$11,Paramètres!$A$1:$I$89,3,0)*0.475*44/12</f>
        <v>2.2690741574211432E-24</v>
      </c>
      <c r="BS197" s="22">
        <f t="shared" si="169"/>
        <v>9.0154586119504762E-2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2.8421709430404007E-14</v>
      </c>
      <c r="BZ197" s="13">
        <f>BY197*VLOOKUP('Données projet'!$B$12,Paramètres!$A$1:$I$89,3,0)*VLOOKUP('Données projet'!$B$12,Paramètres!$A$1:$I$89,5,0)</f>
        <v>3.2366642699344085E-14</v>
      </c>
      <c r="CA197" s="13">
        <f t="shared" si="170"/>
        <v>5.5446527398450045E-13</v>
      </c>
      <c r="CB197" s="20">
        <f t="shared" si="171"/>
        <v>1.0220655882243624E-12</v>
      </c>
      <c r="CC197" s="59">
        <f t="shared" si="195"/>
        <v>293.33333333333434</v>
      </c>
      <c r="CD197" s="59">
        <f ca="1">AVERAGE(OFFSET($CC$3,0,0,'Données projet'!$E$12+1,1))-AVERAGE(OFFSET($H$3,0,0,'Données projet'!$E$12+1,1))</f>
        <v>242.1473060698724</v>
      </c>
      <c r="CE197" s="59">
        <f t="shared" ref="CE197:CE203" si="207">$CE$3</f>
        <v>96.127995920458659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0</v>
      </c>
      <c r="CZ197" s="59">
        <f t="shared" ref="CZ197:CZ203" si="208">$CZ$3</f>
        <v>0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0</v>
      </c>
      <c r="DU197" s="59">
        <f t="shared" ref="DU197:DU203" si="209">$DU$3</f>
        <v>0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1.3596945791505279E-13</v>
      </c>
      <c r="P198" s="13">
        <f t="shared" si="203"/>
        <v>1.9708830566360721E-12</v>
      </c>
      <c r="Q198" s="20">
        <f t="shared" si="162"/>
        <v>3.669434796176543E-12</v>
      </c>
      <c r="R198" s="59">
        <f t="shared" si="191"/>
        <v>293.33333333333701</v>
      </c>
      <c r="S198" s="59">
        <f ca="1">AVERAGE(OFFSET($R$3,0,0,'Données projet'!$E$9+1,1))-AVERAGE(OFFSET($H$3,0,0,'Données projet'!$E$9+1,1))</f>
        <v>212.98969326021802</v>
      </c>
      <c r="T198" s="59">
        <f t="shared" si="204"/>
        <v>422.91218020922895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2.8391904678347024</v>
      </c>
      <c r="AA198" s="21">
        <f>EXP(-LN(2)/25)*AA197+(1-EXP(-LN(2)/25))/(LN(2)/25)*Calculateur!V198*Calculateur!X198*VLOOKUP('Données projet'!$B$9,Paramètres!$A$1:$I$89,3,0)*0.475*44/12</f>
        <v>0.69629693824810557</v>
      </c>
      <c r="AB198" s="21">
        <f>EXP(-LN(2)/2)*AB197+(1-EXP(-LN(2)/2))/(LN(2)/2)*V198*Y198*VLOOKUP('Données projet'!$B$9,Paramètres!$A$1:$I$89,3,0)*0.475*44/12</f>
        <v>7.5034269011869136E-23</v>
      </c>
      <c r="AC198" s="22">
        <f t="shared" si="163"/>
        <v>3.5354874060828081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-7.9580786405131221E-13</v>
      </c>
      <c r="AJ198" s="13">
        <f>AI198*VLOOKUP('Données projet'!$B$10,Paramètres!$A$1:$I$89,3,0)*VLOOKUP('Données projet'!$B$10,Paramètres!$A$1:$I$89,5,0)</f>
        <v>-4.758931027026848E-13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318.09371753144256</v>
      </c>
      <c r="AO198" s="59">
        <f t="shared" si="205"/>
        <v>298.61479562586919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0.13326825825620997</v>
      </c>
      <c r="AV198" s="21">
        <f>EXP(-LN(2)/25)*AV197+(1-EXP(-LN(2)/25))/(LN(2)/25)*Calculateur!AQ198*Calculateur!AS198*VLOOKUP('Données projet'!$B$10,Paramètres!$A$1:$I$89,3,0)*0.475*44/12</f>
        <v>0.21303902049348764</v>
      </c>
      <c r="AW198" s="21">
        <f>EXP(-LN(2)/2)*AW197+(1-EXP(-LN(2)/2))/(LN(2)/2)*AQ198*AT198*VLOOKUP('Données projet'!$B$10,Paramètres!$A$1:$I$89,3,0)*0.475*44/12</f>
        <v>4.423408211034035E-24</v>
      </c>
      <c r="AX198" s="21">
        <f t="shared" si="166"/>
        <v>0.34630727874969758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4.6111381379887463E-14</v>
      </c>
      <c r="BF198" s="13">
        <f t="shared" si="167"/>
        <v>7.5804141040779151E-13</v>
      </c>
      <c r="BG198" s="20">
        <f t="shared" si="168"/>
        <v>1.4005661123635408E-12</v>
      </c>
      <c r="BH198" s="59">
        <f t="shared" si="194"/>
        <v>293.33333333333474</v>
      </c>
      <c r="BI198" s="59">
        <f ca="1">AVERAGE(OFFSET($BH$3,0,0,'Données projet'!$E$11+1,1))-AVERAGE(OFFSET($H$3,0,0,'Données projet'!$E$11+1,1))</f>
        <v>230.68538392491388</v>
      </c>
      <c r="BJ198" s="59">
        <f t="shared" si="206"/>
        <v>267.97457956620724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8.7689304221043277E-2</v>
      </c>
      <c r="BR198" s="21">
        <f>EXP(-LN(2)/2)*BR197+(1-EXP(-LN(2)/2))/(LN(2)/2)*BL198*BO198*VLOOKUP('Données projet'!$B$11,Paramètres!$A$1:$I$89,3,0)*0.475*44/12</f>
        <v>1.604477723727642E-24</v>
      </c>
      <c r="BS198" s="22">
        <f t="shared" si="169"/>
        <v>8.7689304221043277E-2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2.8421709430404007E-14</v>
      </c>
      <c r="BZ198" s="13">
        <f>BY198*VLOOKUP('Données projet'!$B$12,Paramètres!$A$1:$I$89,3,0)*VLOOKUP('Données projet'!$B$12,Paramètres!$A$1:$I$89,5,0)</f>
        <v>3.2366642699344085E-14</v>
      </c>
      <c r="CA198" s="13">
        <f t="shared" si="170"/>
        <v>5.5446527398450045E-13</v>
      </c>
      <c r="CB198" s="20">
        <f t="shared" si="171"/>
        <v>1.0220655882243624E-12</v>
      </c>
      <c r="CC198" s="59">
        <f t="shared" si="195"/>
        <v>293.33333333333434</v>
      </c>
      <c r="CD198" s="59">
        <f ca="1">AVERAGE(OFFSET($CC$3,0,0,'Données projet'!$E$12+1,1))-AVERAGE(OFFSET($H$3,0,0,'Données projet'!$E$12+1,1))</f>
        <v>242.1473060698724</v>
      </c>
      <c r="CE198" s="59">
        <f t="shared" si="207"/>
        <v>96.127995920458659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0</v>
      </c>
      <c r="CZ198" s="59">
        <f t="shared" si="208"/>
        <v>0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0</v>
      </c>
      <c r="DU198" s="59">
        <f t="shared" si="209"/>
        <v>0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1.3596945791505279E-13</v>
      </c>
      <c r="P199" s="13">
        <f t="shared" si="203"/>
        <v>1.9708830566360721E-12</v>
      </c>
      <c r="Q199" s="20">
        <f t="shared" si="162"/>
        <v>3.669434796176543E-12</v>
      </c>
      <c r="R199" s="59">
        <f t="shared" si="191"/>
        <v>293.33333333333701</v>
      </c>
      <c r="S199" s="59">
        <f ca="1">AVERAGE(OFFSET($R$3,0,0,'Données projet'!$E$9+1,1))-AVERAGE(OFFSET($H$3,0,0,'Données projet'!$E$9+1,1))</f>
        <v>212.98969326021802</v>
      </c>
      <c r="T199" s="59">
        <f t="shared" si="204"/>
        <v>422.91218020922895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2.7835156744956548</v>
      </c>
      <c r="AA199" s="21">
        <f>EXP(-LN(2)/25)*AA198+(1-EXP(-LN(2)/25))/(LN(2)/25)*Calculateur!V199*Calculateur!X199*VLOOKUP('Données projet'!$B$9,Paramètres!$A$1:$I$89,3,0)*0.475*44/12</f>
        <v>0.67725666185504652</v>
      </c>
      <c r="AB199" s="21">
        <f>EXP(-LN(2)/2)*AB198+(1-EXP(-LN(2)/2))/(LN(2)/2)*V199*Y199*VLOOKUP('Données projet'!$B$9,Paramètres!$A$1:$I$89,3,0)*0.475*44/12</f>
        <v>5.3057240439668292E-23</v>
      </c>
      <c r="AC199" s="22">
        <f t="shared" si="163"/>
        <v>3.4607723363507015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-7.9580786405131221E-13</v>
      </c>
      <c r="AJ199" s="13">
        <f>AI199*VLOOKUP('Données projet'!$B$10,Paramètres!$A$1:$I$89,3,0)*VLOOKUP('Données projet'!$B$10,Paramètres!$A$1:$I$89,5,0)</f>
        <v>-4.758931027026848E-13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318.09371753144256</v>
      </c>
      <c r="AO199" s="59">
        <f t="shared" si="205"/>
        <v>298.61479562586919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0.13065494899741695</v>
      </c>
      <c r="AV199" s="21">
        <f>EXP(-LN(2)/25)*AV198+(1-EXP(-LN(2)/25))/(LN(2)/25)*Calculateur!AQ199*Calculateur!AS199*VLOOKUP('Données projet'!$B$10,Paramètres!$A$1:$I$89,3,0)*0.475*44/12</f>
        <v>0.20721345727485804</v>
      </c>
      <c r="AW199" s="21">
        <f>EXP(-LN(2)/2)*AW198+(1-EXP(-LN(2)/2))/(LN(2)/2)*AQ199*AT199*VLOOKUP('Données projet'!$B$10,Paramètres!$A$1:$I$89,3,0)*0.475*44/12</f>
        <v>3.1278219419784211E-24</v>
      </c>
      <c r="AX199" s="21">
        <f t="shared" si="166"/>
        <v>0.33786840627227499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4.6111381379887463E-14</v>
      </c>
      <c r="BF199" s="13">
        <f t="shared" si="167"/>
        <v>7.5804141040779151E-13</v>
      </c>
      <c r="BG199" s="20">
        <f t="shared" si="168"/>
        <v>1.4005661123635408E-12</v>
      </c>
      <c r="BH199" s="59">
        <f t="shared" si="194"/>
        <v>293.33333333333474</v>
      </c>
      <c r="BI199" s="59">
        <f ca="1">AVERAGE(OFFSET($BH$3,0,0,'Données projet'!$E$11+1,1))-AVERAGE(OFFSET($H$3,0,0,'Données projet'!$E$11+1,1))</f>
        <v>230.68538392491388</v>
      </c>
      <c r="BJ199" s="59">
        <f t="shared" si="206"/>
        <v>267.97457956620724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8.5291435585738762E-2</v>
      </c>
      <c r="BR199" s="21">
        <f>EXP(-LN(2)/2)*BR198+(1-EXP(-LN(2)/2))/(LN(2)/2)*BL199*BO199*VLOOKUP('Données projet'!$B$11,Paramètres!$A$1:$I$89,3,0)*0.475*44/12</f>
        <v>1.1345370787105716E-24</v>
      </c>
      <c r="BS199" s="22">
        <f t="shared" si="169"/>
        <v>8.5291435585738762E-2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2.8421709430404007E-14</v>
      </c>
      <c r="BZ199" s="13">
        <f>BY199*VLOOKUP('Données projet'!$B$12,Paramètres!$A$1:$I$89,3,0)*VLOOKUP('Données projet'!$B$12,Paramètres!$A$1:$I$89,5,0)</f>
        <v>3.2366642699344085E-14</v>
      </c>
      <c r="CA199" s="13">
        <f t="shared" si="170"/>
        <v>5.5446527398450045E-13</v>
      </c>
      <c r="CB199" s="20">
        <f t="shared" si="171"/>
        <v>1.0220655882243624E-12</v>
      </c>
      <c r="CC199" s="59">
        <f t="shared" si="195"/>
        <v>293.33333333333434</v>
      </c>
      <c r="CD199" s="59">
        <f ca="1">AVERAGE(OFFSET($CC$3,0,0,'Données projet'!$E$12+1,1))-AVERAGE(OFFSET($H$3,0,0,'Données projet'!$E$12+1,1))</f>
        <v>242.1473060698724</v>
      </c>
      <c r="CE199" s="59">
        <f t="shared" si="207"/>
        <v>96.127995920458659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0</v>
      </c>
      <c r="CZ199" s="59">
        <f t="shared" si="208"/>
        <v>0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0</v>
      </c>
      <c r="DU199" s="59">
        <f t="shared" si="209"/>
        <v>0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1.3596945791505279E-13</v>
      </c>
      <c r="P200" s="13">
        <f t="shared" si="203"/>
        <v>1.9708830566360721E-12</v>
      </c>
      <c r="Q200" s="20">
        <f t="shared" si="162"/>
        <v>3.669434796176543E-12</v>
      </c>
      <c r="R200" s="59">
        <f t="shared" si="191"/>
        <v>293.33333333333701</v>
      </c>
      <c r="S200" s="59">
        <f ca="1">AVERAGE(OFFSET($R$3,0,0,'Données projet'!$E$9+1,1))-AVERAGE(OFFSET($H$3,0,0,'Données projet'!$E$9+1,1))</f>
        <v>212.98969326021802</v>
      </c>
      <c r="T200" s="59">
        <f t="shared" si="204"/>
        <v>422.91218020922895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2.7289326298957151</v>
      </c>
      <c r="AA200" s="21">
        <f>EXP(-LN(2)/25)*AA199+(1-EXP(-LN(2)/25))/(LN(2)/25)*Calculateur!V200*Calculateur!X200*VLOOKUP('Données projet'!$B$9,Paramètres!$A$1:$I$89,3,0)*0.475*44/12</f>
        <v>0.65873704282124035</v>
      </c>
      <c r="AB200" s="21">
        <f>EXP(-LN(2)/2)*AB199+(1-EXP(-LN(2)/2))/(LN(2)/2)*V200*Y200*VLOOKUP('Données projet'!$B$9,Paramètres!$A$1:$I$89,3,0)*0.475*44/12</f>
        <v>3.7517134505934568E-23</v>
      </c>
      <c r="AC200" s="22">
        <f t="shared" si="163"/>
        <v>3.3876696727169553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-7.9580786405131221E-13</v>
      </c>
      <c r="AJ200" s="13">
        <f>AI200*VLOOKUP('Données projet'!$B$10,Paramètres!$A$1:$I$89,3,0)*VLOOKUP('Données projet'!$B$10,Paramètres!$A$1:$I$89,5,0)</f>
        <v>-4.758931027026848E-13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318.09371753144256</v>
      </c>
      <c r="AO200" s="59">
        <f t="shared" si="205"/>
        <v>298.61479562586919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0.12809288513922759</v>
      </c>
      <c r="AV200" s="21">
        <f>EXP(-LN(2)/25)*AV199+(1-EXP(-LN(2)/25))/(LN(2)/25)*Calculateur!AQ200*Calculateur!AS200*VLOOKUP('Données projet'!$B$10,Paramètres!$A$1:$I$89,3,0)*0.475*44/12</f>
        <v>0.20154719438879493</v>
      </c>
      <c r="AW200" s="21">
        <f>EXP(-LN(2)/2)*AW199+(1-EXP(-LN(2)/2))/(LN(2)/2)*AQ200*AT200*VLOOKUP('Données projet'!$B$10,Paramètres!$A$1:$I$89,3,0)*0.475*44/12</f>
        <v>2.2117041055170175E-24</v>
      </c>
      <c r="AX200" s="21">
        <f t="shared" si="166"/>
        <v>0.32964007952802254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4.6111381379887463E-14</v>
      </c>
      <c r="BF200" s="13">
        <f t="shared" si="167"/>
        <v>7.5804141040779151E-13</v>
      </c>
      <c r="BG200" s="20">
        <f t="shared" si="168"/>
        <v>1.4005661123635408E-12</v>
      </c>
      <c r="BH200" s="59">
        <f t="shared" si="194"/>
        <v>293.33333333333474</v>
      </c>
      <c r="BI200" s="59">
        <f ca="1">AVERAGE(OFFSET($BH$3,0,0,'Données projet'!$E$11+1,1))-AVERAGE(OFFSET($H$3,0,0,'Données projet'!$E$11+1,1))</f>
        <v>230.68538392491388</v>
      </c>
      <c r="BJ200" s="59">
        <f t="shared" si="206"/>
        <v>267.97457956620724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8.2959136794365076E-2</v>
      </c>
      <c r="BR200" s="21">
        <f>EXP(-LN(2)/2)*BR199+(1-EXP(-LN(2)/2))/(LN(2)/2)*BL200*BO200*VLOOKUP('Données projet'!$B$11,Paramètres!$A$1:$I$89,3,0)*0.475*44/12</f>
        <v>8.0223886186382102E-25</v>
      </c>
      <c r="BS200" s="22">
        <f t="shared" si="169"/>
        <v>8.2959136794365076E-2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2.8421709430404007E-14</v>
      </c>
      <c r="BZ200" s="13">
        <f>BY200*VLOOKUP('Données projet'!$B$12,Paramètres!$A$1:$I$89,3,0)*VLOOKUP('Données projet'!$B$12,Paramètres!$A$1:$I$89,5,0)</f>
        <v>3.2366642699344085E-14</v>
      </c>
      <c r="CA200" s="13">
        <f t="shared" si="170"/>
        <v>5.5446527398450045E-13</v>
      </c>
      <c r="CB200" s="20">
        <f t="shared" si="171"/>
        <v>1.0220655882243624E-12</v>
      </c>
      <c r="CC200" s="59">
        <f t="shared" si="195"/>
        <v>293.33333333333434</v>
      </c>
      <c r="CD200" s="59">
        <f ca="1">AVERAGE(OFFSET($CC$3,0,0,'Données projet'!$E$12+1,1))-AVERAGE(OFFSET($H$3,0,0,'Données projet'!$E$12+1,1))</f>
        <v>242.1473060698724</v>
      </c>
      <c r="CE200" s="59">
        <f t="shared" si="207"/>
        <v>96.127995920458659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0</v>
      </c>
      <c r="CZ200" s="59">
        <f t="shared" si="208"/>
        <v>0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0</v>
      </c>
      <c r="DU200" s="59">
        <f t="shared" si="209"/>
        <v>0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1.3596945791505279E-13</v>
      </c>
      <c r="P201" s="13">
        <f t="shared" si="203"/>
        <v>1.9708830566360721E-12</v>
      </c>
      <c r="Q201" s="20">
        <f t="shared" si="162"/>
        <v>3.669434796176543E-12</v>
      </c>
      <c r="R201" s="59">
        <f t="shared" si="191"/>
        <v>293.33333333333701</v>
      </c>
      <c r="S201" s="59">
        <f ca="1">AVERAGE(OFFSET($R$3,0,0,'Données projet'!$E$9+1,1))-AVERAGE(OFFSET($H$3,0,0,'Données projet'!$E$9+1,1))</f>
        <v>212.98969326021802</v>
      </c>
      <c r="T201" s="59">
        <f t="shared" si="204"/>
        <v>422.91218020922895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2.67541992550801</v>
      </c>
      <c r="AA201" s="21">
        <f>EXP(-LN(2)/25)*AA200+(1-EXP(-LN(2)/25))/(LN(2)/25)*Calculateur!V201*Calculateur!X201*VLOOKUP('Données projet'!$B$9,Paramètres!$A$1:$I$89,3,0)*0.475*44/12</f>
        <v>0.64072384374381797</v>
      </c>
      <c r="AB201" s="21">
        <f>EXP(-LN(2)/2)*AB200+(1-EXP(-LN(2)/2))/(LN(2)/2)*V201*Y201*VLOOKUP('Données projet'!$B$9,Paramètres!$A$1:$I$89,3,0)*0.475*44/12</f>
        <v>2.6528620219834146E-23</v>
      </c>
      <c r="AC201" s="22">
        <f t="shared" si="163"/>
        <v>3.3161437692518279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-7.9580786405131221E-13</v>
      </c>
      <c r="AJ201" s="13">
        <f>AI201*VLOOKUP('Données projet'!$B$10,Paramètres!$A$1:$I$89,3,0)*VLOOKUP('Données projet'!$B$10,Paramètres!$A$1:$I$89,5,0)</f>
        <v>-4.758931027026848E-13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318.09371753144256</v>
      </c>
      <c r="AO201" s="59">
        <f t="shared" si="205"/>
        <v>298.61479562586919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0.12558106179059267</v>
      </c>
      <c r="AV201" s="21">
        <f>EXP(-LN(2)/25)*AV200+(1-EXP(-LN(2)/25))/(LN(2)/25)*Calculateur!AQ201*Calculateur!AS201*VLOOKUP('Données projet'!$B$10,Paramètres!$A$1:$I$89,3,0)*0.475*44/12</f>
        <v>0.19603587575932702</v>
      </c>
      <c r="AW201" s="21">
        <f>EXP(-LN(2)/2)*AW200+(1-EXP(-LN(2)/2))/(LN(2)/2)*AQ201*AT201*VLOOKUP('Données projet'!$B$10,Paramètres!$A$1:$I$89,3,0)*0.475*44/12</f>
        <v>1.5639109709892105E-24</v>
      </c>
      <c r="AX201" s="21">
        <f t="shared" si="166"/>
        <v>0.32161693754991971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4.6111381379887463E-14</v>
      </c>
      <c r="BF201" s="13">
        <f t="shared" si="167"/>
        <v>7.5804141040779151E-13</v>
      </c>
      <c r="BG201" s="20">
        <f t="shared" si="168"/>
        <v>1.4005661123635408E-12</v>
      </c>
      <c r="BH201" s="59">
        <f t="shared" si="194"/>
        <v>293.33333333333474</v>
      </c>
      <c r="BI201" s="59">
        <f ca="1">AVERAGE(OFFSET($BH$3,0,0,'Données projet'!$E$11+1,1))-AVERAGE(OFFSET($H$3,0,0,'Données projet'!$E$11+1,1))</f>
        <v>230.68538392491388</v>
      </c>
      <c r="BJ201" s="59">
        <f t="shared" si="206"/>
        <v>267.97457956620724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8.0690614836091759E-2</v>
      </c>
      <c r="BR201" s="21">
        <f>EXP(-LN(2)/2)*BR200+(1-EXP(-LN(2)/2))/(LN(2)/2)*BL201*BO201*VLOOKUP('Données projet'!$B$11,Paramètres!$A$1:$I$89,3,0)*0.475*44/12</f>
        <v>5.6726853935528581E-25</v>
      </c>
      <c r="BS201" s="22">
        <f t="shared" si="169"/>
        <v>8.0690614836091759E-2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2.8421709430404007E-14</v>
      </c>
      <c r="BZ201" s="13">
        <f>BY201*VLOOKUP('Données projet'!$B$12,Paramètres!$A$1:$I$89,3,0)*VLOOKUP('Données projet'!$B$12,Paramètres!$A$1:$I$89,5,0)</f>
        <v>3.2366642699344085E-14</v>
      </c>
      <c r="CA201" s="13">
        <f t="shared" si="170"/>
        <v>5.5446527398450045E-13</v>
      </c>
      <c r="CB201" s="20">
        <f t="shared" si="171"/>
        <v>1.0220655882243624E-12</v>
      </c>
      <c r="CC201" s="59">
        <f t="shared" si="195"/>
        <v>293.33333333333434</v>
      </c>
      <c r="CD201" s="59">
        <f ca="1">AVERAGE(OFFSET($CC$3,0,0,'Données projet'!$E$12+1,1))-AVERAGE(OFFSET($H$3,0,0,'Données projet'!$E$12+1,1))</f>
        <v>242.1473060698724</v>
      </c>
      <c r="CE201" s="59">
        <f t="shared" si="207"/>
        <v>96.127995920458659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0</v>
      </c>
      <c r="CZ201" s="59">
        <f t="shared" si="208"/>
        <v>0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0</v>
      </c>
      <c r="DU201" s="59">
        <f t="shared" si="209"/>
        <v>0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1.3596945791505279E-13</v>
      </c>
      <c r="P202" s="13">
        <f t="shared" si="203"/>
        <v>1.9708830566360721E-12</v>
      </c>
      <c r="Q202" s="20">
        <f t="shared" si="162"/>
        <v>3.669434796176543E-12</v>
      </c>
      <c r="R202" s="59">
        <f t="shared" si="191"/>
        <v>293.33333333333701</v>
      </c>
      <c r="S202" s="59">
        <f ca="1">AVERAGE(OFFSET($R$3,0,0,'Données projet'!$E$9+1,1))-AVERAGE(OFFSET($H$3,0,0,'Données projet'!$E$9+1,1))</f>
        <v>212.98969326021802</v>
      </c>
      <c r="T202" s="59">
        <f t="shared" si="204"/>
        <v>422.91218020922895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2.6229565726138211</v>
      </c>
      <c r="AA202" s="21">
        <f>EXP(-LN(2)/25)*AA201+(1-EXP(-LN(2)/25))/(LN(2)/25)*Calculateur!V202*Calculateur!X202*VLOOKUP('Données projet'!$B$9,Paramètres!$A$1:$I$89,3,0)*0.475*44/12</f>
        <v>0.62320321654244071</v>
      </c>
      <c r="AB202" s="21">
        <f>EXP(-LN(2)/2)*AB201+(1-EXP(-LN(2)/2))/(LN(2)/2)*V202*Y202*VLOOKUP('Données projet'!$B$9,Paramètres!$A$1:$I$89,3,0)*0.475*44/12</f>
        <v>1.8758567252967284E-23</v>
      </c>
      <c r="AC202" s="22">
        <f t="shared" si="163"/>
        <v>3.2461597891562617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-7.9580786405131221E-13</v>
      </c>
      <c r="AJ202" s="13">
        <f>AI202*VLOOKUP('Données projet'!$B$10,Paramètres!$A$1:$I$89,3,0)*VLOOKUP('Données projet'!$B$10,Paramètres!$A$1:$I$89,5,0)</f>
        <v>-4.758931027026848E-13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318.09371753144256</v>
      </c>
      <c r="AO202" s="59">
        <f t="shared" si="205"/>
        <v>298.61479562586919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0.12311849376576352</v>
      </c>
      <c r="AV202" s="21">
        <f>EXP(-LN(2)/25)*AV201+(1-EXP(-LN(2)/25))/(LN(2)/25)*Calculateur!AQ202*Calculateur!AS202*VLOOKUP('Données projet'!$B$10,Paramètres!$A$1:$I$89,3,0)*0.475*44/12</f>
        <v>0.19067526442760957</v>
      </c>
      <c r="AW202" s="21">
        <f>EXP(-LN(2)/2)*AW201+(1-EXP(-LN(2)/2))/(LN(2)/2)*AQ202*AT202*VLOOKUP('Données projet'!$B$10,Paramètres!$A$1:$I$89,3,0)*0.475*44/12</f>
        <v>1.1058520527585088E-24</v>
      </c>
      <c r="AX202" s="21">
        <f t="shared" si="166"/>
        <v>0.31379375819337307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4.6111381379887463E-14</v>
      </c>
      <c r="BF202" s="13">
        <f t="shared" si="167"/>
        <v>7.5804141040779151E-13</v>
      </c>
      <c r="BG202" s="20">
        <f t="shared" si="168"/>
        <v>1.4005661123635408E-12</v>
      </c>
      <c r="BH202" s="59">
        <f t="shared" si="194"/>
        <v>293.33333333333474</v>
      </c>
      <c r="BI202" s="59">
        <f ca="1">AVERAGE(OFFSET($BH$3,0,0,'Données projet'!$E$11+1,1))-AVERAGE(OFFSET($H$3,0,0,'Données projet'!$E$11+1,1))</f>
        <v>230.68538392491388</v>
      </c>
      <c r="BJ202" s="59">
        <f t="shared" si="206"/>
        <v>267.97457956620724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7.8484125730063817E-2</v>
      </c>
      <c r="BR202" s="21">
        <f>EXP(-LN(2)/2)*BR201+(1-EXP(-LN(2)/2))/(LN(2)/2)*BL202*BO202*VLOOKUP('Données projet'!$B$11,Paramètres!$A$1:$I$89,3,0)*0.475*44/12</f>
        <v>4.0111943093191051E-25</v>
      </c>
      <c r="BS202" s="22">
        <f t="shared" si="169"/>
        <v>7.8484125730063817E-2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2.8421709430404007E-14</v>
      </c>
      <c r="BZ202" s="13">
        <f>BY202*VLOOKUP('Données projet'!$B$12,Paramètres!$A$1:$I$89,3,0)*VLOOKUP('Données projet'!$B$12,Paramètres!$A$1:$I$89,5,0)</f>
        <v>3.2366642699344085E-14</v>
      </c>
      <c r="CA202" s="13">
        <f t="shared" si="170"/>
        <v>5.5446527398450045E-13</v>
      </c>
      <c r="CB202" s="20">
        <f t="shared" si="171"/>
        <v>1.0220655882243624E-12</v>
      </c>
      <c r="CC202" s="59">
        <f t="shared" si="195"/>
        <v>293.33333333333434</v>
      </c>
      <c r="CD202" s="59">
        <f ca="1">AVERAGE(OFFSET($CC$3,0,0,'Données projet'!$E$12+1,1))-AVERAGE(OFFSET($H$3,0,0,'Données projet'!$E$12+1,1))</f>
        <v>242.1473060698724</v>
      </c>
      <c r="CE202" s="59">
        <f t="shared" si="207"/>
        <v>96.127995920458659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0</v>
      </c>
      <c r="CZ202" s="59">
        <f t="shared" si="208"/>
        <v>0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0</v>
      </c>
      <c r="DU202" s="59">
        <f t="shared" si="209"/>
        <v>0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1.3596945791505279E-13</v>
      </c>
      <c r="P203" s="13">
        <f t="shared" si="203"/>
        <v>1.9708830566360721E-12</v>
      </c>
      <c r="Q203" s="20">
        <f t="shared" si="162"/>
        <v>3.669434796176543E-12</v>
      </c>
      <c r="R203" s="59">
        <f t="shared" si="191"/>
        <v>293.33333333333701</v>
      </c>
      <c r="S203" s="59">
        <f ca="1">AVERAGE(OFFSET($R$3,0,0,'Données projet'!$E$9+1,1))-AVERAGE(OFFSET($H$3,0,0,'Données projet'!$E$9+1,1))</f>
        <v>212.98969326021802</v>
      </c>
      <c r="T203" s="59">
        <f t="shared" si="204"/>
        <v>422.91218020922895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2.5715219940704017</v>
      </c>
      <c r="AA203" s="21">
        <f>EXP(-LN(2)/25)*AA202+(1-EXP(-LN(2)/25))/(LN(2)/25)*Calculateur!V203*Calculateur!X203*VLOOKUP('Données projet'!$B$9,Paramètres!$A$1:$I$89,3,0)*0.475*44/12</f>
        <v>0.60616169181325485</v>
      </c>
      <c r="AB203" s="21">
        <f>EXP(-LN(2)/2)*AB202+(1-EXP(-LN(2)/2))/(LN(2)/2)*V203*Y203*VLOOKUP('Données projet'!$B$9,Paramètres!$A$1:$I$89,3,0)*0.475*44/12</f>
        <v>1.3264310109917073E-23</v>
      </c>
      <c r="AC203" s="22">
        <f t="shared" si="163"/>
        <v>3.1776836858836566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-7.9580786405131221E-13</v>
      </c>
      <c r="AJ203" s="13">
        <f>AI203*VLOOKUP('Données projet'!$B$10,Paramètres!$A$1:$I$89,3,0)*VLOOKUP('Données projet'!$B$10,Paramètres!$A$1:$I$89,5,0)</f>
        <v>-4.758931027026848E-13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318.09371753144256</v>
      </c>
      <c r="AO203" s="59">
        <f t="shared" si="205"/>
        <v>298.61479562586919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0.12070421519788309</v>
      </c>
      <c r="AV203" s="21">
        <f>EXP(-LN(2)/25)*AV202+(1-EXP(-LN(2)/25))/(LN(2)/25)*Calculateur!AQ203*Calculateur!AS203*VLOOKUP('Données projet'!$B$10,Paramètres!$A$1:$I$89,3,0)*0.475*44/12</f>
        <v>0.18546123929466021</v>
      </c>
      <c r="AW203" s="21">
        <f>EXP(-LN(2)/2)*AW202+(1-EXP(-LN(2)/2))/(LN(2)/2)*AQ203*AT203*VLOOKUP('Données projet'!$B$10,Paramètres!$A$1:$I$89,3,0)*0.475*44/12</f>
        <v>7.8195548549460527E-25</v>
      </c>
      <c r="AX203" s="21">
        <f t="shared" si="166"/>
        <v>0.30616545449254329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4.6111381379887463E-14</v>
      </c>
      <c r="BF203" s="13">
        <f t="shared" si="167"/>
        <v>7.5804141040779151E-13</v>
      </c>
      <c r="BG203" s="20">
        <f t="shared" si="168"/>
        <v>1.4005661123635408E-12</v>
      </c>
      <c r="BH203" s="59">
        <f t="shared" si="194"/>
        <v>293.33333333333474</v>
      </c>
      <c r="BI203" s="59">
        <f ca="1">AVERAGE(OFFSET($BH$3,0,0,'Données projet'!$E$11+1,1))-AVERAGE(OFFSET($H$3,0,0,'Données projet'!$E$11+1,1))</f>
        <v>230.68538392491388</v>
      </c>
      <c r="BJ203" s="59">
        <f t="shared" si="206"/>
        <v>267.97457956620724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7.6337973184674432E-2</v>
      </c>
      <c r="BR203" s="21">
        <f>EXP(-LN(2)/2)*BR202+(1-EXP(-LN(2)/2))/(LN(2)/2)*BL203*BO203*VLOOKUP('Données projet'!$B$11,Paramètres!$A$1:$I$89,3,0)*0.475*44/12</f>
        <v>2.8363426967764291E-25</v>
      </c>
      <c r="BS203" s="22">
        <f t="shared" si="169"/>
        <v>7.6337973184674432E-2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2.8421709430404007E-14</v>
      </c>
      <c r="BZ203" s="13">
        <f>BY203*VLOOKUP('Données projet'!$B$12,Paramètres!$A$1:$I$89,3,0)*VLOOKUP('Données projet'!$B$12,Paramètres!$A$1:$I$89,5,0)</f>
        <v>3.2366642699344085E-14</v>
      </c>
      <c r="CA203" s="13">
        <f t="shared" si="170"/>
        <v>5.5446527398450045E-13</v>
      </c>
      <c r="CB203" s="20">
        <f t="shared" si="171"/>
        <v>1.0220655882243624E-12</v>
      </c>
      <c r="CC203" s="59">
        <f t="shared" si="195"/>
        <v>293.33333333333434</v>
      </c>
      <c r="CD203" s="59">
        <f ca="1">AVERAGE(OFFSET($CC$3,0,0,'Données projet'!$E$12+1,1))-AVERAGE(OFFSET($H$3,0,0,'Données projet'!$E$12+1,1))</f>
        <v>242.1473060698724</v>
      </c>
      <c r="CE203" s="59">
        <f t="shared" si="207"/>
        <v>96.127995920458659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0</v>
      </c>
      <c r="CZ203" s="59">
        <f t="shared" si="208"/>
        <v>0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0</v>
      </c>
      <c r="DU203" s="59">
        <f t="shared" si="209"/>
        <v>0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1.4375746958096607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1.2750566643089272</v>
      </c>
      <c r="BA205" s="82">
        <f>EXP(LN('Données projet'!B88)/'Données projet'!A88)</f>
        <v>1.2557008269631629</v>
      </c>
      <c r="BV205" s="82">
        <f>EXP(LN('Données projet'!B114)/'Données projet'!A114)</f>
        <v>1.1457367676485573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52.337600000000002</v>
      </c>
      <c r="C6" s="147">
        <f ca="1">IF(OR('Données projet'!B9="",'Données projet'!C9="",'Données projet'!C9=0%),0,Calculateur!S3)</f>
        <v>212.98969326021802</v>
      </c>
      <c r="D6" s="147">
        <f>IF(OR('Données projet'!B9="",'Données projet'!C9="",'Données projet'!C9=0%),0,Calculateur!T3)</f>
        <v>422.91218020922895</v>
      </c>
      <c r="E6" s="147">
        <f ca="1">MIN(C6,D6)</f>
        <v>212.98969326021802</v>
      </c>
      <c r="F6" s="147">
        <f ca="1">E6*B6</f>
        <v>11147.369369975988</v>
      </c>
      <c r="G6" s="147">
        <f ca="1">F6*(100%-'Données projet'!$C$24)*(100%-'Données projet'!$C$25)*(100%-'Données projet'!$C$26)*(100%-'Données projet'!$C$27)</f>
        <v>8527.7375680316309</v>
      </c>
      <c r="H6" s="148">
        <f>IF(OR('Données projet'!B9="",'Données projet'!C9="",'Données projet'!C9=0%),0,AVERAGE(Calculateur!$AC$3:$AC$33)*B6)</f>
        <v>635.96748165793417</v>
      </c>
      <c r="I6" s="149">
        <f>H6*(100%-'Données projet'!$C$24)*(100%-'Données projet'!$C$25)*(100%-'Données projet'!$C$26)*(100%-'Données projet'!$C$27)</f>
        <v>486.51512346831964</v>
      </c>
      <c r="J6" s="150">
        <f>IF(OR('Données projet'!B9="",'Données projet'!C9="",'Données projet'!C9=0%),0,SUM(Calculateur!$V$3:$V$33)*VLOOKUP('Données projet'!$B$9,Paramètres!$A$1:$I$89,9,0)*B6)</f>
        <v>3612.8645280000001</v>
      </c>
      <c r="K6" s="151">
        <f>J6*(100%-'Données projet'!$C$24)*(100%-'Données projet'!$C$25)*(100%-'Données projet'!$C$26)*(100%-'Données projet'!$C$27)</f>
        <v>2763.8413639199998</v>
      </c>
      <c r="L6" s="152">
        <f ca="1">G6+I6+K6</f>
        <v>11778.094055419951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taeda</v>
      </c>
      <c r="B7" s="154">
        <f>'Données projet'!D10</f>
        <v>39.253199999999993</v>
      </c>
      <c r="C7" s="147">
        <f ca="1">IF(OR('Données projet'!B10="",'Données projet'!C10="",'Données projet'!C10=0%),0,Calculateur!AN3)</f>
        <v>318.09371753144256</v>
      </c>
      <c r="D7" s="147">
        <f>IF(OR('Données projet'!B10="",'Données projet'!C10="",'Données projet'!C10=0%),0,Calculateur!AO3)</f>
        <v>298.61479562586919</v>
      </c>
      <c r="E7" s="147">
        <f t="shared" ref="E7:E15" ca="1" si="0">MIN(C7,D7)</f>
        <v>298.61479562586919</v>
      </c>
      <c r="F7" s="147">
        <f t="shared" ref="F7:F15" ca="1" si="1">E7*B7</f>
        <v>11721.586295661366</v>
      </c>
      <c r="G7" s="147">
        <f ca="1">F7*(100%-'Données projet'!$C$24)*(100%-'Données projet'!$C$25)*(100%-'Données projet'!$C$26)*(100%-'Données projet'!$C$27)</f>
        <v>8967.0135161809449</v>
      </c>
      <c r="H7" s="155">
        <f>IF(OR('Données projet'!B10="",'Données projet'!C10="",'Données projet'!C10=0%),0,AVERAGE(Calculateur!$AX$3:$AX$33)*B7)</f>
        <v>195.11859987301469</v>
      </c>
      <c r="I7" s="149">
        <f>H7*(100%-'Données projet'!$C$24)*(100%-'Données projet'!$C$25)*(100%-'Données projet'!$C$26)*(100%-'Données projet'!$C$27)</f>
        <v>149.26572890285624</v>
      </c>
      <c r="J7" s="150">
        <f>IF(OR('Données projet'!B10="",'Données projet'!C10="",'Données projet'!C10=0%),0,SUM(Calculateur!$AQ$3:$AQ$33)*VLOOKUP('Données projet'!$B$10,Paramètres!$A$1:$I$89,9,0)*B7)</f>
        <v>2278.6482599999995</v>
      </c>
      <c r="K7" s="151">
        <f>J7*(100%-'Données projet'!$C$24)*(100%-'Données projet'!$C$25)*(100%-'Données projet'!$C$26)*(100%-'Données projet'!$C$27)</f>
        <v>1743.1659188999995</v>
      </c>
      <c r="L7" s="152">
        <f t="shared" ref="L7:L15" ca="1" si="2">G7+I7+K7</f>
        <v>10859.445163983801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Bouleau verruqueux</v>
      </c>
      <c r="B8" s="154">
        <f>'Données projet'!D11</f>
        <v>1.439284</v>
      </c>
      <c r="C8" s="147">
        <f ca="1">IF(OR('Données projet'!B11="",'Données projet'!C11="",'Données projet'!C11=0%),0,Calculateur!BI3)</f>
        <v>230.68538392491388</v>
      </c>
      <c r="D8" s="147">
        <f>IF(OR('Données projet'!B11="",'Données projet'!C11="",'Données projet'!C11=0%),0,Calculateur!BJ3)</f>
        <v>267.97457956620724</v>
      </c>
      <c r="E8" s="147">
        <f t="shared" ca="1" si="0"/>
        <v>230.68538392491388</v>
      </c>
      <c r="F8" s="147">
        <f t="shared" ca="1" si="1"/>
        <v>332.02178211698578</v>
      </c>
      <c r="G8" s="147">
        <f ca="1">F8*(100%-'Données projet'!$C$24)*(100%-'Données projet'!$C$25)*(100%-'Données projet'!$C$26)*(100%-'Données projet'!$C$27)</f>
        <v>253.9966633194941</v>
      </c>
      <c r="H8" s="155">
        <f>IF(OR('Données projet'!B11="",'Données projet'!C11="",'Données projet'!C11=0%),0,AVERAGE(Calculateur!$BS$3:$BS$33)*B8)</f>
        <v>3.8654038181145007</v>
      </c>
      <c r="I8" s="149">
        <f>H8*(100%-'Données projet'!$C$24)*(100%-'Données projet'!$C$25)*(100%-'Données projet'!$C$26)*(100%-'Données projet'!$C$27)</f>
        <v>2.9570339208575929</v>
      </c>
      <c r="J8" s="150">
        <f>IF(OR('Données projet'!B11="",'Données projet'!C11="",'Données projet'!C11=0%),0,SUM(Calculateur!$BL$3:$BL$33)*VLOOKUP('Données projet'!$B$11,Paramètres!$A$1:$I$89,9,0)*B8)</f>
        <v>35.622278999999999</v>
      </c>
      <c r="K8" s="151">
        <f>J8*(100%-'Données projet'!$C$24)*(100%-'Données projet'!$C$25)*(100%-'Données projet'!$C$26)*(100%-'Données projet'!$C$27)</f>
        <v>27.251043435</v>
      </c>
      <c r="L8" s="152">
        <f t="shared" ca="1" si="2"/>
        <v>284.20474067535167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vert</v>
      </c>
      <c r="B9" s="154">
        <f>'Données projet'!D12</f>
        <v>1.439284</v>
      </c>
      <c r="C9" s="147">
        <f ca="1">IF(OR('Données projet'!B12="",'Données projet'!C12="",'Données projet'!C12=0%),0,Calculateur!CD3)</f>
        <v>242.1473060698724</v>
      </c>
      <c r="D9" s="147">
        <f>IF(OR('Données projet'!B12="",'Données projet'!C12="",'Données projet'!C12=0%),0,Calculateur!CE3)</f>
        <v>96.127995920458659</v>
      </c>
      <c r="E9" s="147">
        <f t="shared" ca="1" si="0"/>
        <v>96.127995920458659</v>
      </c>
      <c r="F9" s="147">
        <f t="shared" ca="1" si="1"/>
        <v>138.35548648038142</v>
      </c>
      <c r="G9" s="147">
        <f ca="1">F9*(100%-'Données projet'!$C$24)*(100%-'Données projet'!$C$25)*(100%-'Données projet'!$C$26)*(100%-'Données projet'!$C$27)</f>
        <v>105.84194715749177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105.84194715749177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Chêne-liège</v>
      </c>
      <c r="B10" s="154">
        <f>'Données projet'!D13</f>
        <v>0.56075999999999993</v>
      </c>
      <c r="C10" s="147">
        <f ca="1"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ca="1" si="0"/>
        <v>0</v>
      </c>
      <c r="F10" s="147">
        <f t="shared" ca="1" si="1"/>
        <v>0</v>
      </c>
      <c r="G10" s="147">
        <f ca="1"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Cormier</v>
      </c>
      <c r="B11" s="154">
        <f>'Données projet'!D14</f>
        <v>0.18692</v>
      </c>
      <c r="C11" s="147">
        <f ca="1"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ca="1" si="0"/>
        <v>0</v>
      </c>
      <c r="F11" s="147">
        <f t="shared" ca="1" si="1"/>
        <v>0</v>
      </c>
      <c r="G11" s="147">
        <f ca="1"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23339.332934234721</v>
      </c>
      <c r="G16" s="166">
        <f t="shared" ca="1" si="3"/>
        <v>17854.589694689563</v>
      </c>
      <c r="H16" s="167">
        <f t="shared" si="3"/>
        <v>834.95148534906332</v>
      </c>
      <c r="I16" s="167">
        <f t="shared" si="3"/>
        <v>638.73788629203352</v>
      </c>
      <c r="J16" s="168">
        <f t="shared" si="3"/>
        <v>5927.1350670000002</v>
      </c>
      <c r="K16" s="168">
        <f t="shared" si="3"/>
        <v>4534.2583262549988</v>
      </c>
      <c r="L16" s="169">
        <f t="shared" ca="1" si="3"/>
        <v>23027.585907236597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Bouleau verruqueux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vert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Chêne-liège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Cormier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K8" zoomScale="80" zoomScaleNormal="8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4687.9744425201634</v>
      </c>
      <c r="U10" s="178">
        <f>'Données projet'!D9</f>
        <v>52.337600000000002</v>
      </c>
      <c r="V10" s="177">
        <f>U10*T10</f>
        <v>245357.33118284331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912.70207897911803</v>
      </c>
      <c r="U11" s="178">
        <f>'Données projet'!D10</f>
        <v>39.253199999999993</v>
      </c>
      <c r="V11" s="177">
        <f t="shared" ref="V11" si="0">U11*T11</f>
        <v>35826.477246583112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Bouleau verruqueux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-5591.5657006924075</v>
      </c>
      <c r="U12" s="178">
        <f>'Données projet'!D11</f>
        <v>1.439284</v>
      </c>
      <c r="V12" s="177">
        <f t="shared" ref="V12:V19" si="1">U12*T12</f>
        <v>-8047.8510479553715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vert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-7500</v>
      </c>
      <c r="U13" s="178">
        <f>'Données projet'!D12</f>
        <v>1.439284</v>
      </c>
      <c r="V13" s="177">
        <f t="shared" si="1"/>
        <v>-10794.63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Chêne-liège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-7500</v>
      </c>
      <c r="U14" s="178">
        <f>'Données projet'!D13</f>
        <v>0.56075999999999993</v>
      </c>
      <c r="V14" s="177">
        <f t="shared" si="1"/>
        <v>-4205.7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Cormier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-7500</v>
      </c>
      <c r="U15" s="178">
        <f>'Données projet'!D14</f>
        <v>0.18692</v>
      </c>
      <c r="V15" s="177">
        <f t="shared" si="1"/>
        <v>-1401.9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900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35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1050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1800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350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14</v>
      </c>
      <c r="B23" s="181">
        <f>'Données projet'!D36</f>
        <v>45</v>
      </c>
      <c r="C23" s="193">
        <v>10</v>
      </c>
      <c r="D23" s="182">
        <f>B23*C23</f>
        <v>450</v>
      </c>
      <c r="E23" s="193"/>
      <c r="F23" s="230"/>
      <c r="H23" s="190">
        <v>3</v>
      </c>
      <c r="I23" s="191">
        <v>350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-130105.13478838661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72</v>
      </c>
      <c r="C24" s="193">
        <v>35</v>
      </c>
      <c r="D24" s="182">
        <f t="shared" ref="D24:D42" si="2">B24*C24</f>
        <v>2520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21025.431142978046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35</v>
      </c>
      <c r="B25" s="181">
        <f>'Données projet'!D38</f>
        <v>446</v>
      </c>
      <c r="C25" s="193">
        <v>45</v>
      </c>
      <c r="D25" s="182">
        <f t="shared" si="2"/>
        <v>20070</v>
      </c>
      <c r="E25" s="193"/>
      <c r="F25" s="233"/>
      <c r="H25" s="190">
        <v>5</v>
      </c>
      <c r="I25" s="191">
        <v>350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-151130.56593136466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>
        <v>7</v>
      </c>
      <c r="I27" s="191">
        <v>350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350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350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350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900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37</v>
      </c>
      <c r="C54" s="191">
        <v>10</v>
      </c>
      <c r="D54" s="179">
        <f>B54*C54</f>
        <v>370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98</v>
      </c>
      <c r="C55" s="191">
        <v>30</v>
      </c>
      <c r="D55" s="179">
        <f t="shared" ref="D55:D73" si="4">B55*C55</f>
        <v>2940</v>
      </c>
      <c r="E55" s="193"/>
      <c r="F55" s="232"/>
      <c r="G55" s="205"/>
      <c r="H55" s="190">
        <v>35</v>
      </c>
      <c r="I55" s="191">
        <v>350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98</v>
      </c>
      <c r="C56" s="191">
        <v>30</v>
      </c>
      <c r="D56" s="179">
        <f t="shared" si="4"/>
        <v>2940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98</v>
      </c>
      <c r="C57" s="191">
        <v>30</v>
      </c>
      <c r="D57" s="179">
        <f t="shared" si="4"/>
        <v>2940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90</v>
      </c>
      <c r="C58" s="191">
        <v>30</v>
      </c>
      <c r="D58" s="179">
        <f t="shared" si="4"/>
        <v>2700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76</v>
      </c>
      <c r="C59" s="191">
        <v>30</v>
      </c>
      <c r="D59" s="179">
        <f t="shared" si="4"/>
        <v>2280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599</v>
      </c>
      <c r="C60" s="191">
        <v>30</v>
      </c>
      <c r="D60" s="179">
        <f t="shared" si="4"/>
        <v>17970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str">
        <f>IF(O68+1&lt;=MIN('Données projet'!$E$9:$E$18),O68+1,"STOP")</f>
        <v>STOP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Bouleau verruqueux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7500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43</v>
      </c>
      <c r="C85" s="191">
        <v>45</v>
      </c>
      <c r="D85" s="179">
        <f>B85*C85</f>
        <v>1935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56</v>
      </c>
      <c r="C86" s="191">
        <v>45</v>
      </c>
      <c r="D86" s="179">
        <f t="shared" ref="D86:D104" si="6">B86*C86</f>
        <v>2520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56</v>
      </c>
      <c r="C87" s="191">
        <v>45</v>
      </c>
      <c r="D87" s="179">
        <f t="shared" si="6"/>
        <v>2520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39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25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21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284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vert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7500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25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27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28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28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28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28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90</v>
      </c>
      <c r="B123" s="181">
        <f>'Données projet'!D121</f>
        <v>28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100</v>
      </c>
      <c r="B124" s="181">
        <f>'Données projet'!D122</f>
        <v>28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110</v>
      </c>
      <c r="B125" s="181">
        <f>'Données projet'!D123</f>
        <v>27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120</v>
      </c>
      <c r="B126" s="181">
        <f>'Données projet'!D124</f>
        <v>234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Chêne-liège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7500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Cormier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7500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Laurence DEGOUL SAINT JEAN</cp:lastModifiedBy>
  <cp:lastPrinted>2024-05-23T07:31:25Z</cp:lastPrinted>
  <dcterms:created xsi:type="dcterms:W3CDTF">2021-02-01T08:22:39Z</dcterms:created>
  <dcterms:modified xsi:type="dcterms:W3CDTF">2024-05-31T13:01:21Z</dcterms:modified>
</cp:coreProperties>
</file>