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5_Bordeaux\2024 LAMOUGNIN - LP - 18 012 562\"/>
    </mc:Choice>
  </mc:AlternateContent>
  <xr:revisionPtr revIDLastSave="0" documentId="13_ncr:1_{CF4A6C48-C4F6-497C-9B36-9437057F1970}" xr6:coauthVersionLast="47" xr6:coauthVersionMax="47" xr10:uidLastSave="{00000000-0000-0000-0000-000000000000}"/>
  <bookViews>
    <workbookView xWindow="-108" yWindow="-108" windowWidth="23256" windowHeight="1257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8" i="1" l="1"/>
  <c r="B98" i="1"/>
  <c r="D97" i="1"/>
  <c r="B97" i="1"/>
  <c r="D96" i="1"/>
  <c r="B96" i="1"/>
  <c r="D95" i="1"/>
  <c r="B95" i="1"/>
  <c r="D94" i="1"/>
  <c r="B94" i="1"/>
  <c r="D93" i="1"/>
  <c r="B93" i="1"/>
  <c r="D92" i="1"/>
  <c r="B92" i="1"/>
  <c r="D91" i="1"/>
  <c r="B91" i="1"/>
  <c r="D90" i="1"/>
  <c r="B90" i="1"/>
  <c r="B68" i="1"/>
  <c r="D68" i="1" s="1"/>
  <c r="D67" i="1"/>
  <c r="D66" i="1"/>
  <c r="D65" i="1"/>
  <c r="D64" i="1"/>
  <c r="D63" i="1"/>
  <c r="D62" i="1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H140" i="2" l="1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X155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I163" i="2" l="1"/>
  <c r="EA164" i="2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B167" i="2" l="1"/>
  <c r="HH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I167" i="2" l="1"/>
  <c r="EV168" i="2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G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HH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A192" i="2" l="1"/>
  <c r="HH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DI192" i="2" l="1"/>
  <c r="EB193" i="2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DH195" i="2" l="1"/>
  <c r="E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FS201" i="2" l="1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19" i="2" a="1"/>
  <c r="AH19" i="2" s="1"/>
  <c r="AH166" i="2" a="1"/>
  <c r="AH166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9" i="2" l="1" a="1"/>
  <c r="AH199" i="2" s="1"/>
  <c r="AH90" i="2" a="1"/>
  <c r="AH90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CN203" i="2" s="1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I103" i="2" l="1"/>
  <c r="BI47" i="2"/>
  <c r="BI104" i="2"/>
  <c r="BI183" i="2"/>
  <c r="BI143" i="2"/>
  <c r="BI29" i="2"/>
  <c r="BI11" i="2"/>
  <c r="BI67" i="2"/>
  <c r="BI102" i="2"/>
  <c r="BI173" i="2"/>
  <c r="BI168" i="2"/>
  <c r="BI17" i="2"/>
  <c r="BI123" i="2"/>
  <c r="BI88" i="2"/>
  <c r="BI99" i="2"/>
  <c r="BI182" i="2"/>
  <c r="BI129" i="2"/>
  <c r="BI71" i="2"/>
  <c r="BI118" i="2"/>
  <c r="BI110" i="2"/>
  <c r="BI185" i="2"/>
  <c r="BI122" i="2"/>
  <c r="BI133" i="2"/>
  <c r="BI188" i="2"/>
  <c r="BI121" i="2"/>
  <c r="BI111" i="2"/>
  <c r="BI176" i="2"/>
  <c r="BI49" i="2"/>
  <c r="BI24" i="2"/>
  <c r="BI135" i="2"/>
  <c r="BI73" i="2"/>
  <c r="BI114" i="2"/>
  <c r="BI160" i="2"/>
  <c r="BI53" i="2"/>
  <c r="BI203" i="2"/>
  <c r="BI10" i="2"/>
  <c r="BI76" i="2"/>
  <c r="BI117" i="2"/>
  <c r="BI115" i="2"/>
  <c r="BI4" i="2"/>
  <c r="BI18" i="2"/>
  <c r="BI91" i="2"/>
  <c r="BI100" i="2"/>
  <c r="BI161" i="2"/>
  <c r="BI32" i="2"/>
  <c r="BI138" i="2"/>
  <c r="BI187" i="2"/>
  <c r="BI109" i="2"/>
  <c r="BI131" i="2"/>
  <c r="BI147" i="2"/>
  <c r="BI199" i="2"/>
  <c r="BI3" i="2"/>
  <c r="C8" i="4" s="1"/>
  <c r="E8" i="4" s="1"/>
  <c r="F8" i="4" s="1"/>
  <c r="G8" i="4" s="1"/>
  <c r="L8" i="4" s="1"/>
  <c r="BI166" i="2"/>
  <c r="BI44" i="2"/>
  <c r="BI14" i="2"/>
  <c r="BI8" i="2"/>
  <c r="BI78" i="2"/>
  <c r="BI197" i="2"/>
  <c r="BI42" i="2"/>
  <c r="BI41" i="2"/>
  <c r="BI145" i="2"/>
  <c r="BI66" i="2"/>
  <c r="BI195" i="2"/>
  <c r="BI22" i="2"/>
  <c r="BI98" i="2"/>
  <c r="BI146" i="2"/>
  <c r="BI69" i="2"/>
  <c r="BI6" i="2"/>
  <c r="BI33" i="2"/>
  <c r="BI38" i="2"/>
  <c r="BI36" i="2"/>
  <c r="BI142" i="2"/>
  <c r="BI12" i="2"/>
  <c r="BI68" i="2"/>
  <c r="BI35" i="2"/>
  <c r="BI162" i="2"/>
  <c r="BI56" i="2"/>
  <c r="BI130" i="2"/>
  <c r="BI72" i="2"/>
  <c r="BI20" i="2"/>
  <c r="BI80" i="2"/>
  <c r="BI191" i="2"/>
  <c r="BI105" i="2"/>
  <c r="BI83" i="2"/>
  <c r="BI13" i="2"/>
  <c r="BI136" i="2"/>
  <c r="BI156" i="2"/>
  <c r="BI124" i="2"/>
  <c r="BI7" i="2"/>
  <c r="BI86" i="2"/>
  <c r="BI59" i="2"/>
  <c r="BI89" i="2"/>
  <c r="BI90" i="2"/>
  <c r="BI52" i="2"/>
  <c r="BI189" i="2"/>
  <c r="BI95" i="2"/>
  <c r="BI61" i="2"/>
  <c r="BI141" i="2"/>
  <c r="BI170" i="2"/>
  <c r="BI201" i="2"/>
  <c r="BI34" i="2"/>
  <c r="BI196" i="2"/>
  <c r="BI87" i="2"/>
  <c r="BI181" i="2"/>
  <c r="BI46" i="2"/>
  <c r="BI193" i="2"/>
  <c r="BI159" i="2"/>
  <c r="BI167" i="2"/>
  <c r="BI60" i="2"/>
  <c r="BI30" i="2"/>
  <c r="BI165" i="2"/>
  <c r="BI31" i="2"/>
  <c r="BI27" i="2"/>
  <c r="BI43" i="2"/>
  <c r="BI82" i="2"/>
  <c r="BI120" i="2"/>
  <c r="BI149" i="2"/>
  <c r="BI186" i="2"/>
  <c r="BI194" i="2"/>
  <c r="BI171" i="2"/>
  <c r="BI134" i="2"/>
  <c r="BI153" i="2"/>
  <c r="BI202" i="2"/>
  <c r="BI152" i="2"/>
  <c r="BI39" i="2"/>
  <c r="BI184" i="2"/>
  <c r="BI107" i="2"/>
  <c r="BI112" i="2"/>
  <c r="BI26" i="2"/>
  <c r="BI57" i="2"/>
  <c r="BI200" i="2"/>
  <c r="BI65" i="2"/>
  <c r="BI151" i="2"/>
  <c r="BI128" i="2"/>
  <c r="BI62" i="2"/>
  <c r="BI84" i="2"/>
  <c r="BI25" i="2"/>
  <c r="BI113" i="2"/>
  <c r="BI21" i="2"/>
  <c r="BI139" i="2"/>
  <c r="BI40" i="2"/>
  <c r="BI97" i="2"/>
  <c r="BI172" i="2"/>
  <c r="BI164" i="2"/>
  <c r="BI96" i="2"/>
  <c r="BI81" i="2"/>
  <c r="BI15" i="2"/>
  <c r="BI155" i="2"/>
  <c r="BI19" i="2"/>
  <c r="BI70" i="2"/>
  <c r="BI58" i="2"/>
  <c r="BI92" i="2"/>
  <c r="BI48" i="2"/>
  <c r="BI175" i="2"/>
  <c r="BI158" i="2"/>
  <c r="BI125" i="2"/>
  <c r="BI126" i="2"/>
  <c r="BI94" i="2"/>
  <c r="BI177" i="2"/>
  <c r="BI79" i="2"/>
  <c r="BI198" i="2"/>
  <c r="BI169" i="2"/>
  <c r="BI5" i="2"/>
  <c r="BI23" i="2"/>
  <c r="BI190" i="2"/>
  <c r="BI93" i="2"/>
  <c r="BI106" i="2"/>
  <c r="BI63" i="2"/>
  <c r="BI55" i="2"/>
  <c r="BI150" i="2"/>
  <c r="BI64" i="2"/>
  <c r="BI132" i="2"/>
  <c r="BI192" i="2"/>
  <c r="BI16" i="2"/>
  <c r="BI74" i="2"/>
  <c r="BI51" i="2"/>
  <c r="BI140" i="2"/>
  <c r="BI77" i="2"/>
  <c r="BI9" i="2"/>
  <c r="BI101" i="2"/>
  <c r="BI85" i="2"/>
  <c r="BI54" i="2"/>
  <c r="BI174" i="2"/>
  <c r="BI45" i="2"/>
  <c r="BI28" i="2"/>
  <c r="BI163" i="2"/>
  <c r="BI154" i="2"/>
  <c r="BI119" i="2"/>
  <c r="BI50" i="2"/>
  <c r="BI148" i="2"/>
  <c r="BI37" i="2"/>
  <c r="BI108" i="2"/>
  <c r="BI137" i="2"/>
  <c r="BI127" i="2"/>
  <c r="BI116" i="2"/>
  <c r="BI179" i="2"/>
  <c r="BI178" i="2"/>
  <c r="BI75" i="2"/>
  <c r="BI180" i="2"/>
  <c r="BI144" i="2"/>
  <c r="BI157" i="2"/>
  <c r="BF124" i="2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<sst xmlns="http://schemas.openxmlformats.org/spreadsheetml/2006/main" count="1180" uniqueCount="328">
  <si>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</si>
  <si>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</si>
  <si>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</si>
  <si>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</si>
  <si>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</si>
  <si>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</si>
  <si>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</si>
  <si>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</si>
  <si>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</si>
  <si>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</si>
  <si>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</si>
  <si>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</si>
  <si>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</si>
  <si>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</si>
  <si>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</si>
  <si>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</si>
  <si>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</si>
  <si>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</si>
  <si>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</si>
  <si>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</si>
  <si>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</si>
  <si>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</si>
  <si>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</si>
  <si>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</si>
  <si>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</si>
  <si>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</si>
  <si>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</si>
  <si>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</si>
  <si>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</si>
  <si>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</si>
  <si>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</si>
  <si>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</si>
  <si>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</si>
  <si>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</si>
  <si>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</si>
  <si>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</si>
  <si>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</si>
  <si>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</si>
  <si>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</si>
  <si>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</si>
  <si>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</si>
  <si>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</si>
  <si>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</si>
  <si>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</si>
  <si>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</si>
  <si>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</si>
  <si>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</si>
  <si>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</si>
  <si>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</si>
  <si>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</si>
  <si>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</si>
  <si>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</si>
  <si>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</si>
  <si>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</si>
  <si>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</si>
  <si>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</si>
  <si>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</si>
  <si>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</si>
  <si>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</si>
  <si>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</si>
  <si>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</si>
  <si>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</si>
  <si>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</si>
  <si>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</si>
  <si>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</si>
  <si>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</si>
  <si>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</si>
  <si>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</si>
  <si>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</si>
  <si>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</si>
  <si>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</si>
  <si>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</si>
  <si>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</si>
  <si>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</si>
  <si>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</si>
  <si>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</si>
  <si>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</si>
  <si>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</si>
  <si>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</si>
  <si>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</si>
  <si>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</si>
  <si>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</si>
  <si>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</si>
  <si>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</si>
  <si>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</si>
  <si>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</si>
  <si>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</si>
  <si>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</si>
  <si>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</si>
  <si>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</si>
  <si>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</si>
  <si>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</si>
  <si>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</si>
  <si>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</si>
  <si>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</si>
  <si>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</si>
  <si>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</si>
  <si>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</si>
  <si>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</si>
  <si>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</si>
  <si>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</si>
  <si>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</si>
  <si>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</si>
  <si>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</si>
  <si>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</si>
  <si>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</si>
  <si>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</si>
  <si>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</si>
  <si>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</si>
  <si>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</si>
  <si>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</si>
  <si>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</si>
  <si>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</si>
  <si>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</si>
  <si>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</si>
  <si>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</si>
  <si>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</si>
  <si>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</si>
  <si>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</si>
  <si>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</si>
  <si>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</si>
  <si>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</si>
  <si>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</si>
  <si>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</si>
  <si>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</si>
  <si>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</si>
  <si>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</si>
  <si>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</si>
  <si>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</si>
  <si>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</si>
  <si>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</si>
  <si>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</si>
  <si>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</si>
  <si>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</si>
  <si>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</si>
  <si>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</si>
  <si>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</si>
  <si>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</si>
  <si>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</si>
  <si>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</si>
  <si>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</si>
  <si>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</si>
  <si>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</si>
  <si>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</si>
  <si>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</si>
  <si>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</si>
  <si>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</si>
  <si>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</si>
  <si>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</si>
  <si>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</si>
  <si>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</si>
  <si>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</si>
  <si>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</si>
  <si>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</si>
  <si>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</si>
  <si>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</si>
  <si>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</si>
  <si>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</si>
  <si>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</si>
  <si>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</si>
  <si>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</si>
  <si>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</si>
  <si>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</si>
  <si>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</si>
  <si>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</si>
  <si>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</si>
  <si>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</si>
  <si>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</si>
  <si>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</si>
  <si>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</si>
  <si>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</si>
  <si>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</si>
  <si>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</si>
  <si>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</si>
  <si>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</si>
  <si>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</si>
  <si>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</si>
  <si>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</si>
  <si>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</si>
  <si>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</si>
  <si>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</si>
  <si>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</si>
  <si>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</si>
  <si>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</si>
  <si>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</si>
  <si>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</si>
  <si>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</si>
  <si>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</si>
  <si>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</si>
  <si>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</si>
  <si>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</si>
  <si>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</si>
  <si>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</si>
  <si>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</si>
  <si>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</si>
  <si>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</si>
  <si>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</si>
  <si>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</si>
  <si>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</si>
  <si>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</si>
  <si>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</si>
  <si>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</si>
  <si>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</si>
  <si>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</si>
  <si>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</si>
  <si>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</si>
  <si>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</si>
  <si>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</si>
  <si>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</si>
  <si>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</si>
  <si>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</si>
  <si>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</si>
  <si>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</si>
  <si>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</si>
  <si>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</si>
  <si>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</si>
  <si>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</si>
  <si>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</si>
  <si>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</si>
  <si>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</si>
  <si>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</si>
  <si>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</si>
  <si>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</si>
  <si>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</si>
  <si>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</si>
  <si>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</si>
  <si>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</si>
  <si>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</si>
  <si>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</si>
  <si>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</si>
  <si>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</si>
  <si>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</si>
  <si>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</si>
  <si>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</si>
  <si>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</si>
  <si>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</si>
  <si>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</si>
  <si>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</si>
  <si>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</si>
  <si>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</si>
  <si>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</si>
  <si>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</si>
  <si>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</si>
  <si>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</si>
  <si>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</si>
  <si>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</si>
  <si>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</si>
  <si>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</si>
  <si>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</si>
  <si>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</si>
  <si>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</si>
  <si>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</si>
  <si>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</si>
  <si>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</si>
  <si>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</si>
  <si>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</si>
  <si>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</si>
  <si>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</si>
  <si>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</si>
  <si>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</si>
  <si>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</si>
  <si>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</si>
  <si>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</si>
  <si>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</si>
  <si>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</si>
  <si>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</si>
  <si>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</si>
  <si>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</si>
  <si>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</si>
  <si>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</si>
  <si>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</si>
  <si>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</si>
  <si>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</si>
  <si>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</si>
  <si>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</si>
  <si>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</si>
  <si>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</si>
  <si>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</si>
  <si>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</si>
  <si>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</si>
  <si>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</si>
  <si>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</si>
  <si>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</si>
  <si>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</si>
  <si>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</si>
  <si>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</si>
  <si>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</si>
  <si>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</si>
  <si>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</si>
  <si>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</si>
  <si>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</si>
  <si>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</si>
  <si>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</si>
  <si>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</si>
  <si>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</si>
  <si>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</si>
  <si>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</si>
  <si>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</si>
  <si>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</si>
  <si>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</si>
  <si>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</si>
  <si>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</si>
  <si>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</si>
  <si>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</si>
  <si>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</si>
  <si>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</si>
  <si>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</si>
  <si>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</si>
  <si>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</si>
  <si>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</si>
  <si>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</si>
  <si>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</si>
  <si>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</si>
  <si>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</si>
  <si>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</si>
  <si>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</si>
  <si>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</si>
  <si>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</si>
  <si>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</si>
  <si>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</si>
  <si>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</si>
  <si>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</si>
  <si>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</si>
  <si>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</si>
  <si>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F3</t>
  </si>
  <si>
    <t>Forestry commission - Hamilton and Christies (1974) - Yield class 8/12</t>
  </si>
  <si>
    <t>Forestry commission - Hamilton and Christies (1974) - Yield class 4/8</t>
  </si>
  <si>
    <t>Société Forestière - itinéraire Pin maritime à 35 ans Moyenne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</si>
</sst>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2.1627415587734125</c:v>
                </c:pt>
                <c:pt idx="2">
                  <c:v>3.0166421713591665</c:v>
                </c:pt>
                <c:pt idx="3">
                  <c:v>4.2091406699552865</c:v>
                </c:pt>
                <c:pt idx="4">
                  <c:v>5.8750454689237328</c:v>
                </c:pt>
                <c:pt idx="5">
                  <c:v>8.2030392606458431</c:v>
                </c:pt>
                <c:pt idx="6">
                  <c:v>11.457283848989711</c:v>
                </c:pt>
                <c:pt idx="7">
                  <c:v>16.007716566629046</c:v>
                </c:pt>
                <c:pt idx="8">
                  <c:v>22.372545000666481</c:v>
                </c:pt>
                <c:pt idx="9">
                  <c:v>31.277865285135846</c:v>
                </c:pt>
                <c:pt idx="10">
                  <c:v>43.741322928139361</c:v>
                </c:pt>
                <c:pt idx="11">
                  <c:v>61.189537734967594</c:v>
                </c:pt>
                <c:pt idx="12">
                  <c:v>85.622954717223408</c:v>
                </c:pt>
                <c:pt idx="13">
                  <c:v>119.84732372985827</c:v>
                </c:pt>
                <c:pt idx="14">
                  <c:v>167.79880331835713</c:v>
                </c:pt>
                <c:pt idx="15">
                  <c:v>146.99966348541213</c:v>
                </c:pt>
                <c:pt idx="16">
                  <c:v>172.98874990477893</c:v>
                </c:pt>
                <c:pt idx="17">
                  <c:v>198.88589463565651</c:v>
                </c:pt>
                <c:pt idx="18">
                  <c:v>224.7047649504525</c:v>
                </c:pt>
                <c:pt idx="19">
                  <c:v>250.45562182479364</c:v>
                </c:pt>
                <c:pt idx="20">
                  <c:v>276.14644026006221</c:v>
                </c:pt>
                <c:pt idx="21">
                  <c:v>221.18040018597591</c:v>
                </c:pt>
                <c:pt idx="22">
                  <c:v>242.13642655331114</c:v>
                </c:pt>
                <c:pt idx="23">
                  <c:v>263.05119776940063</c:v>
                </c:pt>
                <c:pt idx="24">
                  <c:v>283.92845447085858</c:v>
                </c:pt>
                <c:pt idx="25">
                  <c:v>304.77134209468687</c:v>
                </c:pt>
                <c:pt idx="26">
                  <c:v>325.58254068156361</c:v>
                </c:pt>
                <c:pt idx="27">
                  <c:v>346.36435970971957</c:v>
                </c:pt>
                <c:pt idx="28">
                  <c:v>367.11880895609448</c:v>
                </c:pt>
                <c:pt idx="29">
                  <c:v>387.84765248483501</c:v>
                </c:pt>
                <c:pt idx="30">
                  <c:v>408.55245048579872</c:v>
                </c:pt>
                <c:pt idx="31">
                  <c:v>429.23459218682746</c:v>
                </c:pt>
                <c:pt idx="32">
                  <c:v>449.89532209105636</c:v>
                </c:pt>
                <c:pt idx="33">
                  <c:v>470.53576114342724</c:v>
                </c:pt>
                <c:pt idx="34">
                  <c:v>491.15692399023789</c:v>
                </c:pt>
                <c:pt idx="35">
                  <c:v>511.75973318985467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2.5899319369248102</c:v>
                </c:pt>
                <c:pt idx="2">
                  <c:v>3.2253851310403672</c:v>
                </c:pt>
                <c:pt idx="3">
                  <c:v>4.0173528690193505</c:v>
                </c:pt>
                <c:pt idx="4">
                  <c:v>5.00452528642787</c:v>
                </c:pt>
                <c:pt idx="5">
                  <c:v>6.2351890481209198</c:v>
                </c:pt>
                <c:pt idx="6">
                  <c:v>7.7696150958050287</c:v>
                </c:pt>
                <c:pt idx="7">
                  <c:v>9.683042215330218</c:v>
                </c:pt>
                <c:pt idx="8">
                  <c:v>12.069405492775401</c:v>
                </c:pt>
                <c:pt idx="9">
                  <c:v>15.045996113937354</c:v>
                </c:pt>
                <c:pt idx="10">
                  <c:v>18.759285743865959</c:v>
                </c:pt>
                <c:pt idx="11">
                  <c:v>23.392207267964867</c:v>
                </c:pt>
                <c:pt idx="12">
                  <c:v>29.173256947236883</c:v>
                </c:pt>
                <c:pt idx="13">
                  <c:v>36.387874748664522</c:v>
                </c:pt>
                <c:pt idx="14">
                  <c:v>45.392674405485643</c:v>
                </c:pt>
                <c:pt idx="15">
                  <c:v>56.633238462952697</c:v>
                </c:pt>
                <c:pt idx="16">
                  <c:v>70.666373465260961</c:v>
                </c:pt>
                <c:pt idx="17">
                  <c:v>88.187945673386295</c:v>
                </c:pt>
                <c:pt idx="18">
                  <c:v>110.06769971495227</c:v>
                </c:pt>
                <c:pt idx="19">
                  <c:v>137.39281569228118</c:v>
                </c:pt>
                <c:pt idx="20">
                  <c:v>171.52240247513097</c:v>
                </c:pt>
                <c:pt idx="21">
                  <c:v>117.08953497430657</c:v>
                </c:pt>
                <c:pt idx="22">
                  <c:v>138.71071738701849</c:v>
                </c:pt>
                <c:pt idx="23">
                  <c:v>160.25079164727728</c:v>
                </c:pt>
                <c:pt idx="24">
                  <c:v>181.72221165400222</c:v>
                </c:pt>
                <c:pt idx="25">
                  <c:v>203.1342371552947</c:v>
                </c:pt>
                <c:pt idx="26">
                  <c:v>224.49401164296532</c:v>
                </c:pt>
                <c:pt idx="27">
                  <c:v>245.80720608227134</c:v>
                </c:pt>
                <c:pt idx="28">
                  <c:v>267.07842670720612</c:v>
                </c:pt>
                <c:pt idx="29">
                  <c:v>288.31148567604197</c:v>
                </c:pt>
                <c:pt idx="30">
                  <c:v>309.50958762804532</c:v>
                </c:pt>
                <c:pt idx="31">
                  <c:v>229.73908693575422</c:v>
                </c:pt>
                <c:pt idx="32">
                  <c:v>247.552271690163</c:v>
                </c:pt>
                <c:pt idx="33">
                  <c:v>265.33636719298863</c:v>
                </c:pt>
                <c:pt idx="34">
                  <c:v>283.09359729649924</c:v>
                </c:pt>
                <c:pt idx="35">
                  <c:v>300.8258840165891</c:v>
                </c:pt>
                <c:pt idx="36">
                  <c:v>318.53490425391561</c:v>
                </c:pt>
                <c:pt idx="37">
                  <c:v>336.22213322966473</c:v>
                </c:pt>
                <c:pt idx="38">
                  <c:v>353.88887829705351</c:v>
                </c:pt>
                <c:pt idx="39">
                  <c:v>371.53630564474861</c:v>
                </c:pt>
                <c:pt idx="40">
                  <c:v>389.16546165993583</c:v>
                </c:pt>
                <c:pt idx="41">
                  <c:v>305.51576628998953</c:v>
                </c:pt>
                <c:pt idx="42">
                  <c:v>318.88191759321518</c:v>
                </c:pt>
                <c:pt idx="43">
                  <c:v>332.23566943149461</c:v>
                </c:pt>
                <c:pt idx="44">
                  <c:v>345.57759046125335</c:v>
                </c:pt>
                <c:pt idx="45">
                  <c:v>358.90820183854021</c:v>
                </c:pt>
                <c:pt idx="46">
                  <c:v>372.22798284097098</c:v>
                </c:pt>
                <c:pt idx="47">
                  <c:v>385.53737564275275</c:v>
                </c:pt>
                <c:pt idx="48">
                  <c:v>398.83678939579403</c:v>
                </c:pt>
                <c:pt idx="49">
                  <c:v>412.12660373799196</c:v>
                </c:pt>
                <c:pt idx="50">
                  <c:v>425.4071718253474</c:v>
                </c:pt>
                <c:pt idx="51">
                  <c:v>367.73157741875724</c:v>
                </c:pt>
                <c:pt idx="52">
                  <c:v>377.41467255842053</c:v>
                </c:pt>
                <c:pt idx="53">
                  <c:v>387.09236005182021</c:v>
                </c:pt>
                <c:pt idx="54">
                  <c:v>396.76479421746376</c:v>
                </c:pt>
                <c:pt idx="55">
                  <c:v>406.43212123270035</c:v>
                </c:pt>
                <c:pt idx="56">
                  <c:v>416.09447975082225</c:v>
                </c:pt>
                <c:pt idx="57">
                  <c:v>425.75200145784316</c:v>
                </c:pt>
                <c:pt idx="58">
                  <c:v>435.40481157611185</c:v>
                </c:pt>
                <c:pt idx="59">
                  <c:v>445.05302932092792</c:v>
                </c:pt>
                <c:pt idx="60">
                  <c:v>454.69676831549168</c:v>
                </c:pt>
                <c:pt idx="61">
                  <c:v>418.68178489381393</c:v>
                </c:pt>
                <c:pt idx="62">
                  <c:v>425.75200145784316</c:v>
                </c:pt>
                <c:pt idx="63">
                  <c:v>432.81969257844707</c:v>
                </c:pt>
                <c:pt idx="64">
                  <c:v>439.88490533840906</c:v>
                </c:pt>
                <c:pt idx="65">
                  <c:v>446.94768518373309</c:v>
                </c:pt>
                <c:pt idx="66">
                  <c:v>454.00807600607862</c:v>
                </c:pt>
                <c:pt idx="67">
                  <c:v>461.06612021979964</c:v>
                </c:pt>
                <c:pt idx="68">
                  <c:v>468.12185883401872</c:v>
                </c:pt>
                <c:pt idx="69">
                  <c:v>475.17533152012783</c:v>
                </c:pt>
                <c:pt idx="70">
                  <c:v>482.22657667507048</c:v>
                </c:pt>
                <c:pt idx="71">
                  <c:v>451.42528061425111</c:v>
                </c:pt>
                <c:pt idx="72">
                  <c:v>456.7627116241062</c:v>
                </c:pt>
                <c:pt idx="73">
                  <c:v>462.09881038696238</c:v>
                </c:pt>
                <c:pt idx="74">
                  <c:v>467.43359446949609</c:v>
                </c:pt>
                <c:pt idx="75">
                  <c:v>472.76708100439265</c:v>
                </c:pt>
                <c:pt idx="76">
                  <c:v>478.09928670594991</c:v>
                </c:pt>
                <c:pt idx="77">
                  <c:v>483.43022788495313</c:v>
                </c:pt>
                <c:pt idx="78">
                  <c:v>488.75992046285774</c:v>
                </c:pt>
                <c:pt idx="79">
                  <c:v>494.08837998532084</c:v>
                </c:pt>
                <c:pt idx="80">
                  <c:v>499.4156216351189</c:v>
                </c:pt>
                <c:pt idx="81">
                  <c:v>1.4005661123635408E-12</c:v>
                </c:pt>
                <c:pt idx="82">
                  <c:v>1.4005661123635408E-12</c:v>
                </c:pt>
                <c:pt idx="83">
                  <c:v>1.4005661123635408E-12</c:v>
                </c:pt>
                <c:pt idx="84">
                  <c:v>1.4005661123635408E-12</c:v>
                </c:pt>
                <c:pt idx="85">
                  <c:v>1.4005661123635408E-12</c:v>
                </c:pt>
                <c:pt idx="86">
                  <c:v>1.4005661123635408E-12</c:v>
                </c:pt>
                <c:pt idx="87">
                  <c:v>1.4005661123635408E-12</c:v>
                </c:pt>
                <c:pt idx="88">
                  <c:v>1.4005661123635408E-12</c:v>
                </c:pt>
                <c:pt idx="89">
                  <c:v>1.4005661123635408E-12</c:v>
                </c:pt>
                <c:pt idx="90">
                  <c:v>1.4005661123635408E-12</c:v>
                </c:pt>
                <c:pt idx="91">
                  <c:v>1.4005661123635408E-12</c:v>
                </c:pt>
                <c:pt idx="92">
                  <c:v>1.4005661123635408E-12</c:v>
                </c:pt>
                <c:pt idx="93">
                  <c:v>1.4005661123635408E-12</c:v>
                </c:pt>
                <c:pt idx="94">
                  <c:v>1.4005661123635408E-12</c:v>
                </c:pt>
                <c:pt idx="95">
                  <c:v>1.4005661123635408E-12</c:v>
                </c:pt>
                <c:pt idx="96">
                  <c:v>1.4005661123635408E-12</c:v>
                </c:pt>
                <c:pt idx="97">
                  <c:v>1.4005661123635408E-12</c:v>
                </c:pt>
                <c:pt idx="98">
                  <c:v>1.4005661123635408E-12</c:v>
                </c:pt>
                <c:pt idx="99">
                  <c:v>1.4005661123635408E-12</c:v>
                </c:pt>
                <c:pt idx="100">
                  <c:v>1.4005661123635408E-12</c:v>
                </c:pt>
                <c:pt idx="101">
                  <c:v>1.4005661123635408E-12</c:v>
                </c:pt>
                <c:pt idx="102">
                  <c:v>1.4005661123635408E-12</c:v>
                </c:pt>
                <c:pt idx="103">
                  <c:v>1.4005661123635408E-12</c:v>
                </c:pt>
                <c:pt idx="104">
                  <c:v>1.4005661123635408E-12</c:v>
                </c:pt>
                <c:pt idx="105">
                  <c:v>1.4005661123635408E-12</c:v>
                </c:pt>
                <c:pt idx="106">
                  <c:v>1.4005661123635408E-12</c:v>
                </c:pt>
                <c:pt idx="107">
                  <c:v>1.4005661123635408E-12</c:v>
                </c:pt>
                <c:pt idx="108">
                  <c:v>1.4005661123635408E-12</c:v>
                </c:pt>
                <c:pt idx="109">
                  <c:v>1.4005661123635408E-12</c:v>
                </c:pt>
                <c:pt idx="110">
                  <c:v>1.4005661123635408E-12</c:v>
                </c:pt>
                <c:pt idx="111">
                  <c:v>1.4005661123635408E-12</c:v>
                </c:pt>
                <c:pt idx="112">
                  <c:v>1.4005661123635408E-12</c:v>
                </c:pt>
                <c:pt idx="113">
                  <c:v>1.4005661123635408E-12</c:v>
                </c:pt>
                <c:pt idx="114">
                  <c:v>1.4005661123635408E-12</c:v>
                </c:pt>
                <c:pt idx="115">
                  <c:v>1.4005661123635408E-12</c:v>
                </c:pt>
                <c:pt idx="116">
                  <c:v>1.4005661123635408E-12</c:v>
                </c:pt>
                <c:pt idx="117">
                  <c:v>1.4005661123635408E-12</c:v>
                </c:pt>
                <c:pt idx="118">
                  <c:v>1.4005661123635408E-12</c:v>
                </c:pt>
                <c:pt idx="119">
                  <c:v>1.4005661123635408E-12</c:v>
                </c:pt>
                <c:pt idx="120">
                  <c:v>1.4005661123635408E-12</c:v>
                </c:pt>
                <c:pt idx="121">
                  <c:v>1.4005661123635408E-12</c:v>
                </c:pt>
                <c:pt idx="122">
                  <c:v>1.4005661123635408E-12</c:v>
                </c:pt>
                <c:pt idx="123">
                  <c:v>1.4005661123635408E-12</c:v>
                </c:pt>
                <c:pt idx="124">
                  <c:v>1.4005661123635408E-12</c:v>
                </c:pt>
                <c:pt idx="125">
                  <c:v>1.4005661123635408E-12</c:v>
                </c:pt>
                <c:pt idx="126">
                  <c:v>1.4005661123635408E-12</c:v>
                </c:pt>
                <c:pt idx="127">
                  <c:v>1.4005661123635408E-12</c:v>
                </c:pt>
                <c:pt idx="128">
                  <c:v>1.4005661123635408E-12</c:v>
                </c:pt>
                <c:pt idx="129">
                  <c:v>1.4005661123635408E-12</c:v>
                </c:pt>
                <c:pt idx="130">
                  <c:v>1.4005661123635408E-12</c:v>
                </c:pt>
                <c:pt idx="131">
                  <c:v>1.4005661123635408E-12</c:v>
                </c:pt>
                <c:pt idx="132">
                  <c:v>1.4005661123635408E-12</c:v>
                </c:pt>
                <c:pt idx="133">
                  <c:v>1.4005661123635408E-12</c:v>
                </c:pt>
                <c:pt idx="134">
                  <c:v>1.4005661123635408E-12</c:v>
                </c:pt>
                <c:pt idx="135">
                  <c:v>1.4005661123635408E-12</c:v>
                </c:pt>
                <c:pt idx="136">
                  <c:v>1.4005661123635408E-12</c:v>
                </c:pt>
                <c:pt idx="137">
                  <c:v>1.4005661123635408E-12</c:v>
                </c:pt>
                <c:pt idx="138">
                  <c:v>1.4005661123635408E-12</c:v>
                </c:pt>
                <c:pt idx="139">
                  <c:v>1.4005661123635408E-12</c:v>
                </c:pt>
                <c:pt idx="140">
                  <c:v>1.4005661123635408E-12</c:v>
                </c:pt>
                <c:pt idx="141">
                  <c:v>1.4005661123635408E-12</c:v>
                </c:pt>
                <c:pt idx="142">
                  <c:v>1.4005661123635408E-12</c:v>
                </c:pt>
                <c:pt idx="143">
                  <c:v>1.4005661123635408E-12</c:v>
                </c:pt>
                <c:pt idx="144">
                  <c:v>1.4005661123635408E-12</c:v>
                </c:pt>
                <c:pt idx="145">
                  <c:v>1.4005661123635408E-12</c:v>
                </c:pt>
                <c:pt idx="146">
                  <c:v>1.4005661123635408E-12</c:v>
                </c:pt>
                <c:pt idx="147">
                  <c:v>1.4005661123635408E-12</c:v>
                </c:pt>
                <c:pt idx="148">
                  <c:v>1.4005661123635408E-12</c:v>
                </c:pt>
                <c:pt idx="149">
                  <c:v>1.4005661123635408E-12</c:v>
                </c:pt>
                <c:pt idx="150">
                  <c:v>1.4005661123635408E-12</c:v>
                </c:pt>
                <c:pt idx="151">
                  <c:v>1.4005661123635408E-12</c:v>
                </c:pt>
                <c:pt idx="152">
                  <c:v>1.4005661123635408E-12</c:v>
                </c:pt>
                <c:pt idx="153">
                  <c:v>1.4005661123635408E-12</c:v>
                </c:pt>
                <c:pt idx="154">
                  <c:v>1.4005661123635408E-12</c:v>
                </c:pt>
                <c:pt idx="155">
                  <c:v>1.4005661123635408E-12</c:v>
                </c:pt>
                <c:pt idx="156">
                  <c:v>1.4005661123635408E-12</c:v>
                </c:pt>
                <c:pt idx="157">
                  <c:v>1.4005661123635408E-12</c:v>
                </c:pt>
                <c:pt idx="158">
                  <c:v>1.4005661123635408E-12</c:v>
                </c:pt>
                <c:pt idx="159">
                  <c:v>1.4005661123635408E-12</c:v>
                </c:pt>
                <c:pt idx="160">
                  <c:v>1.4005661123635408E-12</c:v>
                </c:pt>
                <c:pt idx="161">
                  <c:v>1.4005661123635408E-12</c:v>
                </c:pt>
                <c:pt idx="162">
                  <c:v>1.4005661123635408E-12</c:v>
                </c:pt>
                <c:pt idx="163">
                  <c:v>1.4005661123635408E-12</c:v>
                </c:pt>
                <c:pt idx="164">
                  <c:v>1.4005661123635408E-12</c:v>
                </c:pt>
                <c:pt idx="165">
                  <c:v>1.4005661123635408E-12</c:v>
                </c:pt>
                <c:pt idx="166">
                  <c:v>1.4005661123635408E-12</c:v>
                </c:pt>
                <c:pt idx="167">
                  <c:v>1.4005661123635408E-12</c:v>
                </c:pt>
                <c:pt idx="168">
                  <c:v>1.4005661123635408E-12</c:v>
                </c:pt>
                <c:pt idx="169">
                  <c:v>1.4005661123635408E-12</c:v>
                </c:pt>
                <c:pt idx="170">
                  <c:v>1.4005661123635408E-12</c:v>
                </c:pt>
                <c:pt idx="171">
                  <c:v>1.4005661123635408E-12</c:v>
                </c:pt>
                <c:pt idx="172">
                  <c:v>1.4005661123635408E-12</c:v>
                </c:pt>
                <c:pt idx="173">
                  <c:v>1.4005661123635408E-12</c:v>
                </c:pt>
                <c:pt idx="174">
                  <c:v>1.4005661123635408E-12</c:v>
                </c:pt>
                <c:pt idx="175">
                  <c:v>1.4005661123635408E-12</c:v>
                </c:pt>
                <c:pt idx="176">
                  <c:v>1.4005661123635408E-12</c:v>
                </c:pt>
                <c:pt idx="177">
                  <c:v>1.4005661123635408E-12</c:v>
                </c:pt>
                <c:pt idx="178">
                  <c:v>1.4005661123635408E-12</c:v>
                </c:pt>
                <c:pt idx="179">
                  <c:v>1.4005661123635408E-12</c:v>
                </c:pt>
                <c:pt idx="180">
                  <c:v>1.4005661123635408E-12</c:v>
                </c:pt>
                <c:pt idx="181">
                  <c:v>1.4005661123635408E-12</c:v>
                </c:pt>
                <c:pt idx="182">
                  <c:v>1.4005661123635408E-12</c:v>
                </c:pt>
                <c:pt idx="183">
                  <c:v>1.4005661123635408E-12</c:v>
                </c:pt>
                <c:pt idx="184">
                  <c:v>1.4005661123635408E-12</c:v>
                </c:pt>
                <c:pt idx="185">
                  <c:v>1.4005661123635408E-12</c:v>
                </c:pt>
                <c:pt idx="186">
                  <c:v>1.4005661123635408E-12</c:v>
                </c:pt>
                <c:pt idx="187">
                  <c:v>1.4005661123635408E-12</c:v>
                </c:pt>
                <c:pt idx="188">
                  <c:v>1.4005661123635408E-12</c:v>
                </c:pt>
                <c:pt idx="189">
                  <c:v>1.4005661123635408E-12</c:v>
                </c:pt>
                <c:pt idx="190">
                  <c:v>1.4005661123635408E-12</c:v>
                </c:pt>
                <c:pt idx="191">
                  <c:v>1.4005661123635408E-12</c:v>
                </c:pt>
                <c:pt idx="192">
                  <c:v>1.4005661123635408E-12</c:v>
                </c:pt>
                <c:pt idx="193">
                  <c:v>1.4005661123635408E-12</c:v>
                </c:pt>
                <c:pt idx="194">
                  <c:v>1.4005661123635408E-12</c:v>
                </c:pt>
                <c:pt idx="195">
                  <c:v>1.4005661123635408E-12</c:v>
                </c:pt>
                <c:pt idx="196">
                  <c:v>1.4005661123635408E-12</c:v>
                </c:pt>
                <c:pt idx="197">
                  <c:v>1.4005661123635408E-12</c:v>
                </c:pt>
                <c:pt idx="198">
                  <c:v>1.4005661123635408E-12</c:v>
                </c:pt>
                <c:pt idx="199">
                  <c:v>1.4005661123635408E-12</c:v>
                </c:pt>
                <c:pt idx="200">
                  <c:v>1.4005661123635408E-12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3.2877822830537951</c:v>
                </c:pt>
                <c:pt idx="2">
                  <c:v>3.7486563824478041</c:v>
                </c:pt>
                <c:pt idx="3">
                  <c:v>4.2743621988779381</c:v>
                </c:pt>
                <c:pt idx="4">
                  <c:v>4.8740498871689484</c:v>
                </c:pt>
                <c:pt idx="5">
                  <c:v>5.5581650240281348</c:v>
                </c:pt>
                <c:pt idx="6">
                  <c:v>6.3386325329171171</c:v>
                </c:pt>
                <c:pt idx="7">
                  <c:v>7.2290667920123957</c:v>
                </c:pt>
                <c:pt idx="8">
                  <c:v>8.2450116617021205</c:v>
                </c:pt>
                <c:pt idx="9">
                  <c:v>9.4042147024631397</c:v>
                </c:pt>
                <c:pt idx="10">
                  <c:v>10.72694046494486</c:v>
                </c:pt>
                <c:pt idx="11">
                  <c:v>12.236328432650803</c:v>
                </c:pt>
                <c:pt idx="12">
                  <c:v>13.958801996331969</c:v>
                </c:pt>
                <c:pt idx="13">
                  <c:v>15.924535752475025</c:v>
                </c:pt>
                <c:pt idx="14">
                  <c:v>18.16798946253861</c:v>
                </c:pt>
                <c:pt idx="15">
                  <c:v>20.728518203687273</c:v>
                </c:pt>
                <c:pt idx="16">
                  <c:v>23.651069607227843</c:v>
                </c:pt>
                <c:pt idx="17">
                  <c:v>26.986980642400102</c:v>
                </c:pt>
                <c:pt idx="18">
                  <c:v>30.794888188792299</c:v>
                </c:pt>
                <c:pt idx="19">
                  <c:v>35.141769682679019</c:v>
                </c:pt>
                <c:pt idx="20">
                  <c:v>40.104132457894728</c:v>
                </c:pt>
                <c:pt idx="21">
                  <c:v>45.769373072652449</c:v>
                </c:pt>
                <c:pt idx="22">
                  <c:v>52.237330968265496</c:v>
                </c:pt>
                <c:pt idx="23">
                  <c:v>59.622064299257012</c:v>
                </c:pt>
                <c:pt idx="24">
                  <c:v>68.053879770033035</c:v>
                </c:pt>
                <c:pt idx="25">
                  <c:v>77.681652883443277</c:v>
                </c:pt>
                <c:pt idx="26">
                  <c:v>89.749527295102055</c:v>
                </c:pt>
                <c:pt idx="27">
                  <c:v>101.77669150071307</c:v>
                </c:pt>
                <c:pt idx="28">
                  <c:v>113.76864450731324</c:v>
                </c:pt>
                <c:pt idx="29">
                  <c:v>125.72962687559315</c:v>
                </c:pt>
                <c:pt idx="30">
                  <c:v>137.6630039822968</c:v>
                </c:pt>
                <c:pt idx="31">
                  <c:v>150.56283505758572</c:v>
                </c:pt>
                <c:pt idx="32">
                  <c:v>163.43632399978193</c:v>
                </c:pt>
                <c:pt idx="33">
                  <c:v>176.28583963282645</c:v>
                </c:pt>
                <c:pt idx="34">
                  <c:v>189.11337673305502</c:v>
                </c:pt>
                <c:pt idx="35">
                  <c:v>201.92063702336623</c:v>
                </c:pt>
                <c:pt idx="36">
                  <c:v>214.70908849243639</c:v>
                </c:pt>
                <c:pt idx="37">
                  <c:v>227.4800098123992</c:v>
                </c:pt>
                <c:pt idx="38">
                  <c:v>240.234524242437</c:v>
                </c:pt>
                <c:pt idx="39">
                  <c:v>252.97362594481328</c:v>
                </c:pt>
                <c:pt idx="40">
                  <c:v>265.69820071594569</c:v>
                </c:pt>
                <c:pt idx="41">
                  <c:v>213.23441535885948</c:v>
                </c:pt>
                <c:pt idx="42">
                  <c:v>226.9891306675197</c:v>
                </c:pt>
                <c:pt idx="43">
                  <c:v>240.72476870476387</c:v>
                </c:pt>
                <c:pt idx="44">
                  <c:v>254.44257166922989</c:v>
                </c:pt>
                <c:pt idx="45">
                  <c:v>268.14363680502896</c:v>
                </c:pt>
                <c:pt idx="46">
                  <c:v>281.82894001768102</c:v>
                </c:pt>
                <c:pt idx="47">
                  <c:v>295.49935465856686</c:v>
                </c:pt>
                <c:pt idx="48">
                  <c:v>309.15566664872</c:v>
                </c:pt>
                <c:pt idx="49">
                  <c:v>322.79858678882687</c:v>
                </c:pt>
                <c:pt idx="50">
                  <c:v>336.42876087816649</c:v>
                </c:pt>
                <c:pt idx="51">
                  <c:v>281.58469262448438</c:v>
                </c:pt>
                <c:pt idx="52">
                  <c:v>295.01137284288603</c:v>
                </c:pt>
                <c:pt idx="53">
                  <c:v>308.42442403031379</c:v>
                </c:pt>
                <c:pt idx="54">
                  <c:v>321.82452250125192</c:v>
                </c:pt>
                <c:pt idx="55">
                  <c:v>335.21228363803715</c:v>
                </c:pt>
                <c:pt idx="56">
                  <c:v>348.5882696463309</c:v>
                </c:pt>
                <c:pt idx="57">
                  <c:v>361.9529960575826</c:v>
                </c:pt>
                <c:pt idx="58">
                  <c:v>375.30693722065462</c:v>
                </c:pt>
                <c:pt idx="59">
                  <c:v>388.65053097085661</c:v>
                </c:pt>
                <c:pt idx="60">
                  <c:v>401.98418262418676</c:v>
                </c:pt>
                <c:pt idx="61">
                  <c:v>346.64338320780843</c:v>
                </c:pt>
                <c:pt idx="62">
                  <c:v>359.2809282211449</c:v>
                </c:pt>
                <c:pt idx="63">
                  <c:v>371.90875069809834</c:v>
                </c:pt>
                <c:pt idx="64">
                  <c:v>384.52722731702625</c:v>
                </c:pt>
                <c:pt idx="65">
                  <c:v>397.13670801387701</c:v>
                </c:pt>
                <c:pt idx="66">
                  <c:v>409.73751868756921</c:v>
                </c:pt>
                <c:pt idx="67">
                  <c:v>422.32996355517275</c:v>
                </c:pt>
                <c:pt idx="68">
                  <c:v>434.91432721152552</c:v>
                </c:pt>
                <c:pt idx="69">
                  <c:v>447.4908764380329</c:v>
                </c:pt>
                <c:pt idx="70">
                  <c:v>460.05986179752364</c:v>
                </c:pt>
                <c:pt idx="71">
                  <c:v>403.92281739037998</c:v>
                </c:pt>
                <c:pt idx="72">
                  <c:v>415.55043819324038</c:v>
                </c:pt>
                <c:pt idx="73">
                  <c:v>427.17104483253434</c:v>
                </c:pt>
                <c:pt idx="74">
                  <c:v>438.78485503402709</c:v>
                </c:pt>
                <c:pt idx="75">
                  <c:v>450.39207405650853</c:v>
                </c:pt>
                <c:pt idx="76">
                  <c:v>461.99289571537264</c:v>
                </c:pt>
                <c:pt idx="77">
                  <c:v>473.58750329802757</c:v>
                </c:pt>
                <c:pt idx="78">
                  <c:v>485.17607038499403</c:v>
                </c:pt>
                <c:pt idx="79">
                  <c:v>496.75876158847001</c:v>
                </c:pt>
                <c:pt idx="80">
                  <c:v>508.33573321843437</c:v>
                </c:pt>
                <c:pt idx="81">
                  <c:v>451.11731088004416</c:v>
                </c:pt>
                <c:pt idx="82">
                  <c:v>461.50965344860703</c:v>
                </c:pt>
                <c:pt idx="83">
                  <c:v>471.89700327269423</c:v>
                </c:pt>
                <c:pt idx="84">
                  <c:v>482.27948576072555</c:v>
                </c:pt>
                <c:pt idx="85">
                  <c:v>492.6572204804599</c:v>
                </c:pt>
                <c:pt idx="86">
                  <c:v>503.03032155094508</c:v>
                </c:pt>
                <c:pt idx="87">
                  <c:v>513.39889800045637</c:v>
                </c:pt>
                <c:pt idx="88">
                  <c:v>523.76305409401346</c:v>
                </c:pt>
                <c:pt idx="89">
                  <c:v>534.12288963362687</c:v>
                </c:pt>
                <c:pt idx="90">
                  <c:v>544.47850023404135</c:v>
                </c:pt>
                <c:pt idx="91">
                  <c:v>485.90015906795094</c:v>
                </c:pt>
                <c:pt idx="92">
                  <c:v>494.82871437010857</c:v>
                </c:pt>
                <c:pt idx="93">
                  <c:v>503.75385619703394</c:v>
                </c:pt>
                <c:pt idx="94">
                  <c:v>512.67565356716739</c:v>
                </c:pt>
                <c:pt idx="95">
                  <c:v>521.59417290035958</c:v>
                </c:pt>
                <c:pt idx="96">
                  <c:v>530.50947815942664</c:v>
                </c:pt>
                <c:pt idx="97">
                  <c:v>539.42163098169601</c:v>
                </c:pt>
                <c:pt idx="98">
                  <c:v>548.33069080140524</c:v>
                </c:pt>
                <c:pt idx="99">
                  <c:v>557.23671496373254</c:v>
                </c:pt>
                <c:pt idx="100">
                  <c:v>566.13975883115904</c:v>
                </c:pt>
                <c:pt idx="101">
                  <c:v>506.16547976848915</c:v>
                </c:pt>
                <c:pt idx="102">
                  <c:v>513.63997469556193</c:v>
                </c:pt>
                <c:pt idx="103">
                  <c:v>521.11217350977063</c:v>
                </c:pt>
                <c:pt idx="104">
                  <c:v>528.58211378930412</c:v>
                </c:pt>
                <c:pt idx="105">
                  <c:v>536.04983196327225</c:v>
                </c:pt>
                <c:pt idx="106">
                  <c:v>543.51536336270829</c:v>
                </c:pt>
                <c:pt idx="107">
                  <c:v>550.9787422686253</c:v>
                </c:pt>
                <c:pt idx="108">
                  <c:v>558.44000195733156</c:v>
                </c:pt>
                <c:pt idx="109">
                  <c:v>565.89917474319952</c:v>
                </c:pt>
                <c:pt idx="110">
                  <c:v>573.35629201905988</c:v>
                </c:pt>
                <c:pt idx="111">
                  <c:v>515.08638473795293</c:v>
                </c:pt>
                <c:pt idx="112">
                  <c:v>521.83516907361616</c:v>
                </c:pt>
                <c:pt idx="113">
                  <c:v>528.58211378930412</c:v>
                </c:pt>
                <c:pt idx="114">
                  <c:v>535.32724568755873</c:v>
                </c:pt>
                <c:pt idx="115">
                  <c:v>542.07059084014895</c:v>
                </c:pt>
                <c:pt idx="116">
                  <c:v>548.81217461703875</c:v>
                </c:pt>
                <c:pt idx="117">
                  <c:v>555.55202171385497</c:v>
                </c:pt>
                <c:pt idx="118">
                  <c:v>562.2901561779538</c:v>
                </c:pt>
                <c:pt idx="119">
                  <c:v>569.02660143317291</c:v>
                </c:pt>
                <c:pt idx="120">
                  <c:v>575.76138030334971</c:v>
                </c:pt>
                <c:pt idx="121">
                  <c:v>1.0220655882243624E-12</c:v>
                </c:pt>
                <c:pt idx="122">
                  <c:v>1.0220655882243624E-12</c:v>
                </c:pt>
                <c:pt idx="123">
                  <c:v>1.0220655882243624E-12</c:v>
                </c:pt>
                <c:pt idx="124">
                  <c:v>1.0220655882243624E-12</c:v>
                </c:pt>
                <c:pt idx="125">
                  <c:v>1.0220655882243624E-12</c:v>
                </c:pt>
                <c:pt idx="126">
                  <c:v>1.0220655882243624E-12</c:v>
                </c:pt>
                <c:pt idx="127">
                  <c:v>1.0220655882243624E-12</c:v>
                </c:pt>
                <c:pt idx="128">
                  <c:v>1.0220655882243624E-12</c:v>
                </c:pt>
                <c:pt idx="129">
                  <c:v>1.0220655882243624E-12</c:v>
                </c:pt>
                <c:pt idx="130">
                  <c:v>1.0220655882243624E-12</c:v>
                </c:pt>
                <c:pt idx="131">
                  <c:v>1.0220655882243624E-12</c:v>
                </c:pt>
                <c:pt idx="132">
                  <c:v>1.0220655882243624E-12</c:v>
                </c:pt>
                <c:pt idx="133">
                  <c:v>1.0220655882243624E-12</c:v>
                </c:pt>
                <c:pt idx="134">
                  <c:v>1.0220655882243624E-12</c:v>
                </c:pt>
                <c:pt idx="135">
                  <c:v>1.0220655882243624E-12</c:v>
                </c:pt>
                <c:pt idx="136">
                  <c:v>1.0220655882243624E-12</c:v>
                </c:pt>
                <c:pt idx="137">
                  <c:v>1.0220655882243624E-12</c:v>
                </c:pt>
                <c:pt idx="138">
                  <c:v>1.0220655882243624E-12</c:v>
                </c:pt>
                <c:pt idx="139">
                  <c:v>1.0220655882243624E-12</c:v>
                </c:pt>
                <c:pt idx="140">
                  <c:v>1.0220655882243624E-12</c:v>
                </c:pt>
                <c:pt idx="141">
                  <c:v>1.0220655882243624E-12</c:v>
                </c:pt>
                <c:pt idx="142">
                  <c:v>1.0220655882243624E-12</c:v>
                </c:pt>
                <c:pt idx="143">
                  <c:v>1.0220655882243624E-12</c:v>
                </c:pt>
                <c:pt idx="144">
                  <c:v>1.0220655882243624E-12</c:v>
                </c:pt>
                <c:pt idx="145">
                  <c:v>1.0220655882243624E-12</c:v>
                </c:pt>
                <c:pt idx="146">
                  <c:v>1.0220655882243624E-12</c:v>
                </c:pt>
                <c:pt idx="147">
                  <c:v>1.0220655882243624E-12</c:v>
                </c:pt>
                <c:pt idx="148">
                  <c:v>1.0220655882243624E-12</c:v>
                </c:pt>
                <c:pt idx="149">
                  <c:v>1.0220655882243624E-12</c:v>
                </c:pt>
                <c:pt idx="150">
                  <c:v>1.0220655882243624E-12</c:v>
                </c:pt>
                <c:pt idx="151">
                  <c:v>1.0220655882243624E-12</c:v>
                </c:pt>
                <c:pt idx="152">
                  <c:v>1.0220655882243624E-12</c:v>
                </c:pt>
                <c:pt idx="153">
                  <c:v>1.0220655882243624E-12</c:v>
                </c:pt>
                <c:pt idx="154">
                  <c:v>1.0220655882243624E-12</c:v>
                </c:pt>
                <c:pt idx="155">
                  <c:v>1.0220655882243624E-12</c:v>
                </c:pt>
                <c:pt idx="156">
                  <c:v>1.0220655882243624E-12</c:v>
                </c:pt>
                <c:pt idx="157">
                  <c:v>1.0220655882243624E-12</c:v>
                </c:pt>
                <c:pt idx="158">
                  <c:v>1.0220655882243624E-12</c:v>
                </c:pt>
                <c:pt idx="159">
                  <c:v>1.0220655882243624E-12</c:v>
                </c:pt>
                <c:pt idx="160">
                  <c:v>1.0220655882243624E-12</c:v>
                </c:pt>
                <c:pt idx="161">
                  <c:v>1.0220655882243624E-12</c:v>
                </c:pt>
                <c:pt idx="162">
                  <c:v>1.0220655882243624E-12</c:v>
                </c:pt>
                <c:pt idx="163">
                  <c:v>1.0220655882243624E-12</c:v>
                </c:pt>
                <c:pt idx="164">
                  <c:v>1.0220655882243624E-12</c:v>
                </c:pt>
                <c:pt idx="165">
                  <c:v>1.0220655882243624E-12</c:v>
                </c:pt>
                <c:pt idx="166">
                  <c:v>1.0220655882243624E-12</c:v>
                </c:pt>
                <c:pt idx="167">
                  <c:v>1.0220655882243624E-12</c:v>
                </c:pt>
                <c:pt idx="168">
                  <c:v>1.0220655882243624E-12</c:v>
                </c:pt>
                <c:pt idx="169">
                  <c:v>1.0220655882243624E-12</c:v>
                </c:pt>
                <c:pt idx="170">
                  <c:v>1.0220655882243624E-12</c:v>
                </c:pt>
                <c:pt idx="171">
                  <c:v>1.0220655882243624E-12</c:v>
                </c:pt>
                <c:pt idx="172">
                  <c:v>1.0220655882243624E-12</c:v>
                </c:pt>
                <c:pt idx="173">
                  <c:v>1.0220655882243624E-12</c:v>
                </c:pt>
                <c:pt idx="174">
                  <c:v>1.0220655882243624E-12</c:v>
                </c:pt>
                <c:pt idx="175">
                  <c:v>1.0220655882243624E-12</c:v>
                </c:pt>
                <c:pt idx="176">
                  <c:v>1.0220655882243624E-12</c:v>
                </c:pt>
                <c:pt idx="177">
                  <c:v>1.0220655882243624E-12</c:v>
                </c:pt>
                <c:pt idx="178">
                  <c:v>1.0220655882243624E-12</c:v>
                </c:pt>
                <c:pt idx="179">
                  <c:v>1.0220655882243624E-12</c:v>
                </c:pt>
                <c:pt idx="180">
                  <c:v>1.0220655882243624E-12</c:v>
                </c:pt>
                <c:pt idx="181">
                  <c:v>1.0220655882243624E-12</c:v>
                </c:pt>
                <c:pt idx="182">
                  <c:v>1.0220655882243624E-12</c:v>
                </c:pt>
                <c:pt idx="183">
                  <c:v>1.0220655882243624E-12</c:v>
                </c:pt>
                <c:pt idx="184">
                  <c:v>1.0220655882243624E-12</c:v>
                </c:pt>
                <c:pt idx="185">
                  <c:v>1.0220655882243624E-12</c:v>
                </c:pt>
                <c:pt idx="186">
                  <c:v>1.0220655882243624E-12</c:v>
                </c:pt>
                <c:pt idx="187">
                  <c:v>1.0220655882243624E-12</c:v>
                </c:pt>
                <c:pt idx="188">
                  <c:v>1.0220655882243624E-12</c:v>
                </c:pt>
                <c:pt idx="189">
                  <c:v>1.0220655882243624E-12</c:v>
                </c:pt>
                <c:pt idx="190">
                  <c:v>1.0220655882243624E-12</c:v>
                </c:pt>
                <c:pt idx="191">
                  <c:v>1.0220655882243624E-12</c:v>
                </c:pt>
                <c:pt idx="192">
                  <c:v>1.0220655882243624E-12</c:v>
                </c:pt>
                <c:pt idx="193">
                  <c:v>1.0220655882243624E-12</c:v>
                </c:pt>
                <c:pt idx="194">
                  <c:v>1.0220655882243624E-12</c:v>
                </c:pt>
                <c:pt idx="195">
                  <c:v>1.0220655882243624E-12</c:v>
                </c:pt>
                <c:pt idx="196">
                  <c:v>1.0220655882243624E-12</c:v>
                </c:pt>
                <c:pt idx="197">
                  <c:v>1.0220655882243624E-12</c:v>
                </c:pt>
                <c:pt idx="198">
                  <c:v>1.0220655882243624E-12</c:v>
                </c:pt>
                <c:pt idx="199">
                  <c:v>1.0220655882243624E-12</c:v>
                </c:pt>
                <c:pt idx="200">
                  <c:v>1.0220655882243624E-12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14" zoomScale="80" zoomScaleNormal="80" workbookViewId="0">
      <selection activeCell="C27" sqref="C27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8" t="s">
        <v>231</v>
      </c>
      <c r="B5" s="268"/>
      <c r="C5" s="24">
        <v>9.06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36</v>
      </c>
      <c r="C9" s="32">
        <v>0.89</v>
      </c>
      <c r="D9" s="33">
        <f t="shared" ref="D9:D18" si="0">C9*$C$5</f>
        <v>8.0633999999999997</v>
      </c>
      <c r="E9" s="34">
        <v>35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5</v>
      </c>
      <c r="C10" s="32">
        <v>3.3000000000000002E-2</v>
      </c>
      <c r="D10" s="33">
        <f t="shared" si="0"/>
        <v>0.29898000000000002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16</v>
      </c>
      <c r="C11" s="32">
        <v>3.3000000000000002E-2</v>
      </c>
      <c r="D11" s="33">
        <f t="shared" si="0"/>
        <v>0.29898000000000002</v>
      </c>
      <c r="E11" s="34">
        <v>120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 t="s">
        <v>10</v>
      </c>
      <c r="C12" s="32">
        <v>3.3000000000000002E-2</v>
      </c>
      <c r="D12" s="33">
        <f t="shared" si="0"/>
        <v>0.29898000000000002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 t="s">
        <v>2</v>
      </c>
      <c r="C13" s="32">
        <v>1.0999999999999999E-2</v>
      </c>
      <c r="D13" s="33">
        <f t="shared" si="0"/>
        <v>9.9659999999999999E-2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1</v>
      </c>
      <c r="D19" s="38">
        <f>SUM(D9:D18)</f>
        <v>9.06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C32" s="23" t="s">
        <v>324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C33" s="23" t="s">
        <v>327</v>
      </c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14</v>
      </c>
      <c r="B36" s="60">
        <v>126</v>
      </c>
      <c r="C36" s="60">
        <v>1</v>
      </c>
      <c r="D36" s="60">
        <v>36</v>
      </c>
      <c r="E36" s="51"/>
      <c r="F36" s="51">
        <v>0.5</v>
      </c>
      <c r="G36" s="51">
        <v>0.5</v>
      </c>
      <c r="H36" s="51"/>
      <c r="I36" s="49">
        <f>IFERROR(B36/A36,"")</f>
        <v>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20</v>
      </c>
      <c r="B37" s="60">
        <v>210</v>
      </c>
      <c r="C37" s="60">
        <v>2</v>
      </c>
      <c r="D37" s="60">
        <v>59</v>
      </c>
      <c r="E37" s="51">
        <v>0.2</v>
      </c>
      <c r="F37" s="51">
        <v>0.4</v>
      </c>
      <c r="G37" s="51">
        <v>0.4</v>
      </c>
      <c r="H37" s="51"/>
      <c r="I37" s="53">
        <f t="shared" ref="I37:I55" si="1">IF(A37&lt;&gt;0,(B37-(B36-D36))/(A37-A36),"")</f>
        <v>20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35</v>
      </c>
      <c r="B38" s="60">
        <v>395</v>
      </c>
      <c r="C38" s="60">
        <v>3</v>
      </c>
      <c r="D38" s="60">
        <v>395</v>
      </c>
      <c r="E38" s="51">
        <v>0.4</v>
      </c>
      <c r="F38" s="51">
        <v>0.3</v>
      </c>
      <c r="G38" s="51">
        <v>0.3</v>
      </c>
      <c r="H38" s="51"/>
      <c r="I38" s="53">
        <f t="shared" si="1"/>
        <v>16.266666666666666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/>
      <c r="B39" s="60"/>
      <c r="C39" s="60"/>
      <c r="D39" s="60"/>
      <c r="E39" s="51"/>
      <c r="F39" s="51"/>
      <c r="G39" s="51"/>
      <c r="H39" s="51"/>
      <c r="I39" s="49" t="str">
        <f t="shared" si="1"/>
        <v/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/>
      <c r="B40" s="60"/>
      <c r="C40" s="60"/>
      <c r="D40" s="60"/>
      <c r="E40" s="51"/>
      <c r="F40" s="51"/>
      <c r="G40" s="51"/>
      <c r="H40" s="51"/>
      <c r="I40" s="49" t="str">
        <f t="shared" si="1"/>
        <v/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Bouleau verruqueux</v>
      </c>
      <c r="C58" s="23" t="s">
        <v>324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C59" s="23" t="s">
        <v>325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20</v>
      </c>
      <c r="B62" s="60">
        <v>95</v>
      </c>
      <c r="C62" s="60">
        <v>1</v>
      </c>
      <c r="D62" s="60">
        <f>15+28</f>
        <v>43</v>
      </c>
      <c r="E62" s="51"/>
      <c r="F62" s="51">
        <v>0.25</v>
      </c>
      <c r="G62" s="51">
        <v>0.25</v>
      </c>
      <c r="H62" s="51">
        <v>0.5</v>
      </c>
      <c r="I62" s="53">
        <f>IFERROR(B62/A62,"")</f>
        <v>4.75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30</v>
      </c>
      <c r="B63" s="60">
        <v>174</v>
      </c>
      <c r="C63" s="60">
        <v>2</v>
      </c>
      <c r="D63" s="60">
        <f>28+28</f>
        <v>56</v>
      </c>
      <c r="E63" s="51"/>
      <c r="F63" s="51">
        <v>0.25</v>
      </c>
      <c r="G63" s="51">
        <v>0.25</v>
      </c>
      <c r="H63" s="51">
        <v>0.5</v>
      </c>
      <c r="I63" s="49">
        <f>IF(A63&lt;&gt;0,(B63-(B62-D62))/(A63-A62),"")</f>
        <v>12.2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40</v>
      </c>
      <c r="B64" s="60">
        <v>220</v>
      </c>
      <c r="C64" s="60">
        <v>3</v>
      </c>
      <c r="D64" s="60">
        <f>28+28</f>
        <v>56</v>
      </c>
      <c r="E64" s="51"/>
      <c r="F64" s="51"/>
      <c r="G64" s="51"/>
      <c r="H64" s="51"/>
      <c r="I64" s="49">
        <f>IF(A64&lt;&gt;0,(B64-(B63-D63))/(A64-A63),"")</f>
        <v>10.199999999999999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50</v>
      </c>
      <c r="B65" s="60">
        <v>241</v>
      </c>
      <c r="C65" s="60">
        <v>4</v>
      </c>
      <c r="D65" s="60">
        <f>22+17</f>
        <v>39</v>
      </c>
      <c r="E65" s="51"/>
      <c r="F65" s="51"/>
      <c r="G65" s="51"/>
      <c r="H65" s="51"/>
      <c r="I65" s="49">
        <f>IF(A65&lt;&gt;0,(B65-(B64-D64))/(A65-A64),"")</f>
        <v>7.7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60</v>
      </c>
      <c r="B66" s="60">
        <v>258</v>
      </c>
      <c r="C66" s="60">
        <v>5</v>
      </c>
      <c r="D66" s="60">
        <f>13+12</f>
        <v>25</v>
      </c>
      <c r="E66" s="51"/>
      <c r="F66" s="51"/>
      <c r="G66" s="51"/>
      <c r="H66" s="51"/>
      <c r="I66" s="49">
        <f t="shared" ref="I66:I81" si="2">IF(A66&lt;&gt;0,(B66-(B65-D65))/(A66-A65),"")</f>
        <v>5.6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70</v>
      </c>
      <c r="B67" s="60">
        <v>274</v>
      </c>
      <c r="C67" s="60">
        <v>6</v>
      </c>
      <c r="D67" s="60">
        <f>11+10</f>
        <v>21</v>
      </c>
      <c r="E67" s="51"/>
      <c r="F67" s="51"/>
      <c r="G67" s="51"/>
      <c r="H67" s="51"/>
      <c r="I67" s="49">
        <f t="shared" si="2"/>
        <v>4.0999999999999996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80</v>
      </c>
      <c r="B68" s="60">
        <f>267+9+8</f>
        <v>284</v>
      </c>
      <c r="C68" s="60">
        <v>7</v>
      </c>
      <c r="D68" s="60">
        <f>B68</f>
        <v>284</v>
      </c>
      <c r="E68" s="51"/>
      <c r="F68" s="51"/>
      <c r="G68" s="51"/>
      <c r="H68" s="51"/>
      <c r="I68" s="49">
        <f t="shared" si="2"/>
        <v>3.1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Chêne vert</v>
      </c>
      <c r="C84" s="23" t="s">
        <v>324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C85" s="23" t="s">
        <v>326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25</v>
      </c>
      <c r="B88" s="60">
        <v>30</v>
      </c>
      <c r="C88" s="60">
        <v>0</v>
      </c>
      <c r="D88" s="60">
        <v>0</v>
      </c>
      <c r="E88" s="51"/>
      <c r="F88" s="51"/>
      <c r="G88" s="51"/>
      <c r="H88" s="87"/>
      <c r="I88" s="53">
        <f>IFERROR(B88/A88,"")</f>
        <v>1.2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30</v>
      </c>
      <c r="B89" s="60">
        <v>54</v>
      </c>
      <c r="C89" s="60">
        <v>0</v>
      </c>
      <c r="D89" s="60">
        <v>0</v>
      </c>
      <c r="E89" s="51"/>
      <c r="F89" s="51"/>
      <c r="G89" s="51"/>
      <c r="H89" s="87"/>
      <c r="I89" s="53">
        <f t="shared" ref="I89:I107" si="3">IF(A89&lt;&gt;0,(B89-(B88-D88))/(A89-A88),"")</f>
        <v>4.8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40</v>
      </c>
      <c r="B90" s="60">
        <f>79+13+14</f>
        <v>106</v>
      </c>
      <c r="C90" s="60">
        <v>1</v>
      </c>
      <c r="D90" s="60">
        <f>13+14</f>
        <v>27</v>
      </c>
      <c r="E90" s="87"/>
      <c r="F90" s="87"/>
      <c r="G90" s="87"/>
      <c r="H90" s="87"/>
      <c r="I90" s="53">
        <f t="shared" si="3"/>
        <v>5.2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50</v>
      </c>
      <c r="B91" s="60">
        <f>107+14+14</f>
        <v>135</v>
      </c>
      <c r="C91" s="60">
        <v>2</v>
      </c>
      <c r="D91" s="60">
        <f>14+14</f>
        <v>28</v>
      </c>
      <c r="E91" s="87"/>
      <c r="F91" s="87"/>
      <c r="G91" s="87"/>
      <c r="H91" s="87"/>
      <c r="I91" s="53">
        <f t="shared" si="3"/>
        <v>5.6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>
        <v>60</v>
      </c>
      <c r="B92" s="60">
        <f>134+14+14</f>
        <v>162</v>
      </c>
      <c r="C92" s="60">
        <v>3</v>
      </c>
      <c r="D92" s="60">
        <f t="shared" ref="D92:D96" si="4">14+14</f>
        <v>28</v>
      </c>
      <c r="E92" s="87"/>
      <c r="F92" s="87"/>
      <c r="G92" s="87"/>
      <c r="H92" s="87"/>
      <c r="I92" s="53">
        <f t="shared" si="3"/>
        <v>5.5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>
        <v>70</v>
      </c>
      <c r="B93" s="60">
        <f>158+14+14</f>
        <v>186</v>
      </c>
      <c r="C93" s="60">
        <v>4</v>
      </c>
      <c r="D93" s="60">
        <f t="shared" si="4"/>
        <v>28</v>
      </c>
      <c r="E93" s="87"/>
      <c r="F93" s="87"/>
      <c r="G93" s="87"/>
      <c r="H93" s="87"/>
      <c r="I93" s="53">
        <f t="shared" si="3"/>
        <v>5.2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>
        <v>80</v>
      </c>
      <c r="B94" s="60">
        <f>178+14+14</f>
        <v>206</v>
      </c>
      <c r="C94" s="60">
        <v>5</v>
      </c>
      <c r="D94" s="60">
        <f t="shared" si="4"/>
        <v>28</v>
      </c>
      <c r="E94" s="87"/>
      <c r="F94" s="87"/>
      <c r="G94" s="87"/>
      <c r="H94" s="87"/>
      <c r="I94" s="53">
        <f t="shared" si="3"/>
        <v>4.8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>
        <v>90</v>
      </c>
      <c r="B95" s="60">
        <f>193+14+14</f>
        <v>221</v>
      </c>
      <c r="C95" s="60">
        <v>6</v>
      </c>
      <c r="D95" s="60">
        <f t="shared" si="4"/>
        <v>28</v>
      </c>
      <c r="E95" s="87"/>
      <c r="F95" s="87"/>
      <c r="G95" s="87"/>
      <c r="H95" s="87"/>
      <c r="I95" s="53">
        <f t="shared" si="3"/>
        <v>4.3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>
        <v>100</v>
      </c>
      <c r="B96" s="60">
        <f>202+14+14</f>
        <v>230</v>
      </c>
      <c r="C96" s="60">
        <v>7</v>
      </c>
      <c r="D96" s="60">
        <f t="shared" si="4"/>
        <v>28</v>
      </c>
      <c r="E96" s="87"/>
      <c r="F96" s="87"/>
      <c r="G96" s="87"/>
      <c r="H96" s="87"/>
      <c r="I96" s="53">
        <f t="shared" si="3"/>
        <v>3.7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>
        <v>110</v>
      </c>
      <c r="B97" s="60">
        <f>206+14+13</f>
        <v>233</v>
      </c>
      <c r="C97" s="60">
        <v>8</v>
      </c>
      <c r="D97" s="60">
        <f>14+13</f>
        <v>27</v>
      </c>
      <c r="E97" s="87"/>
      <c r="F97" s="87"/>
      <c r="G97" s="87"/>
      <c r="H97" s="87"/>
      <c r="I97" s="53">
        <f t="shared" si="3"/>
        <v>3.1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>
        <v>120</v>
      </c>
      <c r="B98" s="60">
        <f>209+13+12</f>
        <v>234</v>
      </c>
      <c r="C98" s="60">
        <v>9</v>
      </c>
      <c r="D98" s="60">
        <f>B98</f>
        <v>234</v>
      </c>
      <c r="E98" s="87"/>
      <c r="F98" s="87"/>
      <c r="G98" s="87"/>
      <c r="H98" s="87"/>
      <c r="I98" s="53">
        <f t="shared" si="3"/>
        <v>2.8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>Chêne-liège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5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/>
      <c r="B116" s="60"/>
      <c r="C116" s="50"/>
      <c r="D116" s="60"/>
      <c r="E116" s="51"/>
      <c r="F116" s="51"/>
      <c r="G116" s="51"/>
      <c r="H116" s="51"/>
      <c r="I116" s="53" t="str">
        <f t="shared" si="5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/>
      <c r="B117" s="60"/>
      <c r="C117" s="50"/>
      <c r="D117" s="60"/>
      <c r="E117" s="51"/>
      <c r="F117" s="51"/>
      <c r="G117" s="51"/>
      <c r="H117" s="51"/>
      <c r="I117" s="53" t="str">
        <f t="shared" si="5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/>
      <c r="B118" s="60"/>
      <c r="C118" s="50"/>
      <c r="D118" s="60"/>
      <c r="E118" s="51"/>
      <c r="F118" s="51"/>
      <c r="G118" s="51"/>
      <c r="H118" s="51"/>
      <c r="I118" s="53" t="str">
        <f t="shared" si="5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/>
      <c r="B119" s="60"/>
      <c r="C119" s="50"/>
      <c r="D119" s="60"/>
      <c r="E119" s="51"/>
      <c r="F119" s="51"/>
      <c r="G119" s="51"/>
      <c r="H119" s="51"/>
      <c r="I119" s="53" t="str">
        <f t="shared" si="5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/>
      <c r="B120" s="60"/>
      <c r="C120" s="60"/>
      <c r="D120" s="60"/>
      <c r="E120" s="87"/>
      <c r="F120" s="87"/>
      <c r="G120" s="87"/>
      <c r="H120" s="87"/>
      <c r="I120" s="53" t="str">
        <f t="shared" si="5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/>
      <c r="B121" s="60"/>
      <c r="C121" s="60"/>
      <c r="D121" s="60"/>
      <c r="E121" s="87"/>
      <c r="F121" s="87"/>
      <c r="G121" s="87"/>
      <c r="H121" s="87"/>
      <c r="I121" s="53" t="str">
        <f t="shared" si="5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/>
      <c r="B122" s="60"/>
      <c r="C122" s="60"/>
      <c r="D122" s="60"/>
      <c r="E122" s="87"/>
      <c r="F122" s="87"/>
      <c r="G122" s="87"/>
      <c r="H122" s="87"/>
      <c r="I122" s="53" t="str">
        <f t="shared" si="5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/>
      <c r="B123" s="60"/>
      <c r="C123" s="60"/>
      <c r="D123" s="60"/>
      <c r="E123" s="87"/>
      <c r="F123" s="87"/>
      <c r="G123" s="87"/>
      <c r="H123" s="87"/>
      <c r="I123" s="53" t="str">
        <f t="shared" si="5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/>
      <c r="B124" s="60"/>
      <c r="C124" s="60"/>
      <c r="D124" s="60"/>
      <c r="E124" s="87"/>
      <c r="F124" s="87"/>
      <c r="G124" s="87"/>
      <c r="H124" s="87"/>
      <c r="I124" s="53" t="str">
        <f t="shared" si="5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5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5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5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5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5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5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5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5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5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>Arbousier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6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6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6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6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6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6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6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6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6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6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6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6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6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6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6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6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6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6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7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7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7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7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7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7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7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7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7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7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7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7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7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7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7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7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7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7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7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8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8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8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8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8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8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8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8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8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8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8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8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8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8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8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8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8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8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8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9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9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9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9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9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9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9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9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9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9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9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9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9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9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9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9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9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9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9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10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10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10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10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10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10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10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10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10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10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10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10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10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10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10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10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10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1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1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1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1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1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1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1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1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1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1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1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1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1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1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1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1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1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1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D12" sqref="D12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Bouleau verruqueux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Chêne vert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Chêne-liège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>Arbousier</v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181.92766225683107</v>
      </c>
      <c r="T3" s="59">
        <f>IF('Données projet'!E9&gt;30,$R$33-$H$33,LOOKUP('Données projet'!$E$9,$A$3:$A$203,R3:R203)-LOOKUP('Données projet'!$E$9,$A$3:$A$203,$H$3:$H$203))</f>
        <v>370.52917139565756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235.31102883830971</v>
      </c>
      <c r="AO3" s="59">
        <f>IF('Données projet'!E10&gt;30,$AM$33-$H$33,LOOKUP('Données projet'!$E$10,$A$3:$A$203,AM3:AM203)-LOOKUP('Données projet'!$E$10,$A$3:$A$203,$H$3:$H$203))</f>
        <v>271.48630853790422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249.01678065306629</v>
      </c>
      <c r="BJ3" s="59">
        <f>IF('Données projet'!E11&gt;30,$BH$33-$H$33,LOOKUP('Données projet'!$E$11,$A$3:$A$203,BH3:BH203)-LOOKUP('Données projet'!$E$11,$A$3:$A$203,$H$3:$H$203))</f>
        <v>99.639724892155641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0</v>
      </c>
      <c r="CE3" s="59">
        <f>IF('Données projet'!E12&gt;30,$CC$33-$H$33,LOOKUP('Données projet'!$E$12,$A$3:$A$203,CC3:CC203)-LOOKUP('Données projet'!$E$12,$A$3:$A$203,$H$3:$H$203))</f>
        <v>0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293.33333333333331</v>
      </c>
      <c r="CY3" s="59">
        <f ca="1">AVERAGE(OFFSET($CX$3,0,0,'Données projet'!$E$13+1,1))-AVERAGE(OFFSET($H$3,0,0,'Données projet'!$E$13+1,1))</f>
        <v>0</v>
      </c>
      <c r="CZ3" s="59">
        <f>IF('Données projet'!E13&gt;30,$CX$33-$H$33,LOOKUP('Données projet'!$E$13,$A$3:$A$203,CX3:CX203)-LOOKUP('Données projet'!$E$13,$A$3:$A$203,$H$3:$H$203))</f>
        <v>0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</v>
      </c>
      <c r="N4" s="13">
        <f>IF('Données projet'!$A$36&gt;35,N3+M4-V3,IF(A4&lt;'Données projet'!$A$36,$K$205^A4,IF(A4='Données projet'!$A$36,'Données projet'!$B$36,N3+M4-V3)))</f>
        <v>1.4126236324966186</v>
      </c>
      <c r="O4" s="13">
        <f>N4*VLOOKUP('Données projet'!$B$9,Paramètres!$A$1:$I$89,3,0)*VLOOKUP('Données projet'!$B$9,Paramètres!$A$1:$I$89,5,0)</f>
        <v>0.84474893223297798</v>
      </c>
      <c r="P4" s="13">
        <f>EXP(-1.0587+0.8836*LN(O4)+0.284)</f>
        <v>0.39701655605797648</v>
      </c>
      <c r="Q4" s="20">
        <f t="shared" ref="Q4:Q34" si="2">(O4+P4)*0.475*44/12</f>
        <v>2.1627415587734125</v>
      </c>
      <c r="R4" s="59">
        <f t="shared" si="0"/>
        <v>295.49607489210672</v>
      </c>
      <c r="S4" s="59">
        <f ca="1">AVERAGE(OFFSET($R$3,0,0,'Données projet'!$E$9+1,1))-AVERAGE(OFFSET($H$3,0,0,'Données projet'!$E$9+1,1))</f>
        <v>181.92766225683107</v>
      </c>
      <c r="T4" s="59">
        <f>$T$3</f>
        <v>370.52917139565756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4.75</v>
      </c>
      <c r="AI4" s="13">
        <f>IF('Données projet'!$A$62&gt;35,AI3+AH4-AQ3,IF(A4&lt;'Données projet'!$A$62,$AF$205^A4,IF(A4='Données projet'!$A$62,'Données projet'!$B$62,AI3+AH4-AQ3)))</f>
        <v>1.2557008269631629</v>
      </c>
      <c r="AJ4" s="13">
        <f>AI4*VLOOKUP('Données projet'!$B$10,Paramètres!$A$1:$I$89,3,0)*VLOOKUP('Données projet'!$B$10,Paramètres!$A$1:$I$89,5,0)</f>
        <v>1.0186245108325178</v>
      </c>
      <c r="AK4" s="13">
        <f>EXP(-1.0587+0.8836*LN(AJ4)+0.284)</f>
        <v>0.4684177496027801</v>
      </c>
      <c r="AL4" s="20">
        <f t="shared" ref="AL4:AL67" si="4">(AJ4+AK4)*0.475*44/12</f>
        <v>2.5899319369248102</v>
      </c>
      <c r="AM4" s="59">
        <f t="shared" ref="AM4:AM67" si="5">AL4+(AD4+AE4)*44/12</f>
        <v>295.92326527025813</v>
      </c>
      <c r="AN4" s="59">
        <f ca="1">AVERAGE(OFFSET($AM$3,0,0,'Données projet'!$E$10+1,1))-AVERAGE(OFFSET($H$3,0,0,'Données projet'!$E$10+1,1))</f>
        <v>235.31102883830971</v>
      </c>
      <c r="AO4" s="59">
        <f>$AO$3</f>
        <v>271.48630853790422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1.2</v>
      </c>
      <c r="BD4" s="12">
        <f>IF('Données projet'!$A$88&gt;35,BD3+BC4-BL3,IF(A4&lt;'Données projet'!$A$88,$BA$205^A4,IF(A4='Données projet'!$A$88,'Données projet'!$B$88,BD3+BC4-BL3)))</f>
        <v>1.1457367676485573</v>
      </c>
      <c r="BE4" s="13">
        <f>BD4*VLOOKUP('Données projet'!$B$11,Paramètres!$A$1:$I$89,3,0)*VLOOKUP('Données projet'!$B$11,Paramètres!$A$1:$I$89,5,0)</f>
        <v>1.3047650309981771</v>
      </c>
      <c r="BF4" s="13">
        <f>EXP(-1.0587+0.8836*LN(BE4)+0.284)</f>
        <v>0.58295685400878672</v>
      </c>
      <c r="BG4" s="20">
        <f t="shared" ref="BG4:BG67" si="7">(BE4+BF4)*0.475*44/12</f>
        <v>3.2877822830537951</v>
      </c>
      <c r="BH4" s="59">
        <f t="shared" ref="BH4:BH67" si="8">BG4+(AY4+AZ4)*44/12</f>
        <v>296.6211156163871</v>
      </c>
      <c r="BI4" s="59">
        <f ca="1">AVERAGE(OFFSET($BH$3,0,0,'Données projet'!$E$11+1,1))-AVERAGE(OFFSET($H$3,0,0,'Données projet'!$E$11+1,1))</f>
        <v>249.01678065306629</v>
      </c>
      <c r="BJ4" s="59">
        <f>$BJ$3</f>
        <v>99.639724892155641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>
        <f>BY4*VLOOKUP('Données projet'!$B$12,Paramètres!$A$1:$I$89,3,0)*VLOOKUP('Données projet'!$B$12,Paramètres!$A$1:$I$89,5,0)</f>
        <v>0</v>
      </c>
      <c r="CA4" s="13" t="e">
        <f>EXP(-1.0587+0.8836*LN(BZ4)+0.284)</f>
        <v>#NUM!</v>
      </c>
      <c r="CB4" s="20" t="e">
        <f t="shared" ref="CB4:CB67" si="10">(BZ4+CA4)*0.475*44/12</f>
        <v>#NUM!</v>
      </c>
      <c r="CC4" s="59" t="e">
        <f t="shared" ref="CC4:CC67" si="11">CB4+(BT4+BU4)*44/12</f>
        <v>#NUM!</v>
      </c>
      <c r="CD4" s="59">
        <f ca="1">AVERAGE(OFFSET($CC$3,0,0,'Données projet'!$E$12+1,1))-AVERAGE(OFFSET($H$3,0,0,'Données projet'!$E$12+1,1))</f>
        <v>0</v>
      </c>
      <c r="CE4" s="59">
        <f>$CE$3</f>
        <v>0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>
        <f>CT4*VLOOKUP('Données projet'!$B$13,Paramètres!$A$1:$I$89,3,0)*VLOOKUP('Données projet'!$B$13,Paramètres!$A$1:$I$89,5,0)</f>
        <v>0</v>
      </c>
      <c r="CV4" s="13" t="e">
        <f>EXP(-1.0587+0.8836*LN(CU4)+0.284)</f>
        <v>#NUM!</v>
      </c>
      <c r="CW4" s="20" t="e">
        <f t="shared" ref="CW4:CW67" si="13">(CU4+CV4)*0.475*44/12</f>
        <v>#NUM!</v>
      </c>
      <c r="CX4" s="59" t="e">
        <f t="shared" ref="CX4:CX67" si="14">CW4+(CO4+CP4)*44/12</f>
        <v>#NUM!</v>
      </c>
      <c r="CY4" s="59">
        <f ca="1">AVERAGE(OFFSET($CX$3,0,0,'Données projet'!$E$13+1,1))-AVERAGE(OFFSET($H$3,0,0,'Données projet'!$E$13+1,1))</f>
        <v>0</v>
      </c>
      <c r="CZ4" s="59">
        <f>$CZ$3</f>
        <v>0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9</v>
      </c>
      <c r="N5" s="13">
        <f>IF('Données projet'!$A$36&gt;35,N4+M5-V4,IF(A5&lt;'Données projet'!$A$36,$K$205^A5,IF(A5='Données projet'!$A$36,'Données projet'!$B$36,N4+M5-V4)))</f>
        <v>1.9955055270879418</v>
      </c>
      <c r="O5" s="13">
        <f>N5*VLOOKUP('Données projet'!$B$9,Paramètres!$A$1:$I$89,3,0)*VLOOKUP('Données projet'!$B$9,Paramètres!$A$1:$I$89,5,0)</f>
        <v>1.1933123051985894</v>
      </c>
      <c r="P5" s="13">
        <f t="shared" ref="P5:P68" si="33">EXP(-1.0587+0.8836*LN(O5)+0.284)</f>
        <v>0.53873104677796557</v>
      </c>
      <c r="Q5" s="20">
        <f t="shared" si="2"/>
        <v>3.0166421713591665</v>
      </c>
      <c r="R5" s="59">
        <f t="shared" si="0"/>
        <v>296.34997550469251</v>
      </c>
      <c r="S5" s="59">
        <f ca="1">AVERAGE(OFFSET($R$3,0,0,'Données projet'!$E$9+1,1))-AVERAGE(OFFSET($H$3,0,0,'Données projet'!$E$9+1,1))</f>
        <v>181.92766225683107</v>
      </c>
      <c r="T5" s="59">
        <f t="shared" ref="T5:T68" si="34">$T$3</f>
        <v>370.52917139565756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4.75</v>
      </c>
      <c r="AI5" s="13">
        <f>IF('Données projet'!$A$62&gt;35,AI4+AH5-AQ4,IF(A5&lt;'Données projet'!$A$62,$AF$205^A5,IF(A5='Données projet'!$A$62,'Données projet'!$B$62,AI4+AH5-AQ4)))</f>
        <v>1.576784566835971</v>
      </c>
      <c r="AJ5" s="13">
        <f>AI5*VLOOKUP('Données projet'!$B$10,Paramètres!$A$1:$I$89,3,0)*VLOOKUP('Données projet'!$B$10,Paramètres!$A$1:$I$89,5,0)</f>
        <v>1.2790876406173397</v>
      </c>
      <c r="AK5" s="13">
        <f t="shared" ref="AK5:AK68" si="35">EXP(-1.0587+0.8836*LN(AJ5)+0.284)</f>
        <v>0.57280812840105289</v>
      </c>
      <c r="AL5" s="20">
        <f t="shared" si="4"/>
        <v>3.2253851310403672</v>
      </c>
      <c r="AM5" s="59">
        <f t="shared" si="5"/>
        <v>296.55871846437367</v>
      </c>
      <c r="AN5" s="59">
        <f ca="1">AVERAGE(OFFSET($AM$3,0,0,'Données projet'!$E$10+1,1))-AVERAGE(OFFSET($H$3,0,0,'Données projet'!$E$10+1,1))</f>
        <v>235.31102883830971</v>
      </c>
      <c r="AO5" s="59">
        <f t="shared" ref="AO5:AO68" si="36">$AO$3</f>
        <v>271.48630853790422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1.2</v>
      </c>
      <c r="BD5" s="12">
        <f>IF('Données projet'!$A$88&gt;35,BD4+BC5-BL4,IF(A5&lt;'Données projet'!$A$88,$BA$205^A5,IF(A5='Données projet'!$A$88,'Données projet'!$B$88,BD4+BC5-BL4)))</f>
        <v>1.312712740741764</v>
      </c>
      <c r="BE5" s="13">
        <f>BD5*VLOOKUP('Données projet'!$B$11,Paramètres!$A$1:$I$89,3,0)*VLOOKUP('Données projet'!$B$11,Paramètres!$A$1:$I$89,5,0)</f>
        <v>1.494917269156721</v>
      </c>
      <c r="BF5" s="13">
        <f t="shared" ref="BF5:BF68" si="37">EXP(-1.0587+0.8836*LN(BE5)+0.284)</f>
        <v>0.65742132363627681</v>
      </c>
      <c r="BG5" s="20">
        <f t="shared" si="7"/>
        <v>3.7486563824478041</v>
      </c>
      <c r="BH5" s="59">
        <f t="shared" si="8"/>
        <v>297.08198971578111</v>
      </c>
      <c r="BI5" s="59">
        <f ca="1">AVERAGE(OFFSET($BH$3,0,0,'Données projet'!$E$11+1,1))-AVERAGE(OFFSET($H$3,0,0,'Données projet'!$E$11+1,1))</f>
        <v>249.01678065306629</v>
      </c>
      <c r="BJ5" s="59">
        <f t="shared" ref="BJ5:BJ68" si="38">$BJ$3</f>
        <v>99.639724892155641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>
        <f>BY5*VLOOKUP('Données projet'!$B$12,Paramètres!$A$1:$I$89,3,0)*VLOOKUP('Données projet'!$B$12,Paramètres!$A$1:$I$89,5,0)</f>
        <v>0</v>
      </c>
      <c r="CA5" s="13" t="e">
        <f t="shared" ref="CA5:CA68" si="39">EXP(-1.0587+0.8836*LN(BZ5)+0.284)</f>
        <v>#NUM!</v>
      </c>
      <c r="CB5" s="20" t="e">
        <f t="shared" si="10"/>
        <v>#NUM!</v>
      </c>
      <c r="CC5" s="59" t="e">
        <f t="shared" si="11"/>
        <v>#NUM!</v>
      </c>
      <c r="CD5" s="59">
        <f ca="1">AVERAGE(OFFSET($CC$3,0,0,'Données projet'!$E$12+1,1))-AVERAGE(OFFSET($H$3,0,0,'Données projet'!$E$12+1,1))</f>
        <v>0</v>
      </c>
      <c r="CE5" s="59">
        <f t="shared" ref="CE5:CE68" si="40">$CE$3</f>
        <v>0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>
        <f>CT5*VLOOKUP('Données projet'!$B$13,Paramètres!$A$1:$I$89,3,0)*VLOOKUP('Données projet'!$B$13,Paramètres!$A$1:$I$89,5,0)</f>
        <v>0</v>
      </c>
      <c r="CV5" s="13" t="e">
        <f t="shared" ref="CV5:CV68" si="41">EXP(-1.0587+0.8836*LN(CU5)+0.284)</f>
        <v>#NUM!</v>
      </c>
      <c r="CW5" s="20" t="e">
        <f t="shared" si="13"/>
        <v>#NUM!</v>
      </c>
      <c r="CX5" s="59" t="e">
        <f t="shared" si="14"/>
        <v>#NUM!</v>
      </c>
      <c r="CY5" s="59">
        <f ca="1">AVERAGE(OFFSET($CX$3,0,0,'Données projet'!$E$13+1,1))-AVERAGE(OFFSET($H$3,0,0,'Données projet'!$E$13+1,1))</f>
        <v>0</v>
      </c>
      <c r="CZ5" s="59">
        <f t="shared" ref="CZ5:CZ68" si="42">$CZ$3</f>
        <v>0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9</v>
      </c>
      <c r="N6" s="13">
        <f>IF('Données projet'!$A$36&gt;35,N5+M6-V5,IF(A6&lt;'Données projet'!$A$36,$K$205^A6,IF(A6='Données projet'!$A$36,'Données projet'!$B$36,N5+M6-V5)))</f>
        <v>2.8188982663420479</v>
      </c>
      <c r="O6" s="13">
        <f>N6*VLOOKUP('Données projet'!$B$9,Paramètres!$A$1:$I$89,3,0)*VLOOKUP('Données projet'!$B$9,Paramètres!$A$1:$I$89,5,0)</f>
        <v>1.6857011632725447</v>
      </c>
      <c r="P6" s="13">
        <f t="shared" si="33"/>
        <v>0.73103032186924677</v>
      </c>
      <c r="Q6" s="20">
        <f t="shared" si="2"/>
        <v>4.2091406699552865</v>
      </c>
      <c r="R6" s="59">
        <f t="shared" si="0"/>
        <v>297.54247400328859</v>
      </c>
      <c r="S6" s="59">
        <f ca="1">AVERAGE(OFFSET($R$3,0,0,'Données projet'!$E$9+1,1))-AVERAGE(OFFSET($H$3,0,0,'Données projet'!$E$9+1,1))</f>
        <v>181.92766225683107</v>
      </c>
      <c r="T6" s="59">
        <f t="shared" si="34"/>
        <v>370.52917139565756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4.75</v>
      </c>
      <c r="AI6" s="13">
        <f>IF('Données projet'!$A$62&gt;35,AI5+AH6-AQ5,IF(A6&lt;'Données projet'!$A$62,$AF$205^A6,IF(A6='Données projet'!$A$62,'Données projet'!$B$62,AI5+AH6-AQ5)))</f>
        <v>1.9799696845186814</v>
      </c>
      <c r="AJ6" s="13">
        <f>AI6*VLOOKUP('Données projet'!$B$10,Paramètres!$A$1:$I$89,3,0)*VLOOKUP('Données projet'!$B$10,Paramètres!$A$1:$I$89,5,0)</f>
        <v>1.6061514080815542</v>
      </c>
      <c r="AK6" s="13">
        <f t="shared" si="35"/>
        <v>0.70046267939367102</v>
      </c>
      <c r="AL6" s="20">
        <f t="shared" si="4"/>
        <v>4.0173528690193505</v>
      </c>
      <c r="AM6" s="59">
        <f t="shared" si="5"/>
        <v>297.35068620235268</v>
      </c>
      <c r="AN6" s="59">
        <f ca="1">AVERAGE(OFFSET($AM$3,0,0,'Données projet'!$E$10+1,1))-AVERAGE(OFFSET($H$3,0,0,'Données projet'!$E$10+1,1))</f>
        <v>235.31102883830971</v>
      </c>
      <c r="AO6" s="59">
        <f t="shared" si="36"/>
        <v>271.48630853790422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1.2</v>
      </c>
      <c r="BD6" s="12">
        <f>IF('Données projet'!$A$88&gt;35,BD5+BC6-BL5,IF(A6&lt;'Données projet'!$A$88,$BA$205^A6,IF(A6='Données projet'!$A$88,'Données projet'!$B$88,BD5+BC6-BL5)))</f>
        <v>1.5040232524285473</v>
      </c>
      <c r="BE6" s="13">
        <f>BD6*VLOOKUP('Données projet'!$B$11,Paramètres!$A$1:$I$89,3,0)*VLOOKUP('Données projet'!$B$11,Paramètres!$A$1:$I$89,5,0)</f>
        <v>1.7127816798656297</v>
      </c>
      <c r="BF6" s="13">
        <f t="shared" si="37"/>
        <v>0.74139757307864129</v>
      </c>
      <c r="BG6" s="20">
        <f t="shared" si="7"/>
        <v>4.2743621988779381</v>
      </c>
      <c r="BH6" s="59">
        <f t="shared" si="8"/>
        <v>297.60769553221127</v>
      </c>
      <c r="BI6" s="59">
        <f ca="1">AVERAGE(OFFSET($BH$3,0,0,'Données projet'!$E$11+1,1))-AVERAGE(OFFSET($H$3,0,0,'Données projet'!$E$11+1,1))</f>
        <v>249.01678065306629</v>
      </c>
      <c r="BJ6" s="59">
        <f t="shared" si="38"/>
        <v>99.639724892155641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>
        <f>BY6*VLOOKUP('Données projet'!$B$12,Paramètres!$A$1:$I$89,3,0)*VLOOKUP('Données projet'!$B$12,Paramètres!$A$1:$I$89,5,0)</f>
        <v>0</v>
      </c>
      <c r="CA6" s="13" t="e">
        <f t="shared" si="39"/>
        <v>#NUM!</v>
      </c>
      <c r="CB6" s="20" t="e">
        <f t="shared" si="10"/>
        <v>#NUM!</v>
      </c>
      <c r="CC6" s="59" t="e">
        <f t="shared" si="11"/>
        <v>#NUM!</v>
      </c>
      <c r="CD6" s="59">
        <f ca="1">AVERAGE(OFFSET($CC$3,0,0,'Données projet'!$E$12+1,1))-AVERAGE(OFFSET($H$3,0,0,'Données projet'!$E$12+1,1))</f>
        <v>0</v>
      </c>
      <c r="CE6" s="59">
        <f t="shared" si="40"/>
        <v>0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>
        <f>CT6*VLOOKUP('Données projet'!$B$13,Paramètres!$A$1:$I$89,3,0)*VLOOKUP('Données projet'!$B$13,Paramètres!$A$1:$I$89,5,0)</f>
        <v>0</v>
      </c>
      <c r="CV6" s="13" t="e">
        <f t="shared" si="41"/>
        <v>#NUM!</v>
      </c>
      <c r="CW6" s="20" t="e">
        <f t="shared" si="13"/>
        <v>#NUM!</v>
      </c>
      <c r="CX6" s="59" t="e">
        <f t="shared" si="14"/>
        <v>#NUM!</v>
      </c>
      <c r="CY6" s="59">
        <f ca="1">AVERAGE(OFFSET($CX$3,0,0,'Données projet'!$E$13+1,1))-AVERAGE(OFFSET($H$3,0,0,'Données projet'!$E$13+1,1))</f>
        <v>0</v>
      </c>
      <c r="CZ6" s="59">
        <f t="shared" si="42"/>
        <v>0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9</v>
      </c>
      <c r="N7" s="13">
        <f>IF('Données projet'!$A$36&gt;35,N6+M7-V6,IF(A7&lt;'Données projet'!$A$36,$K$205^A7,IF(A7='Données projet'!$A$36,'Données projet'!$B$36,N6+M7-V6)))</f>
        <v>3.9820423086385244</v>
      </c>
      <c r="O7" s="13">
        <f>N7*VLOOKUP('Données projet'!$B$9,Paramètres!$A$1:$I$89,3,0)*VLOOKUP('Données projet'!$B$9,Paramètres!$A$1:$I$89,5,0)</f>
        <v>2.3812613005658378</v>
      </c>
      <c r="P7" s="13">
        <f t="shared" si="33"/>
        <v>0.99197054762003767</v>
      </c>
      <c r="Q7" s="20">
        <f t="shared" si="2"/>
        <v>5.8750454689237328</v>
      </c>
      <c r="R7" s="59">
        <f t="shared" si="0"/>
        <v>299.20837880225707</v>
      </c>
      <c r="S7" s="59">
        <f ca="1">AVERAGE(OFFSET($R$3,0,0,'Données projet'!$E$9+1,1))-AVERAGE(OFFSET($H$3,0,0,'Données projet'!$E$9+1,1))</f>
        <v>181.92766225683107</v>
      </c>
      <c r="T7" s="59">
        <f t="shared" si="34"/>
        <v>370.52917139565756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4.75</v>
      </c>
      <c r="AI7" s="13">
        <f>IF('Données projet'!$A$62&gt;35,AI6+AH7-AQ6,IF(A7&lt;'Données projet'!$A$62,$AF$205^A7,IF(A7='Données projet'!$A$62,'Données projet'!$B$62,AI6+AH7-AQ6)))</f>
        <v>2.4862495702121006</v>
      </c>
      <c r="AJ7" s="13">
        <f>AI7*VLOOKUP('Données projet'!$B$10,Paramètres!$A$1:$I$89,3,0)*VLOOKUP('Données projet'!$B$10,Paramètres!$A$1:$I$89,5,0)</f>
        <v>2.0168456513560562</v>
      </c>
      <c r="AK7" s="13">
        <f t="shared" si="35"/>
        <v>0.8565659963537261</v>
      </c>
      <c r="AL7" s="20">
        <f t="shared" si="4"/>
        <v>5.00452528642787</v>
      </c>
      <c r="AM7" s="59">
        <f t="shared" si="5"/>
        <v>298.33785861976116</v>
      </c>
      <c r="AN7" s="59">
        <f ca="1">AVERAGE(OFFSET($AM$3,0,0,'Données projet'!$E$10+1,1))-AVERAGE(OFFSET($H$3,0,0,'Données projet'!$E$10+1,1))</f>
        <v>235.31102883830971</v>
      </c>
      <c r="AO7" s="59">
        <f t="shared" si="36"/>
        <v>271.48630853790422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1.2</v>
      </c>
      <c r="BD7" s="12">
        <f>IF('Données projet'!$A$88&gt;35,BD6+BC7-BL6,IF(A7&lt;'Données projet'!$A$88,$BA$205^A7,IF(A7='Données projet'!$A$88,'Données projet'!$B$88,BD6+BC7-BL6)))</f>
        <v>1.7232147397057538</v>
      </c>
      <c r="BE7" s="13">
        <f>BD7*VLOOKUP('Données projet'!$B$11,Paramètres!$A$1:$I$89,3,0)*VLOOKUP('Données projet'!$B$11,Paramètres!$A$1:$I$89,5,0)</f>
        <v>1.9623969455769126</v>
      </c>
      <c r="BF7" s="13">
        <f t="shared" si="37"/>
        <v>0.83610059729521113</v>
      </c>
      <c r="BG7" s="20">
        <f t="shared" si="7"/>
        <v>4.8740498871689484</v>
      </c>
      <c r="BH7" s="59">
        <f t="shared" si="8"/>
        <v>298.20738322050227</v>
      </c>
      <c r="BI7" s="59">
        <f ca="1">AVERAGE(OFFSET($BH$3,0,0,'Données projet'!$E$11+1,1))-AVERAGE(OFFSET($H$3,0,0,'Données projet'!$E$11+1,1))</f>
        <v>249.01678065306629</v>
      </c>
      <c r="BJ7" s="59">
        <f t="shared" si="38"/>
        <v>99.639724892155641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>
        <f>BY7*VLOOKUP('Données projet'!$B$12,Paramètres!$A$1:$I$89,3,0)*VLOOKUP('Données projet'!$B$12,Paramètres!$A$1:$I$89,5,0)</f>
        <v>0</v>
      </c>
      <c r="CA7" s="13" t="e">
        <f t="shared" si="39"/>
        <v>#NUM!</v>
      </c>
      <c r="CB7" s="20" t="e">
        <f t="shared" si="10"/>
        <v>#NUM!</v>
      </c>
      <c r="CC7" s="59" t="e">
        <f t="shared" si="11"/>
        <v>#NUM!</v>
      </c>
      <c r="CD7" s="59">
        <f ca="1">AVERAGE(OFFSET($CC$3,0,0,'Données projet'!$E$12+1,1))-AVERAGE(OFFSET($H$3,0,0,'Données projet'!$E$12+1,1))</f>
        <v>0</v>
      </c>
      <c r="CE7" s="59">
        <f t="shared" si="40"/>
        <v>0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>
        <f>CT7*VLOOKUP('Données projet'!$B$13,Paramètres!$A$1:$I$89,3,0)*VLOOKUP('Données projet'!$B$13,Paramètres!$A$1:$I$89,5,0)</f>
        <v>0</v>
      </c>
      <c r="CV7" s="13" t="e">
        <f t="shared" si="41"/>
        <v>#NUM!</v>
      </c>
      <c r="CW7" s="20" t="e">
        <f t="shared" si="13"/>
        <v>#NUM!</v>
      </c>
      <c r="CX7" s="59" t="e">
        <f t="shared" si="14"/>
        <v>#NUM!</v>
      </c>
      <c r="CY7" s="59">
        <f ca="1">AVERAGE(OFFSET($CX$3,0,0,'Données projet'!$E$13+1,1))-AVERAGE(OFFSET($H$3,0,0,'Données projet'!$E$13+1,1))</f>
        <v>0</v>
      </c>
      <c r="CZ7" s="59">
        <f t="shared" si="42"/>
        <v>0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9</v>
      </c>
      <c r="N8" s="13">
        <f>IF('Données projet'!$A$36&gt;35,N7+M8-V7,IF(A8&lt;'Données projet'!$A$36,$K$205^A8,IF(A8='Données projet'!$A$36,'Données projet'!$B$36,N7+M8-V7)))</f>
        <v>5.6251270707841732</v>
      </c>
      <c r="O8" s="13">
        <f>N8*VLOOKUP('Données projet'!$B$9,Paramètres!$A$1:$I$89,3,0)*VLOOKUP('Données projet'!$B$9,Paramètres!$A$1:$I$89,5,0)</f>
        <v>3.3638259883289354</v>
      </c>
      <c r="P8" s="13">
        <f t="shared" si="33"/>
        <v>1.3460530129988209</v>
      </c>
      <c r="Q8" s="20">
        <f t="shared" si="2"/>
        <v>8.2030392606458431</v>
      </c>
      <c r="R8" s="59">
        <f t="shared" si="0"/>
        <v>301.53637259397914</v>
      </c>
      <c r="S8" s="59">
        <f ca="1">AVERAGE(OFFSET($R$3,0,0,'Données projet'!$E$9+1,1))-AVERAGE(OFFSET($H$3,0,0,'Données projet'!$E$9+1,1))</f>
        <v>181.92766225683107</v>
      </c>
      <c r="T8" s="59">
        <f t="shared" si="34"/>
        <v>370.52917139565756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4.75</v>
      </c>
      <c r="AI8" s="13">
        <f>IF('Données projet'!$A$62&gt;35,AI7+AH8-AQ7,IF(A8&lt;'Données projet'!$A$62,$AF$205^A8,IF(A8='Données projet'!$A$62,'Données projet'!$B$62,AI7+AH8-AQ7)))</f>
        <v>3.121985641352143</v>
      </c>
      <c r="AJ8" s="13">
        <f>AI8*VLOOKUP('Données projet'!$B$10,Paramètres!$A$1:$I$89,3,0)*VLOOKUP('Données projet'!$B$10,Paramètres!$A$1:$I$89,5,0)</f>
        <v>2.5325547522648586</v>
      </c>
      <c r="AK8" s="13">
        <f t="shared" si="35"/>
        <v>1.0474580983308857</v>
      </c>
      <c r="AL8" s="20">
        <f t="shared" si="4"/>
        <v>6.2351890481209198</v>
      </c>
      <c r="AM8" s="59">
        <f t="shared" si="5"/>
        <v>299.56852238145422</v>
      </c>
      <c r="AN8" s="59">
        <f ca="1">AVERAGE(OFFSET($AM$3,0,0,'Données projet'!$E$10+1,1))-AVERAGE(OFFSET($H$3,0,0,'Données projet'!$E$10+1,1))</f>
        <v>235.31102883830971</v>
      </c>
      <c r="AO8" s="59">
        <f t="shared" si="36"/>
        <v>271.48630853790422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1.2</v>
      </c>
      <c r="BD8" s="12">
        <f>IF('Données projet'!$A$88&gt;35,BD7+BC8-BL7,IF(A8&lt;'Données projet'!$A$88,$BA$205^A8,IF(A8='Données projet'!$A$88,'Données projet'!$B$88,BD7+BC8-BL7)))</f>
        <v>1.9743504858348202</v>
      </c>
      <c r="BE8" s="13">
        <f>BD8*VLOOKUP('Données projet'!$B$11,Paramètres!$A$1:$I$89,3,0)*VLOOKUP('Données projet'!$B$11,Paramètres!$A$1:$I$89,5,0)</f>
        <v>2.2483903332686932</v>
      </c>
      <c r="BF8" s="13">
        <f t="shared" si="37"/>
        <v>0.94290058961827439</v>
      </c>
      <c r="BG8" s="20">
        <f t="shared" si="7"/>
        <v>5.5581650240281348</v>
      </c>
      <c r="BH8" s="59">
        <f t="shared" si="8"/>
        <v>298.89149835736146</v>
      </c>
      <c r="BI8" s="59">
        <f ca="1">AVERAGE(OFFSET($BH$3,0,0,'Données projet'!$E$11+1,1))-AVERAGE(OFFSET($H$3,0,0,'Données projet'!$E$11+1,1))</f>
        <v>249.01678065306629</v>
      </c>
      <c r="BJ8" s="59">
        <f t="shared" si="38"/>
        <v>99.639724892155641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>
        <f>BY8*VLOOKUP('Données projet'!$B$12,Paramètres!$A$1:$I$89,3,0)*VLOOKUP('Données projet'!$B$12,Paramètres!$A$1:$I$89,5,0)</f>
        <v>0</v>
      </c>
      <c r="CA8" s="13" t="e">
        <f t="shared" si="39"/>
        <v>#NUM!</v>
      </c>
      <c r="CB8" s="20" t="e">
        <f t="shared" si="10"/>
        <v>#NUM!</v>
      </c>
      <c r="CC8" s="59" t="e">
        <f t="shared" si="11"/>
        <v>#NUM!</v>
      </c>
      <c r="CD8" s="59">
        <f ca="1">AVERAGE(OFFSET($CC$3,0,0,'Données projet'!$E$12+1,1))-AVERAGE(OFFSET($H$3,0,0,'Données projet'!$E$12+1,1))</f>
        <v>0</v>
      </c>
      <c r="CE8" s="59">
        <f t="shared" si="40"/>
        <v>0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>
        <f>CT8*VLOOKUP('Données projet'!$B$13,Paramètres!$A$1:$I$89,3,0)*VLOOKUP('Données projet'!$B$13,Paramètres!$A$1:$I$89,5,0)</f>
        <v>0</v>
      </c>
      <c r="CV8" s="13" t="e">
        <f t="shared" si="41"/>
        <v>#NUM!</v>
      </c>
      <c r="CW8" s="20" t="e">
        <f t="shared" si="13"/>
        <v>#NUM!</v>
      </c>
      <c r="CX8" s="59" t="e">
        <f t="shared" si="14"/>
        <v>#NUM!</v>
      </c>
      <c r="CY8" s="59">
        <f ca="1">AVERAGE(OFFSET($CX$3,0,0,'Données projet'!$E$13+1,1))-AVERAGE(OFFSET($H$3,0,0,'Données projet'!$E$13+1,1))</f>
        <v>0</v>
      </c>
      <c r="CZ8" s="59">
        <f t="shared" si="42"/>
        <v>0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9</v>
      </c>
      <c r="N9" s="13">
        <f>IF('Données projet'!$A$36&gt;35,N8+M9-V8,IF(A9&lt;'Données projet'!$A$36,$K$205^A9,IF(A9='Données projet'!$A$36,'Données projet'!$B$36,N8+M9-V8)))</f>
        <v>7.9461874359862037</v>
      </c>
      <c r="O9" s="13">
        <f>N9*VLOOKUP('Données projet'!$B$9,Paramètres!$A$1:$I$89,3,0)*VLOOKUP('Données projet'!$B$9,Paramètres!$A$1:$I$89,5,0)</f>
        <v>4.75182008671975</v>
      </c>
      <c r="P9" s="13">
        <f t="shared" si="33"/>
        <v>1.8265247069585526</v>
      </c>
      <c r="Q9" s="20">
        <f t="shared" si="2"/>
        <v>11.457283848989711</v>
      </c>
      <c r="R9" s="59">
        <f t="shared" si="0"/>
        <v>304.79061718232305</v>
      </c>
      <c r="S9" s="59">
        <f ca="1">AVERAGE(OFFSET($R$3,0,0,'Données projet'!$E$9+1,1))-AVERAGE(OFFSET($H$3,0,0,'Données projet'!$E$9+1,1))</f>
        <v>181.92766225683107</v>
      </c>
      <c r="T9" s="59">
        <f t="shared" si="34"/>
        <v>370.52917139565756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4.75</v>
      </c>
      <c r="AI9" s="13">
        <f>IF('Données projet'!$A$62&gt;35,AI8+AH9-AQ8,IF(A9&lt;'Données projet'!$A$62,$AF$205^A9,IF(A9='Données projet'!$A$62,'Données projet'!$B$62,AI8+AH9-AQ8)))</f>
        <v>3.920279951613006</v>
      </c>
      <c r="AJ9" s="13">
        <f>AI9*VLOOKUP('Données projet'!$B$10,Paramètres!$A$1:$I$89,3,0)*VLOOKUP('Données projet'!$B$10,Paramètres!$A$1:$I$89,5,0)</f>
        <v>3.1801310967484708</v>
      </c>
      <c r="AK9" s="13">
        <f t="shared" si="35"/>
        <v>1.2808919247663788</v>
      </c>
      <c r="AL9" s="20">
        <f t="shared" si="4"/>
        <v>7.7696150958050287</v>
      </c>
      <c r="AM9" s="59">
        <f t="shared" si="5"/>
        <v>301.10294842913834</v>
      </c>
      <c r="AN9" s="59">
        <f ca="1">AVERAGE(OFFSET($AM$3,0,0,'Données projet'!$E$10+1,1))-AVERAGE(OFFSET($H$3,0,0,'Données projet'!$E$10+1,1))</f>
        <v>235.31102883830971</v>
      </c>
      <c r="AO9" s="59">
        <f t="shared" si="36"/>
        <v>271.48630853790422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1.2</v>
      </c>
      <c r="BD9" s="12">
        <f>IF('Données projet'!$A$88&gt;35,BD8+BC9-BL8,IF(A9&lt;'Données projet'!$A$88,$BA$205^A9,IF(A9='Données projet'!$A$88,'Données projet'!$B$88,BD8+BC9-BL8)))</f>
        <v>2.2620859438457455</v>
      </c>
      <c r="BE9" s="13">
        <f>BD9*VLOOKUP('Données projet'!$B$11,Paramètres!$A$1:$I$89,3,0)*VLOOKUP('Données projet'!$B$11,Paramètres!$A$1:$I$89,5,0)</f>
        <v>2.5760634728515348</v>
      </c>
      <c r="BF9" s="13">
        <f t="shared" si="37"/>
        <v>1.0633427661439394</v>
      </c>
      <c r="BG9" s="20">
        <f t="shared" si="7"/>
        <v>6.3386325329171171</v>
      </c>
      <c r="BH9" s="59">
        <f t="shared" si="8"/>
        <v>299.67196586625045</v>
      </c>
      <c r="BI9" s="59">
        <f ca="1">AVERAGE(OFFSET($BH$3,0,0,'Données projet'!$E$11+1,1))-AVERAGE(OFFSET($H$3,0,0,'Données projet'!$E$11+1,1))</f>
        <v>249.01678065306629</v>
      </c>
      <c r="BJ9" s="59">
        <f t="shared" si="38"/>
        <v>99.639724892155641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>
        <f>BY9*VLOOKUP('Données projet'!$B$12,Paramètres!$A$1:$I$89,3,0)*VLOOKUP('Données projet'!$B$12,Paramètres!$A$1:$I$89,5,0)</f>
        <v>0</v>
      </c>
      <c r="CA9" s="13" t="e">
        <f t="shared" si="39"/>
        <v>#NUM!</v>
      </c>
      <c r="CB9" s="20" t="e">
        <f t="shared" si="10"/>
        <v>#NUM!</v>
      </c>
      <c r="CC9" s="59" t="e">
        <f t="shared" si="11"/>
        <v>#NUM!</v>
      </c>
      <c r="CD9" s="59">
        <f ca="1">AVERAGE(OFFSET($CC$3,0,0,'Données projet'!$E$12+1,1))-AVERAGE(OFFSET($H$3,0,0,'Données projet'!$E$12+1,1))</f>
        <v>0</v>
      </c>
      <c r="CE9" s="59">
        <f t="shared" si="40"/>
        <v>0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>
        <f>CT9*VLOOKUP('Données projet'!$B$13,Paramètres!$A$1:$I$89,3,0)*VLOOKUP('Données projet'!$B$13,Paramètres!$A$1:$I$89,5,0)</f>
        <v>0</v>
      </c>
      <c r="CV9" s="13" t="e">
        <f t="shared" si="41"/>
        <v>#NUM!</v>
      </c>
      <c r="CW9" s="20" t="e">
        <f t="shared" si="13"/>
        <v>#NUM!</v>
      </c>
      <c r="CX9" s="59" t="e">
        <f t="shared" si="14"/>
        <v>#NUM!</v>
      </c>
      <c r="CY9" s="59">
        <f ca="1">AVERAGE(OFFSET($CX$3,0,0,'Données projet'!$E$13+1,1))-AVERAGE(OFFSET($H$3,0,0,'Données projet'!$E$13+1,1))</f>
        <v>0</v>
      </c>
      <c r="CZ9" s="59">
        <f t="shared" si="42"/>
        <v>0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9</v>
      </c>
      <c r="N10" s="13">
        <f>IF('Données projet'!$A$36&gt;35,N9+M10-V9,IF(A10&lt;'Données projet'!$A$36,$K$205^A10,IF(A10='Données projet'!$A$36,'Données projet'!$B$36,N9+M10-V9)))</f>
        <v>11.224972160321823</v>
      </c>
      <c r="O10" s="13">
        <f>N10*VLOOKUP('Données projet'!$B$9,Paramètres!$A$1:$I$89,3,0)*VLOOKUP('Données projet'!$B$9,Paramètres!$A$1:$I$89,5,0)</f>
        <v>6.7125333518724508</v>
      </c>
      <c r="P10" s="13">
        <f t="shared" si="33"/>
        <v>2.4785000835126465</v>
      </c>
      <c r="Q10" s="20">
        <f t="shared" si="2"/>
        <v>16.007716566629046</v>
      </c>
      <c r="R10" s="59">
        <f t="shared" si="0"/>
        <v>309.34104989996234</v>
      </c>
      <c r="S10" s="59">
        <f ca="1">AVERAGE(OFFSET($R$3,0,0,'Données projet'!$E$9+1,1))-AVERAGE(OFFSET($H$3,0,0,'Données projet'!$E$9+1,1))</f>
        <v>181.92766225683107</v>
      </c>
      <c r="T10" s="59">
        <f t="shared" si="34"/>
        <v>370.52917139565756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4.75</v>
      </c>
      <c r="AI10" s="13">
        <f>IF('Données projet'!$A$62&gt;35,AI9+AH10-AQ9,IF(A10&lt;'Données projet'!$A$62,$AF$205^A10,IF(A10='Données projet'!$A$62,'Données projet'!$B$62,AI9+AH10-AQ9)))</f>
        <v>4.9226987771675601</v>
      </c>
      <c r="AJ10" s="13">
        <f>AI10*VLOOKUP('Données projet'!$B$10,Paramètres!$A$1:$I$89,3,0)*VLOOKUP('Données projet'!$B$10,Paramètres!$A$1:$I$89,5,0)</f>
        <v>3.993293248038325</v>
      </c>
      <c r="AK10" s="13">
        <f t="shared" si="35"/>
        <v>1.566348215309169</v>
      </c>
      <c r="AL10" s="20">
        <f t="shared" si="4"/>
        <v>9.683042215330218</v>
      </c>
      <c r="AM10" s="59">
        <f t="shared" si="5"/>
        <v>303.01637554866352</v>
      </c>
      <c r="AN10" s="59">
        <f ca="1">AVERAGE(OFFSET($AM$3,0,0,'Données projet'!$E$10+1,1))-AVERAGE(OFFSET($H$3,0,0,'Données projet'!$E$10+1,1))</f>
        <v>235.31102883830971</v>
      </c>
      <c r="AO10" s="59">
        <f t="shared" si="36"/>
        <v>271.48630853790422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1.2</v>
      </c>
      <c r="BD10" s="12">
        <f>IF('Données projet'!$A$88&gt;35,BD9+BC10-BL9,IF(A10&lt;'Données projet'!$A$88,$BA$205^A10,IF(A10='Données projet'!$A$88,'Données projet'!$B$88,BD9+BC10-BL9)))</f>
        <v>2.5917550374450604</v>
      </c>
      <c r="BE10" s="13">
        <f>BD10*VLOOKUP('Données projet'!$B$11,Paramètres!$A$1:$I$89,3,0)*VLOOKUP('Données projet'!$B$11,Paramètres!$A$1:$I$89,5,0)</f>
        <v>2.9514906366424349</v>
      </c>
      <c r="BF10" s="13">
        <f t="shared" si="37"/>
        <v>1.1991697224077444</v>
      </c>
      <c r="BG10" s="20">
        <f t="shared" si="7"/>
        <v>7.2290667920123957</v>
      </c>
      <c r="BH10" s="59">
        <f t="shared" si="8"/>
        <v>300.56240012534573</v>
      </c>
      <c r="BI10" s="59">
        <f ca="1">AVERAGE(OFFSET($BH$3,0,0,'Données projet'!$E$11+1,1))-AVERAGE(OFFSET($H$3,0,0,'Données projet'!$E$11+1,1))</f>
        <v>249.01678065306629</v>
      </c>
      <c r="BJ10" s="59">
        <f t="shared" si="38"/>
        <v>99.639724892155641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>
        <f>BY10*VLOOKUP('Données projet'!$B$12,Paramètres!$A$1:$I$89,3,0)*VLOOKUP('Données projet'!$B$12,Paramètres!$A$1:$I$89,5,0)</f>
        <v>0</v>
      </c>
      <c r="CA10" s="13" t="e">
        <f t="shared" si="39"/>
        <v>#NUM!</v>
      </c>
      <c r="CB10" s="20" t="e">
        <f t="shared" si="10"/>
        <v>#NUM!</v>
      </c>
      <c r="CC10" s="59" t="e">
        <f t="shared" si="11"/>
        <v>#NUM!</v>
      </c>
      <c r="CD10" s="59">
        <f ca="1">AVERAGE(OFFSET($CC$3,0,0,'Données projet'!$E$12+1,1))-AVERAGE(OFFSET($H$3,0,0,'Données projet'!$E$12+1,1))</f>
        <v>0</v>
      </c>
      <c r="CE10" s="59">
        <f t="shared" si="40"/>
        <v>0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>
        <f>CT10*VLOOKUP('Données projet'!$B$13,Paramètres!$A$1:$I$89,3,0)*VLOOKUP('Données projet'!$B$13,Paramètres!$A$1:$I$89,5,0)</f>
        <v>0</v>
      </c>
      <c r="CV10" s="13" t="e">
        <f t="shared" si="41"/>
        <v>#NUM!</v>
      </c>
      <c r="CW10" s="20" t="e">
        <f t="shared" si="13"/>
        <v>#NUM!</v>
      </c>
      <c r="CX10" s="59" t="e">
        <f t="shared" si="14"/>
        <v>#NUM!</v>
      </c>
      <c r="CY10" s="59">
        <f ca="1">AVERAGE(OFFSET($CX$3,0,0,'Données projet'!$E$13+1,1))-AVERAGE(OFFSET($H$3,0,0,'Données projet'!$E$13+1,1))</f>
        <v>0</v>
      </c>
      <c r="CZ10" s="59">
        <f t="shared" si="42"/>
        <v>0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9</v>
      </c>
      <c r="N11" s="13">
        <f>IF('Données projet'!$A$36&gt;35,N10+M11-V10,IF(A11&lt;'Données projet'!$A$36,$K$205^A11,IF(A11='Données projet'!$A$36,'Données projet'!$B$36,N10+M11-V10)))</f>
        <v>15.85666094778723</v>
      </c>
      <c r="O11" s="13">
        <f>N11*VLOOKUP('Données projet'!$B$9,Paramètres!$A$1:$I$89,3,0)*VLOOKUP('Données projet'!$B$9,Paramètres!$A$1:$I$89,5,0)</f>
        <v>9.482283246776765</v>
      </c>
      <c r="P11" s="13">
        <f t="shared" si="33"/>
        <v>3.3631971363810234</v>
      </c>
      <c r="Q11" s="20">
        <f t="shared" si="2"/>
        <v>22.372545000666481</v>
      </c>
      <c r="R11" s="59">
        <f t="shared" si="0"/>
        <v>315.70587833399981</v>
      </c>
      <c r="S11" s="59">
        <f ca="1">AVERAGE(OFFSET($R$3,0,0,'Données projet'!$E$9+1,1))-AVERAGE(OFFSET($H$3,0,0,'Données projet'!$E$9+1,1))</f>
        <v>181.92766225683107</v>
      </c>
      <c r="T11" s="59">
        <f t="shared" si="34"/>
        <v>370.52917139565756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4.75</v>
      </c>
      <c r="AI11" s="13">
        <f>IF('Données projet'!$A$62&gt;35,AI10+AH11-AQ10,IF(A11&lt;'Données projet'!$A$62,$AF$205^A11,IF(A11='Données projet'!$A$62,'Données projet'!$B$62,AI10+AH11-AQ10)))</f>
        <v>6.1814369253798551</v>
      </c>
      <c r="AJ11" s="13">
        <f>AI11*VLOOKUP('Données projet'!$B$10,Paramètres!$A$1:$I$89,3,0)*VLOOKUP('Données projet'!$B$10,Paramètres!$A$1:$I$89,5,0)</f>
        <v>5.0143816338681386</v>
      </c>
      <c r="AK11" s="13">
        <f t="shared" si="35"/>
        <v>1.9154205629407037</v>
      </c>
      <c r="AL11" s="20">
        <f t="shared" si="4"/>
        <v>12.069405492775401</v>
      </c>
      <c r="AM11" s="59">
        <f t="shared" si="5"/>
        <v>305.4027388261087</v>
      </c>
      <c r="AN11" s="59">
        <f ca="1">AVERAGE(OFFSET($AM$3,0,0,'Données projet'!$E$10+1,1))-AVERAGE(OFFSET($H$3,0,0,'Données projet'!$E$10+1,1))</f>
        <v>235.31102883830971</v>
      </c>
      <c r="AO11" s="59">
        <f t="shared" si="36"/>
        <v>271.48630853790422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1.2</v>
      </c>
      <c r="BD11" s="12">
        <f>IF('Données projet'!$A$88&gt;35,BD10+BC11-BL10,IF(A11&lt;'Données projet'!$A$88,$BA$205^A11,IF(A11='Données projet'!$A$88,'Données projet'!$B$88,BD10+BC11-BL10)))</f>
        <v>2.9694690391391689</v>
      </c>
      <c r="BE11" s="13">
        <f>BD11*VLOOKUP('Données projet'!$B$11,Paramètres!$A$1:$I$89,3,0)*VLOOKUP('Données projet'!$B$11,Paramètres!$A$1:$I$89,5,0)</f>
        <v>3.3816313417716857</v>
      </c>
      <c r="BF11" s="13">
        <f t="shared" si="37"/>
        <v>1.3523466458084794</v>
      </c>
      <c r="BG11" s="20">
        <f t="shared" si="7"/>
        <v>8.2450116617021205</v>
      </c>
      <c r="BH11" s="59">
        <f t="shared" si="8"/>
        <v>301.57834499503542</v>
      </c>
      <c r="BI11" s="59">
        <f ca="1">AVERAGE(OFFSET($BH$3,0,0,'Données projet'!$E$11+1,1))-AVERAGE(OFFSET($H$3,0,0,'Données projet'!$E$11+1,1))</f>
        <v>249.01678065306629</v>
      </c>
      <c r="BJ11" s="59">
        <f t="shared" si="38"/>
        <v>99.639724892155641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>
        <f>BY11*VLOOKUP('Données projet'!$B$12,Paramètres!$A$1:$I$89,3,0)*VLOOKUP('Données projet'!$B$12,Paramètres!$A$1:$I$89,5,0)</f>
        <v>0</v>
      </c>
      <c r="CA11" s="13" t="e">
        <f t="shared" si="39"/>
        <v>#NUM!</v>
      </c>
      <c r="CB11" s="20" t="e">
        <f t="shared" si="10"/>
        <v>#NUM!</v>
      </c>
      <c r="CC11" s="59" t="e">
        <f t="shared" si="11"/>
        <v>#NUM!</v>
      </c>
      <c r="CD11" s="59">
        <f ca="1">AVERAGE(OFFSET($CC$3,0,0,'Données projet'!$E$12+1,1))-AVERAGE(OFFSET($H$3,0,0,'Données projet'!$E$12+1,1))</f>
        <v>0</v>
      </c>
      <c r="CE11" s="59">
        <f t="shared" si="40"/>
        <v>0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>
        <f>CT11*VLOOKUP('Données projet'!$B$13,Paramètres!$A$1:$I$89,3,0)*VLOOKUP('Données projet'!$B$13,Paramètres!$A$1:$I$89,5,0)</f>
        <v>0</v>
      </c>
      <c r="CV11" s="13" t="e">
        <f t="shared" si="41"/>
        <v>#NUM!</v>
      </c>
      <c r="CW11" s="20" t="e">
        <f t="shared" si="13"/>
        <v>#NUM!</v>
      </c>
      <c r="CX11" s="59" t="e">
        <f t="shared" si="14"/>
        <v>#NUM!</v>
      </c>
      <c r="CY11" s="59">
        <f ca="1">AVERAGE(OFFSET($CX$3,0,0,'Données projet'!$E$13+1,1))-AVERAGE(OFFSET($H$3,0,0,'Données projet'!$E$13+1,1))</f>
        <v>0</v>
      </c>
      <c r="CZ11" s="59">
        <f t="shared" si="42"/>
        <v>0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9</v>
      </c>
      <c r="N12" s="13">
        <f>IF('Données projet'!$A$36&gt;35,N11+M12-V11,IF(A12&lt;'Données projet'!$A$36,$K$205^A12,IF(A12='Données projet'!$A$36,'Données projet'!$B$36,N11+M12-V11)))</f>
        <v>22.399493987330473</v>
      </c>
      <c r="O12" s="13">
        <f>N12*VLOOKUP('Données projet'!$B$9,Paramètres!$A$1:$I$89,3,0)*VLOOKUP('Données projet'!$B$9,Paramètres!$A$1:$I$89,5,0)</f>
        <v>13.394897404423624</v>
      </c>
      <c r="P12" s="13">
        <f t="shared" si="33"/>
        <v>4.5636855344103546</v>
      </c>
      <c r="Q12" s="20">
        <f t="shared" si="2"/>
        <v>31.277865285135846</v>
      </c>
      <c r="R12" s="59">
        <f t="shared" si="0"/>
        <v>324.61119861846919</v>
      </c>
      <c r="S12" s="59">
        <f ca="1">AVERAGE(OFFSET($R$3,0,0,'Données projet'!$E$9+1,1))-AVERAGE(OFFSET($H$3,0,0,'Données projet'!$E$9+1,1))</f>
        <v>181.92766225683107</v>
      </c>
      <c r="T12" s="59">
        <f t="shared" si="34"/>
        <v>370.52917139565756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4.75</v>
      </c>
      <c r="AI12" s="13">
        <f>IF('Données projet'!$A$62&gt;35,AI11+AH12-AQ11,IF(A12&lt;'Données projet'!$A$62,$AF$205^A12,IF(A12='Données projet'!$A$62,'Données projet'!$B$62,AI11+AH12-AQ11)))</f>
        <v>7.7620354590201153</v>
      </c>
      <c r="AJ12" s="13">
        <f>AI12*VLOOKUP('Données projet'!$B$10,Paramètres!$A$1:$I$89,3,0)*VLOOKUP('Données projet'!$B$10,Paramètres!$A$1:$I$89,5,0)</f>
        <v>6.296563164357118</v>
      </c>
      <c r="AK12" s="13">
        <f t="shared" si="35"/>
        <v>2.3422862790518897</v>
      </c>
      <c r="AL12" s="20">
        <f t="shared" si="4"/>
        <v>15.045996113937354</v>
      </c>
      <c r="AM12" s="59">
        <f t="shared" si="5"/>
        <v>308.37932944727066</v>
      </c>
      <c r="AN12" s="59">
        <f ca="1">AVERAGE(OFFSET($AM$3,0,0,'Données projet'!$E$10+1,1))-AVERAGE(OFFSET($H$3,0,0,'Données projet'!$E$10+1,1))</f>
        <v>235.31102883830971</v>
      </c>
      <c r="AO12" s="59">
        <f t="shared" si="36"/>
        <v>271.48630853790422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1.2</v>
      </c>
      <c r="BD12" s="12">
        <f>IF('Données projet'!$A$88&gt;35,BD11+BC12-BL11,IF(A12&lt;'Données projet'!$A$88,$BA$205^A12,IF(A12='Données projet'!$A$88,'Données projet'!$B$88,BD11+BC12-BL11)))</f>
        <v>3.4022298585357786</v>
      </c>
      <c r="BE12" s="13">
        <f>BD12*VLOOKUP('Données projet'!$B$11,Paramètres!$A$1:$I$89,3,0)*VLOOKUP('Données projet'!$B$11,Paramètres!$A$1:$I$89,5,0)</f>
        <v>3.8744593629005446</v>
      </c>
      <c r="BF12" s="13">
        <f t="shared" si="37"/>
        <v>1.5250897485615453</v>
      </c>
      <c r="BG12" s="20">
        <f t="shared" si="7"/>
        <v>9.4042147024631397</v>
      </c>
      <c r="BH12" s="59">
        <f t="shared" si="8"/>
        <v>302.73754803579646</v>
      </c>
      <c r="BI12" s="59">
        <f ca="1">AVERAGE(OFFSET($BH$3,0,0,'Données projet'!$E$11+1,1))-AVERAGE(OFFSET($H$3,0,0,'Données projet'!$E$11+1,1))</f>
        <v>249.01678065306629</v>
      </c>
      <c r="BJ12" s="59">
        <f t="shared" si="38"/>
        <v>99.639724892155641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>
        <f>BY12*VLOOKUP('Données projet'!$B$12,Paramètres!$A$1:$I$89,3,0)*VLOOKUP('Données projet'!$B$12,Paramètres!$A$1:$I$89,5,0)</f>
        <v>0</v>
      </c>
      <c r="CA12" s="13" t="e">
        <f t="shared" si="39"/>
        <v>#NUM!</v>
      </c>
      <c r="CB12" s="20" t="e">
        <f t="shared" si="10"/>
        <v>#NUM!</v>
      </c>
      <c r="CC12" s="59" t="e">
        <f t="shared" si="11"/>
        <v>#NUM!</v>
      </c>
      <c r="CD12" s="59">
        <f ca="1">AVERAGE(OFFSET($CC$3,0,0,'Données projet'!$E$12+1,1))-AVERAGE(OFFSET($H$3,0,0,'Données projet'!$E$12+1,1))</f>
        <v>0</v>
      </c>
      <c r="CE12" s="59">
        <f t="shared" si="40"/>
        <v>0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>
        <f>CT12*VLOOKUP('Données projet'!$B$13,Paramètres!$A$1:$I$89,3,0)*VLOOKUP('Données projet'!$B$13,Paramètres!$A$1:$I$89,5,0)</f>
        <v>0</v>
      </c>
      <c r="CV12" s="13" t="e">
        <f t="shared" si="41"/>
        <v>#NUM!</v>
      </c>
      <c r="CW12" s="20" t="e">
        <f t="shared" si="13"/>
        <v>#NUM!</v>
      </c>
      <c r="CX12" s="59" t="e">
        <f t="shared" si="14"/>
        <v>#NUM!</v>
      </c>
      <c r="CY12" s="59">
        <f ca="1">AVERAGE(OFFSET($CX$3,0,0,'Données projet'!$E$13+1,1))-AVERAGE(OFFSET($H$3,0,0,'Données projet'!$E$13+1,1))</f>
        <v>0</v>
      </c>
      <c r="CZ12" s="59">
        <f t="shared" si="42"/>
        <v>0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9</v>
      </c>
      <c r="N13" s="13">
        <f>IF('Données projet'!$A$36&gt;35,N12+M13-V12,IF(A13&lt;'Données projet'!$A$36,$K$205^A13,IF(A13='Données projet'!$A$36,'Données projet'!$B$36,N12+M13-V12)))</f>
        <v>31.642054562468939</v>
      </c>
      <c r="O13" s="13">
        <f>N13*VLOOKUP('Données projet'!$B$9,Paramètres!$A$1:$I$89,3,0)*VLOOKUP('Données projet'!$B$9,Paramètres!$A$1:$I$89,5,0)</f>
        <v>18.921948628356425</v>
      </c>
      <c r="P13" s="13">
        <f t="shared" si="33"/>
        <v>6.1926865456948841</v>
      </c>
      <c r="Q13" s="20">
        <f t="shared" si="2"/>
        <v>43.741322928139361</v>
      </c>
      <c r="R13" s="59">
        <f t="shared" si="0"/>
        <v>337.07465626147268</v>
      </c>
      <c r="S13" s="59">
        <f ca="1">AVERAGE(OFFSET($R$3,0,0,'Données projet'!$E$9+1,1))-AVERAGE(OFFSET($H$3,0,0,'Données projet'!$E$9+1,1))</f>
        <v>181.92766225683107</v>
      </c>
      <c r="T13" s="59">
        <f t="shared" si="34"/>
        <v>370.52917139565756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4.75</v>
      </c>
      <c r="AI13" s="13">
        <f>IF('Données projet'!$A$62&gt;35,AI12+AH13-AQ12,IF(A13&lt;'Données projet'!$A$62,$AF$205^A13,IF(A13='Données projet'!$A$62,'Données projet'!$B$62,AI12+AH13-AQ12)))</f>
        <v>9.7467943448089507</v>
      </c>
      <c r="AJ13" s="13">
        <f>AI13*VLOOKUP('Données projet'!$B$10,Paramètres!$A$1:$I$89,3,0)*VLOOKUP('Données projet'!$B$10,Paramètres!$A$1:$I$89,5,0)</f>
        <v>7.9065995725090206</v>
      </c>
      <c r="AK13" s="13">
        <f t="shared" si="35"/>
        <v>2.8642821943039705</v>
      </c>
      <c r="AL13" s="20">
        <f t="shared" si="4"/>
        <v>18.759285743865959</v>
      </c>
      <c r="AM13" s="59">
        <f t="shared" si="5"/>
        <v>312.09261907719929</v>
      </c>
      <c r="AN13" s="59">
        <f ca="1">AVERAGE(OFFSET($AM$3,0,0,'Données projet'!$E$10+1,1))-AVERAGE(OFFSET($H$3,0,0,'Données projet'!$E$10+1,1))</f>
        <v>235.31102883830971</v>
      </c>
      <c r="AO13" s="59">
        <f t="shared" si="36"/>
        <v>271.48630853790422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1.2</v>
      </c>
      <c r="BD13" s="12">
        <f>IF('Données projet'!$A$88&gt;35,BD12+BC13-BL12,IF(A13&lt;'Données projet'!$A$88,$BA$205^A13,IF(A13='Données projet'!$A$88,'Données projet'!$B$88,BD12+BC13-BL12)))</f>
        <v>3.8980598409161908</v>
      </c>
      <c r="BE13" s="13">
        <f>BD13*VLOOKUP('Données projet'!$B$11,Paramètres!$A$1:$I$89,3,0)*VLOOKUP('Données projet'!$B$11,Paramètres!$A$1:$I$89,5,0)</f>
        <v>4.4391105468353587</v>
      </c>
      <c r="BF13" s="13">
        <f t="shared" si="37"/>
        <v>1.7198983325588202</v>
      </c>
      <c r="BG13" s="20">
        <f t="shared" si="7"/>
        <v>10.72694046494486</v>
      </c>
      <c r="BH13" s="59">
        <f t="shared" si="8"/>
        <v>304.06027379827816</v>
      </c>
      <c r="BI13" s="59">
        <f ca="1">AVERAGE(OFFSET($BH$3,0,0,'Données projet'!$E$11+1,1))-AVERAGE(OFFSET($H$3,0,0,'Données projet'!$E$11+1,1))</f>
        <v>249.01678065306629</v>
      </c>
      <c r="BJ13" s="59">
        <f t="shared" si="38"/>
        <v>99.639724892155641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>
        <f>BY13*VLOOKUP('Données projet'!$B$12,Paramètres!$A$1:$I$89,3,0)*VLOOKUP('Données projet'!$B$12,Paramètres!$A$1:$I$89,5,0)</f>
        <v>0</v>
      </c>
      <c r="CA13" s="13" t="e">
        <f t="shared" si="39"/>
        <v>#NUM!</v>
      </c>
      <c r="CB13" s="20" t="e">
        <f t="shared" si="10"/>
        <v>#NUM!</v>
      </c>
      <c r="CC13" s="59" t="e">
        <f t="shared" si="11"/>
        <v>#NUM!</v>
      </c>
      <c r="CD13" s="59">
        <f ca="1">AVERAGE(OFFSET($CC$3,0,0,'Données projet'!$E$12+1,1))-AVERAGE(OFFSET($H$3,0,0,'Données projet'!$E$12+1,1))</f>
        <v>0</v>
      </c>
      <c r="CE13" s="59">
        <f t="shared" si="40"/>
        <v>0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>
        <f>CT13*VLOOKUP('Données projet'!$B$13,Paramètres!$A$1:$I$89,3,0)*VLOOKUP('Données projet'!$B$13,Paramètres!$A$1:$I$89,5,0)</f>
        <v>0</v>
      </c>
      <c r="CV13" s="13" t="e">
        <f t="shared" si="41"/>
        <v>#NUM!</v>
      </c>
      <c r="CW13" s="20" t="e">
        <f t="shared" si="13"/>
        <v>#NUM!</v>
      </c>
      <c r="CX13" s="59" t="e">
        <f t="shared" si="14"/>
        <v>#NUM!</v>
      </c>
      <c r="CY13" s="59">
        <f ca="1">AVERAGE(OFFSET($CX$3,0,0,'Données projet'!$E$13+1,1))-AVERAGE(OFFSET($H$3,0,0,'Données projet'!$E$13+1,1))</f>
        <v>0</v>
      </c>
      <c r="CZ13" s="59">
        <f t="shared" si="42"/>
        <v>0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9</v>
      </c>
      <c r="N14" s="13">
        <f>IF('Données projet'!$A$36&gt;35,N13+M14-V13,IF(A14&lt;'Données projet'!$A$36,$K$205^A14,IF(A14='Données projet'!$A$36,'Données projet'!$B$36,N13+M14-V13)))</f>
        <v>44.698314055691078</v>
      </c>
      <c r="O14" s="13">
        <f>N14*VLOOKUP('Données projet'!$B$9,Paramètres!$A$1:$I$89,3,0)*VLOOKUP('Données projet'!$B$9,Paramètres!$A$1:$I$89,5,0)</f>
        <v>26.729591805303269</v>
      </c>
      <c r="P14" s="13">
        <f t="shared" si="33"/>
        <v>8.4031571334341084</v>
      </c>
      <c r="Q14" s="20">
        <f t="shared" si="2"/>
        <v>61.189537734967594</v>
      </c>
      <c r="R14" s="59">
        <f t="shared" si="0"/>
        <v>354.5228710683009</v>
      </c>
      <c r="S14" s="59">
        <f ca="1">AVERAGE(OFFSET($R$3,0,0,'Données projet'!$E$9+1,1))-AVERAGE(OFFSET($H$3,0,0,'Données projet'!$E$9+1,1))</f>
        <v>181.92766225683107</v>
      </c>
      <c r="T14" s="59">
        <f t="shared" si="34"/>
        <v>370.52917139565756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4.75</v>
      </c>
      <c r="AI14" s="13">
        <f>IF('Données projet'!$A$62&gt;35,AI13+AH14-AQ13,IF(A14&lt;'Données projet'!$A$62,$AF$205^A14,IF(A14='Données projet'!$A$62,'Données projet'!$B$62,AI13+AH14-AQ13)))</f>
        <v>12.239057719016479</v>
      </c>
      <c r="AJ14" s="13">
        <f>AI14*VLOOKUP('Données projet'!$B$10,Paramètres!$A$1:$I$89,3,0)*VLOOKUP('Données projet'!$B$10,Paramètres!$A$1:$I$89,5,0)</f>
        <v>9.9283236216661681</v>
      </c>
      <c r="AK14" s="13">
        <f t="shared" si="35"/>
        <v>3.5026087809930875</v>
      </c>
      <c r="AL14" s="20">
        <f t="shared" si="4"/>
        <v>23.392207267964867</v>
      </c>
      <c r="AM14" s="59">
        <f t="shared" si="5"/>
        <v>316.72554060129818</v>
      </c>
      <c r="AN14" s="59">
        <f ca="1">AVERAGE(OFFSET($AM$3,0,0,'Données projet'!$E$10+1,1))-AVERAGE(OFFSET($H$3,0,0,'Données projet'!$E$10+1,1))</f>
        <v>235.31102883830971</v>
      </c>
      <c r="AO14" s="59">
        <f t="shared" si="36"/>
        <v>271.48630853790422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1.2</v>
      </c>
      <c r="BD14" s="12">
        <f>IF('Données projet'!$A$88&gt;35,BD13+BC14-BL13,IF(A14&lt;'Données projet'!$A$88,$BA$205^A14,IF(A14='Données projet'!$A$88,'Données projet'!$B$88,BD13+BC14-BL13)))</f>
        <v>4.4661504822319662</v>
      </c>
      <c r="BE14" s="13">
        <f>BD14*VLOOKUP('Données projet'!$B$11,Paramètres!$A$1:$I$89,3,0)*VLOOKUP('Données projet'!$B$11,Paramètres!$A$1:$I$89,5,0)</f>
        <v>5.0860521691657636</v>
      </c>
      <c r="BF14" s="13">
        <f t="shared" si="37"/>
        <v>1.9395909500595778</v>
      </c>
      <c r="BG14" s="20">
        <f t="shared" si="7"/>
        <v>12.236328432650803</v>
      </c>
      <c r="BH14" s="59">
        <f t="shared" si="8"/>
        <v>305.56966176598411</v>
      </c>
      <c r="BI14" s="59">
        <f ca="1">AVERAGE(OFFSET($BH$3,0,0,'Données projet'!$E$11+1,1))-AVERAGE(OFFSET($H$3,0,0,'Données projet'!$E$11+1,1))</f>
        <v>249.01678065306629</v>
      </c>
      <c r="BJ14" s="59">
        <f t="shared" si="38"/>
        <v>99.639724892155641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>
        <f>BY14*VLOOKUP('Données projet'!$B$12,Paramètres!$A$1:$I$89,3,0)*VLOOKUP('Données projet'!$B$12,Paramètres!$A$1:$I$89,5,0)</f>
        <v>0</v>
      </c>
      <c r="CA14" s="13" t="e">
        <f t="shared" si="39"/>
        <v>#NUM!</v>
      </c>
      <c r="CB14" s="20" t="e">
        <f t="shared" si="10"/>
        <v>#NUM!</v>
      </c>
      <c r="CC14" s="59" t="e">
        <f t="shared" si="11"/>
        <v>#NUM!</v>
      </c>
      <c r="CD14" s="59">
        <f ca="1">AVERAGE(OFFSET($CC$3,0,0,'Données projet'!$E$12+1,1))-AVERAGE(OFFSET($H$3,0,0,'Données projet'!$E$12+1,1))</f>
        <v>0</v>
      </c>
      <c r="CE14" s="59">
        <f t="shared" si="40"/>
        <v>0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>
        <f>CT14*VLOOKUP('Données projet'!$B$13,Paramètres!$A$1:$I$89,3,0)*VLOOKUP('Données projet'!$B$13,Paramètres!$A$1:$I$89,5,0)</f>
        <v>0</v>
      </c>
      <c r="CV14" s="13" t="e">
        <f t="shared" si="41"/>
        <v>#NUM!</v>
      </c>
      <c r="CW14" s="20" t="e">
        <f t="shared" si="13"/>
        <v>#NUM!</v>
      </c>
      <c r="CX14" s="59" t="e">
        <f t="shared" si="14"/>
        <v>#NUM!</v>
      </c>
      <c r="CY14" s="59">
        <f ca="1">AVERAGE(OFFSET($CX$3,0,0,'Données projet'!$E$13+1,1))-AVERAGE(OFFSET($H$3,0,0,'Données projet'!$E$13+1,1))</f>
        <v>0</v>
      </c>
      <c r="CZ14" s="59">
        <f t="shared" si="42"/>
        <v>0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9</v>
      </c>
      <c r="N15" s="13">
        <f>IF('Données projet'!$A$36&gt;35,N14+M15-V14,IF(A15&lt;'Données projet'!$A$36,$K$205^A15,IF(A15='Données projet'!$A$36,'Données projet'!$B$36,N14+M15-V14)))</f>
        <v>63.141894767824994</v>
      </c>
      <c r="O15" s="13">
        <f>N15*VLOOKUP('Données projet'!$B$9,Paramètres!$A$1:$I$89,3,0)*VLOOKUP('Données projet'!$B$9,Paramètres!$A$1:$I$89,5,0)</f>
        <v>37.758853071159351</v>
      </c>
      <c r="P15" s="13">
        <f t="shared" si="33"/>
        <v>11.402652029638778</v>
      </c>
      <c r="Q15" s="20">
        <f t="shared" si="2"/>
        <v>85.622954717223408</v>
      </c>
      <c r="R15" s="59">
        <f t="shared" si="0"/>
        <v>378.95628805055674</v>
      </c>
      <c r="S15" s="59">
        <f ca="1">AVERAGE(OFFSET($R$3,0,0,'Données projet'!$E$9+1,1))-AVERAGE(OFFSET($H$3,0,0,'Données projet'!$E$9+1,1))</f>
        <v>181.92766225683107</v>
      </c>
      <c r="T15" s="59">
        <f t="shared" si="34"/>
        <v>370.52917139565756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4.75</v>
      </c>
      <c r="AI15" s="13">
        <f>IF('Données projet'!$A$62&gt;35,AI14+AH15-AQ14,IF(A15&lt;'Données projet'!$A$62,$AF$205^A15,IF(A15='Données projet'!$A$62,'Données projet'!$B$62,AI14+AH15-AQ14)))</f>
        <v>15.368594899018873</v>
      </c>
      <c r="AJ15" s="13">
        <f>AI15*VLOOKUP('Données projet'!$B$10,Paramètres!$A$1:$I$89,3,0)*VLOOKUP('Données projet'!$B$10,Paramètres!$A$1:$I$89,5,0)</f>
        <v>12.467004182084111</v>
      </c>
      <c r="AK15" s="13">
        <f t="shared" si="35"/>
        <v>4.2831911943198415</v>
      </c>
      <c r="AL15" s="20">
        <f t="shared" si="4"/>
        <v>29.173256947236883</v>
      </c>
      <c r="AM15" s="59">
        <f t="shared" si="5"/>
        <v>322.50659028057021</v>
      </c>
      <c r="AN15" s="59">
        <f ca="1">AVERAGE(OFFSET($AM$3,0,0,'Données projet'!$E$10+1,1))-AVERAGE(OFFSET($H$3,0,0,'Données projet'!$E$10+1,1))</f>
        <v>235.31102883830971</v>
      </c>
      <c r="AO15" s="59">
        <f t="shared" si="36"/>
        <v>271.48630853790422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1.2</v>
      </c>
      <c r="BD15" s="12">
        <f>IF('Données projet'!$A$88&gt;35,BD14+BC15-BL14,IF(A15&lt;'Données projet'!$A$88,$BA$205^A15,IF(A15='Données projet'!$A$88,'Données projet'!$B$88,BD14+BC15-BL14)))</f>
        <v>5.1170328173444979</v>
      </c>
      <c r="BE15" s="13">
        <f>BD15*VLOOKUP('Données projet'!$B$11,Paramètres!$A$1:$I$89,3,0)*VLOOKUP('Données projet'!$B$11,Paramètres!$A$1:$I$89,5,0)</f>
        <v>5.827276972391914</v>
      </c>
      <c r="BF15" s="13">
        <f t="shared" si="37"/>
        <v>2.1873461833967758</v>
      </c>
      <c r="BG15" s="20">
        <f t="shared" si="7"/>
        <v>13.958801996331969</v>
      </c>
      <c r="BH15" s="59">
        <f t="shared" si="8"/>
        <v>307.29213532966526</v>
      </c>
      <c r="BI15" s="59">
        <f ca="1">AVERAGE(OFFSET($BH$3,0,0,'Données projet'!$E$11+1,1))-AVERAGE(OFFSET($H$3,0,0,'Données projet'!$E$11+1,1))</f>
        <v>249.01678065306629</v>
      </c>
      <c r="BJ15" s="59">
        <f t="shared" si="38"/>
        <v>99.639724892155641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>
        <f>BY15*VLOOKUP('Données projet'!$B$12,Paramètres!$A$1:$I$89,3,0)*VLOOKUP('Données projet'!$B$12,Paramètres!$A$1:$I$89,5,0)</f>
        <v>0</v>
      </c>
      <c r="CA15" s="13" t="e">
        <f t="shared" si="39"/>
        <v>#NUM!</v>
      </c>
      <c r="CB15" s="20" t="e">
        <f t="shared" si="10"/>
        <v>#NUM!</v>
      </c>
      <c r="CC15" s="59" t="e">
        <f t="shared" si="11"/>
        <v>#NUM!</v>
      </c>
      <c r="CD15" s="59">
        <f ca="1">AVERAGE(OFFSET($CC$3,0,0,'Données projet'!$E$12+1,1))-AVERAGE(OFFSET($H$3,0,0,'Données projet'!$E$12+1,1))</f>
        <v>0</v>
      </c>
      <c r="CE15" s="59">
        <f t="shared" si="40"/>
        <v>0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>
        <f>CT15*VLOOKUP('Données projet'!$B$13,Paramètres!$A$1:$I$89,3,0)*VLOOKUP('Données projet'!$B$13,Paramètres!$A$1:$I$89,5,0)</f>
        <v>0</v>
      </c>
      <c r="CV15" s="13" t="e">
        <f t="shared" si="41"/>
        <v>#NUM!</v>
      </c>
      <c r="CW15" s="20" t="e">
        <f t="shared" si="13"/>
        <v>#NUM!</v>
      </c>
      <c r="CX15" s="59" t="e">
        <f t="shared" si="14"/>
        <v>#NUM!</v>
      </c>
      <c r="CY15" s="59">
        <f ca="1">AVERAGE(OFFSET($CX$3,0,0,'Données projet'!$E$13+1,1))-AVERAGE(OFFSET($H$3,0,0,'Données projet'!$E$13+1,1))</f>
        <v>0</v>
      </c>
      <c r="CZ15" s="59">
        <f t="shared" si="42"/>
        <v>0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9</v>
      </c>
      <c r="N16" s="13">
        <f>IF('Données projet'!$A$36&gt;35,N15+M16-V15,IF(A16&lt;'Données projet'!$A$36,$K$205^A16,IF(A16='Données projet'!$A$36,'Données projet'!$B$36,N15+M16-V15)))</f>
        <v>89.195732749644165</v>
      </c>
      <c r="O16" s="13">
        <f>N16*VLOOKUP('Données projet'!$B$9,Paramètres!$A$1:$I$89,3,0)*VLOOKUP('Données projet'!$B$9,Paramètres!$A$1:$I$89,5,0)</f>
        <v>53.339048184287208</v>
      </c>
      <c r="P16" s="13">
        <f t="shared" si="33"/>
        <v>15.472812330463949</v>
      </c>
      <c r="Q16" s="20">
        <f t="shared" si="2"/>
        <v>119.84732372985827</v>
      </c>
      <c r="R16" s="59">
        <f t="shared" si="0"/>
        <v>413.18065706319157</v>
      </c>
      <c r="S16" s="59">
        <f ca="1">AVERAGE(OFFSET($R$3,0,0,'Données projet'!$E$9+1,1))-AVERAGE(OFFSET($H$3,0,0,'Données projet'!$E$9+1,1))</f>
        <v>181.92766225683107</v>
      </c>
      <c r="T16" s="59">
        <f t="shared" si="34"/>
        <v>370.52917139565756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4.75</v>
      </c>
      <c r="AI16" s="13">
        <f>IF('Données projet'!$A$62&gt;35,AI15+AH16-AQ15,IF(A16&lt;'Données projet'!$A$62,$AF$205^A16,IF(A16='Données projet'!$A$62,'Données projet'!$B$62,AI15+AH16-AQ15)))</f>
        <v>19.298357323959845</v>
      </c>
      <c r="AJ16" s="13">
        <f>AI16*VLOOKUP('Données projet'!$B$10,Paramètres!$A$1:$I$89,3,0)*VLOOKUP('Données projet'!$B$10,Paramètres!$A$1:$I$89,5,0)</f>
        <v>15.654827461196227</v>
      </c>
      <c r="AK16" s="13">
        <f t="shared" si="35"/>
        <v>5.2377322031087648</v>
      </c>
      <c r="AL16" s="20">
        <f t="shared" si="4"/>
        <v>36.387874748664522</v>
      </c>
      <c r="AM16" s="59">
        <f t="shared" si="5"/>
        <v>329.72120808199782</v>
      </c>
      <c r="AN16" s="59">
        <f ca="1">AVERAGE(OFFSET($AM$3,0,0,'Données projet'!$E$10+1,1))-AVERAGE(OFFSET($H$3,0,0,'Données projet'!$E$10+1,1))</f>
        <v>235.31102883830971</v>
      </c>
      <c r="AO16" s="59">
        <f t="shared" si="36"/>
        <v>271.48630853790422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1.2</v>
      </c>
      <c r="BD16" s="12">
        <f>IF('Données projet'!$A$88&gt;35,BD15+BC16-BL15,IF(A16&lt;'Données projet'!$A$88,$BA$205^A16,IF(A16='Données projet'!$A$88,'Données projet'!$B$88,BD15+BC16-BL15)))</f>
        <v>5.8627726400958746</v>
      </c>
      <c r="BE16" s="13">
        <f>BD16*VLOOKUP('Données projet'!$B$11,Paramètres!$A$1:$I$89,3,0)*VLOOKUP('Données projet'!$B$11,Paramètres!$A$1:$I$89,5,0)</f>
        <v>6.6765254825411819</v>
      </c>
      <c r="BF16" s="13">
        <f t="shared" si="37"/>
        <v>2.4667486337124225</v>
      </c>
      <c r="BG16" s="20">
        <f t="shared" si="7"/>
        <v>15.924535752475025</v>
      </c>
      <c r="BH16" s="59">
        <f t="shared" si="8"/>
        <v>309.25786908580835</v>
      </c>
      <c r="BI16" s="59">
        <f ca="1">AVERAGE(OFFSET($BH$3,0,0,'Données projet'!$E$11+1,1))-AVERAGE(OFFSET($H$3,0,0,'Données projet'!$E$11+1,1))</f>
        <v>249.01678065306629</v>
      </c>
      <c r="BJ16" s="59">
        <f t="shared" si="38"/>
        <v>99.639724892155641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>
        <f>BY16*VLOOKUP('Données projet'!$B$12,Paramètres!$A$1:$I$89,3,0)*VLOOKUP('Données projet'!$B$12,Paramètres!$A$1:$I$89,5,0)</f>
        <v>0</v>
      </c>
      <c r="CA16" s="13" t="e">
        <f t="shared" si="39"/>
        <v>#NUM!</v>
      </c>
      <c r="CB16" s="20" t="e">
        <f t="shared" si="10"/>
        <v>#NUM!</v>
      </c>
      <c r="CC16" s="59" t="e">
        <f t="shared" si="11"/>
        <v>#NUM!</v>
      </c>
      <c r="CD16" s="59">
        <f ca="1">AVERAGE(OFFSET($CC$3,0,0,'Données projet'!$E$12+1,1))-AVERAGE(OFFSET($H$3,0,0,'Données projet'!$E$12+1,1))</f>
        <v>0</v>
      </c>
      <c r="CE16" s="59">
        <f t="shared" si="40"/>
        <v>0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>
        <f>CT16*VLOOKUP('Données projet'!$B$13,Paramètres!$A$1:$I$89,3,0)*VLOOKUP('Données projet'!$B$13,Paramètres!$A$1:$I$89,5,0)</f>
        <v>0</v>
      </c>
      <c r="CV16" s="13" t="e">
        <f t="shared" si="41"/>
        <v>#NUM!</v>
      </c>
      <c r="CW16" s="20" t="e">
        <f t="shared" si="13"/>
        <v>#NUM!</v>
      </c>
      <c r="CX16" s="59" t="e">
        <f t="shared" si="14"/>
        <v>#NUM!</v>
      </c>
      <c r="CY16" s="59">
        <f ca="1">AVERAGE(OFFSET($CX$3,0,0,'Données projet'!$E$13+1,1))-AVERAGE(OFFSET($H$3,0,0,'Données projet'!$E$13+1,1))</f>
        <v>0</v>
      </c>
      <c r="CZ16" s="59">
        <f t="shared" si="42"/>
        <v>0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126</v>
      </c>
      <c r="L17" s="12">
        <f>VLOOKUP(A17,'Données projet'!$A$35:$I$55,9,0)</f>
        <v>9</v>
      </c>
      <c r="M17" s="12">
        <f t="array" ref="M17">INDEX(L:L,MIN(IF(ISNUMBER(L17:L213),ROW(L17:L213),"")))</f>
        <v>9</v>
      </c>
      <c r="N17" s="13">
        <f>IF('Données projet'!$A$36&gt;35,N16+M17-V16,IF(A17&lt;'Données projet'!$A$36,$K$205^A17,IF(A17='Données projet'!$A$36,'Données projet'!$B$36,N16+M17-V16)))</f>
        <v>126</v>
      </c>
      <c r="O17" s="13">
        <f>N17*VLOOKUP('Données projet'!$B$9,Paramètres!$A$1:$I$89,3,0)*VLOOKUP('Données projet'!$B$9,Paramètres!$A$1:$I$89,5,0)</f>
        <v>75.347999999999999</v>
      </c>
      <c r="P17" s="13">
        <f t="shared" si="33"/>
        <v>20.99581051771704</v>
      </c>
      <c r="Q17" s="20">
        <f t="shared" si="2"/>
        <v>167.79880331835713</v>
      </c>
      <c r="R17" s="59">
        <f t="shared" si="0"/>
        <v>461.13213665169042</v>
      </c>
      <c r="S17" s="59">
        <f ca="1">AVERAGE(OFFSET($R$3,0,0,'Données projet'!$E$9+1,1))-AVERAGE(OFFSET($H$3,0,0,'Données projet'!$E$9+1,1))</f>
        <v>181.92766225683107</v>
      </c>
      <c r="T17" s="59">
        <f t="shared" si="34"/>
        <v>370.52917139565756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36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0.22500000000000001</v>
      </c>
      <c r="Y17" s="16">
        <f>IF(ISNA(VLOOKUP(A17,'Données projet'!$A$35:$I$55,7,0)),0%,VLOOKUP(A17,'Données projet'!$A$35:$I$55,7,0))</f>
        <v>0.5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6.40031282288383</v>
      </c>
      <c r="AB17" s="21">
        <f>EXP(-LN(2)/2)*AB16+(1-EXP(-LN(2)/2))/(LN(2)/2)*V17*Y17*VLOOKUP('Données projet'!$B$9,Paramètres!$A$1:$I$89,3,0)*0.475*44/12</f>
        <v>12.187348450574879</v>
      </c>
      <c r="AC17" s="22">
        <f t="shared" si="3"/>
        <v>18.587661273458707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4.75</v>
      </c>
      <c r="AI17" s="13">
        <f>IF('Données projet'!$A$62&gt;35,AI16+AH17-AQ16,IF(A17&lt;'Données projet'!$A$62,$AF$205^A17,IF(A17='Données projet'!$A$62,'Données projet'!$B$62,AI16+AH17-AQ16)))</f>
        <v>24.232963250726986</v>
      </c>
      <c r="AJ17" s="13">
        <f>AI17*VLOOKUP('Données projet'!$B$10,Paramètres!$A$1:$I$89,3,0)*VLOOKUP('Données projet'!$B$10,Paramètres!$A$1:$I$89,5,0)</f>
        <v>19.657779788989732</v>
      </c>
      <c r="AK17" s="13">
        <f t="shared" si="35"/>
        <v>6.4049997739685294</v>
      </c>
      <c r="AL17" s="20">
        <f t="shared" si="4"/>
        <v>45.392674405485643</v>
      </c>
      <c r="AM17" s="59">
        <f t="shared" si="5"/>
        <v>338.72600773881896</v>
      </c>
      <c r="AN17" s="59">
        <f ca="1">AVERAGE(OFFSET($AM$3,0,0,'Données projet'!$E$10+1,1))-AVERAGE(OFFSET($H$3,0,0,'Données projet'!$E$10+1,1))</f>
        <v>235.31102883830971</v>
      </c>
      <c r="AO17" s="59">
        <f t="shared" si="36"/>
        <v>271.48630853790422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1.2</v>
      </c>
      <c r="BD17" s="12">
        <f>IF('Données projet'!$A$88&gt;35,BD16+BC17-BL16,IF(A17&lt;'Données projet'!$A$88,$BA$205^A17,IF(A17='Données projet'!$A$88,'Données projet'!$B$88,BD16+BC17-BL16)))</f>
        <v>6.7171941741218459</v>
      </c>
      <c r="BE17" s="13">
        <f>BD17*VLOOKUP('Données projet'!$B$11,Paramètres!$A$1:$I$89,3,0)*VLOOKUP('Données projet'!$B$11,Paramètres!$A$1:$I$89,5,0)</f>
        <v>7.6495407254899579</v>
      </c>
      <c r="BF17" s="13">
        <f t="shared" si="37"/>
        <v>2.7818407841015893</v>
      </c>
      <c r="BG17" s="20">
        <f t="shared" si="7"/>
        <v>18.16798946253861</v>
      </c>
      <c r="BH17" s="59">
        <f t="shared" si="8"/>
        <v>311.50132279587194</v>
      </c>
      <c r="BI17" s="59">
        <f ca="1">AVERAGE(OFFSET($BH$3,0,0,'Données projet'!$E$11+1,1))-AVERAGE(OFFSET($H$3,0,0,'Données projet'!$E$11+1,1))</f>
        <v>249.01678065306629</v>
      </c>
      <c r="BJ17" s="59">
        <f t="shared" si="38"/>
        <v>99.639724892155641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>
        <f>BY17*VLOOKUP('Données projet'!$B$12,Paramètres!$A$1:$I$89,3,0)*VLOOKUP('Données projet'!$B$12,Paramètres!$A$1:$I$89,5,0)</f>
        <v>0</v>
      </c>
      <c r="CA17" s="13" t="e">
        <f t="shared" si="39"/>
        <v>#NUM!</v>
      </c>
      <c r="CB17" s="20" t="e">
        <f t="shared" si="10"/>
        <v>#NUM!</v>
      </c>
      <c r="CC17" s="59" t="e">
        <f t="shared" si="11"/>
        <v>#NUM!</v>
      </c>
      <c r="CD17" s="59">
        <f ca="1">AVERAGE(OFFSET($CC$3,0,0,'Données projet'!$E$12+1,1))-AVERAGE(OFFSET($H$3,0,0,'Données projet'!$E$12+1,1))</f>
        <v>0</v>
      </c>
      <c r="CE17" s="59">
        <f t="shared" si="40"/>
        <v>0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>
        <f>CT17*VLOOKUP('Données projet'!$B$13,Paramètres!$A$1:$I$89,3,0)*VLOOKUP('Données projet'!$B$13,Paramètres!$A$1:$I$89,5,0)</f>
        <v>0</v>
      </c>
      <c r="CV17" s="13" t="e">
        <f t="shared" si="41"/>
        <v>#NUM!</v>
      </c>
      <c r="CW17" s="20" t="e">
        <f t="shared" si="13"/>
        <v>#NUM!</v>
      </c>
      <c r="CX17" s="59" t="e">
        <f t="shared" si="14"/>
        <v>#NUM!</v>
      </c>
      <c r="CY17" s="59">
        <f ca="1">AVERAGE(OFFSET($CX$3,0,0,'Données projet'!$E$13+1,1))-AVERAGE(OFFSET($H$3,0,0,'Données projet'!$E$13+1,1))</f>
        <v>0</v>
      </c>
      <c r="CZ17" s="59">
        <f t="shared" si="42"/>
        <v>0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20</v>
      </c>
      <c r="N18" s="13">
        <f>IF('Données projet'!$A$36&gt;35,N17+M18-V17,IF(A18&lt;'Données projet'!$A$36,$K$205^A18,IF(A18='Données projet'!$A$36,'Données projet'!$B$36,N17+M18-V17)))</f>
        <v>110</v>
      </c>
      <c r="O18" s="13">
        <f>N18*VLOOKUP('Données projet'!$B$9,Paramètres!$A$1:$I$89,3,0)*VLOOKUP('Données projet'!$B$9,Paramètres!$A$1:$I$89,5,0)</f>
        <v>65.78</v>
      </c>
      <c r="P18" s="13">
        <f t="shared" si="33"/>
        <v>18.621720661480644</v>
      </c>
      <c r="Q18" s="20">
        <f t="shared" si="2"/>
        <v>146.99966348541213</v>
      </c>
      <c r="R18" s="59">
        <f t="shared" si="0"/>
        <v>440.33299681874541</v>
      </c>
      <c r="S18" s="59">
        <f ca="1">AVERAGE(OFFSET($R$3,0,0,'Données projet'!$E$9+1,1))-AVERAGE(OFFSET($H$3,0,0,'Données projet'!$E$9+1,1))</f>
        <v>181.92766225683107</v>
      </c>
      <c r="T18" s="59">
        <f t="shared" si="34"/>
        <v>370.52917139565756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6.225295932164248</v>
      </c>
      <c r="AB18" s="21">
        <f>EXP(-LN(2)/2)*AB17+(1-EXP(-LN(2)/2))/(LN(2)/2)*V18*Y18*VLOOKUP('Données projet'!$B$9,Paramètres!$A$1:$I$89,3,0)*0.475*44/12</f>
        <v>8.6177567340848604</v>
      </c>
      <c r="AC18" s="22">
        <f t="shared" si="3"/>
        <v>14.843052666249108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4.75</v>
      </c>
      <c r="AI18" s="13">
        <f>IF('Données projet'!$A$62&gt;35,AI17+AH18-AQ17,IF(A18&lt;'Données projet'!$A$62,$AF$205^A18,IF(A18='Données projet'!$A$62,'Données projet'!$B$62,AI17+AH18-AQ17)))</f>
        <v>30.429351993705815</v>
      </c>
      <c r="AJ18" s="13">
        <f>AI18*VLOOKUP('Données projet'!$B$10,Paramètres!$A$1:$I$89,3,0)*VLOOKUP('Données projet'!$B$10,Paramètres!$A$1:$I$89,5,0)</f>
        <v>24.684290337294158</v>
      </c>
      <c r="AK18" s="13">
        <f t="shared" si="35"/>
        <v>7.8324016031571553</v>
      </c>
      <c r="AL18" s="20">
        <f t="shared" si="4"/>
        <v>56.633238462952697</v>
      </c>
      <c r="AM18" s="59">
        <f t="shared" si="5"/>
        <v>349.96657179628602</v>
      </c>
      <c r="AN18" s="59">
        <f ca="1">AVERAGE(OFFSET($AM$3,0,0,'Données projet'!$E$10+1,1))-AVERAGE(OFFSET($H$3,0,0,'Données projet'!$E$10+1,1))</f>
        <v>235.31102883830971</v>
      </c>
      <c r="AO18" s="59">
        <f t="shared" si="36"/>
        <v>271.48630853790422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1.2</v>
      </c>
      <c r="BD18" s="12">
        <f>IF('Données projet'!$A$88&gt;35,BD17+BC18-BL17,IF(A18&lt;'Données projet'!$A$88,$BA$205^A18,IF(A18='Données projet'!$A$88,'Données projet'!$B$88,BD17+BC18-BL17)))</f>
        <v>7.6961363407260848</v>
      </c>
      <c r="BE18" s="13">
        <f>BD18*VLOOKUP('Données projet'!$B$11,Paramètres!$A$1:$I$89,3,0)*VLOOKUP('Données projet'!$B$11,Paramètres!$A$1:$I$89,5,0)</f>
        <v>8.7643600648188649</v>
      </c>
      <c r="BF18" s="13">
        <f t="shared" si="37"/>
        <v>3.1371814875374633</v>
      </c>
      <c r="BG18" s="20">
        <f t="shared" si="7"/>
        <v>20.728518203687273</v>
      </c>
      <c r="BH18" s="59">
        <f t="shared" si="8"/>
        <v>314.06185153702057</v>
      </c>
      <c r="BI18" s="59">
        <f ca="1">AVERAGE(OFFSET($BH$3,0,0,'Données projet'!$E$11+1,1))-AVERAGE(OFFSET($H$3,0,0,'Données projet'!$E$11+1,1))</f>
        <v>249.01678065306629</v>
      </c>
      <c r="BJ18" s="59">
        <f t="shared" si="38"/>
        <v>99.639724892155641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>
        <f>BY18*VLOOKUP('Données projet'!$B$12,Paramètres!$A$1:$I$89,3,0)*VLOOKUP('Données projet'!$B$12,Paramètres!$A$1:$I$89,5,0)</f>
        <v>0</v>
      </c>
      <c r="CA18" s="13" t="e">
        <f t="shared" si="39"/>
        <v>#NUM!</v>
      </c>
      <c r="CB18" s="20" t="e">
        <f t="shared" si="10"/>
        <v>#NUM!</v>
      </c>
      <c r="CC18" s="59" t="e">
        <f t="shared" si="11"/>
        <v>#NUM!</v>
      </c>
      <c r="CD18" s="59">
        <f ca="1">AVERAGE(OFFSET($CC$3,0,0,'Données projet'!$E$12+1,1))-AVERAGE(OFFSET($H$3,0,0,'Données projet'!$E$12+1,1))</f>
        <v>0</v>
      </c>
      <c r="CE18" s="59">
        <f t="shared" si="40"/>
        <v>0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>
        <f>CT18*VLOOKUP('Données projet'!$B$13,Paramètres!$A$1:$I$89,3,0)*VLOOKUP('Données projet'!$B$13,Paramètres!$A$1:$I$89,5,0)</f>
        <v>0</v>
      </c>
      <c r="CV18" s="13" t="e">
        <f t="shared" si="41"/>
        <v>#NUM!</v>
      </c>
      <c r="CW18" s="20" t="e">
        <f t="shared" si="13"/>
        <v>#NUM!</v>
      </c>
      <c r="CX18" s="59" t="e">
        <f t="shared" si="14"/>
        <v>#NUM!</v>
      </c>
      <c r="CY18" s="59">
        <f ca="1">AVERAGE(OFFSET($CX$3,0,0,'Données projet'!$E$13+1,1))-AVERAGE(OFFSET($H$3,0,0,'Données projet'!$E$13+1,1))</f>
        <v>0</v>
      </c>
      <c r="CZ18" s="59">
        <f t="shared" si="42"/>
        <v>0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20</v>
      </c>
      <c r="N19" s="13">
        <f>IF('Données projet'!$A$36&gt;35,N18+M19-V18,IF(A19&lt;'Données projet'!$A$36,$K$205^A19,IF(A19='Données projet'!$A$36,'Données projet'!$B$36,N18+M19-V18)))</f>
        <v>130</v>
      </c>
      <c r="O19" s="13">
        <f>N19*VLOOKUP('Données projet'!$B$9,Paramètres!$A$1:$I$89,3,0)*VLOOKUP('Données projet'!$B$9,Paramètres!$A$1:$I$89,5,0)</f>
        <v>77.740000000000009</v>
      </c>
      <c r="P19" s="13">
        <f t="shared" si="33"/>
        <v>21.583684155853913</v>
      </c>
      <c r="Q19" s="20">
        <f t="shared" si="2"/>
        <v>172.98874990477893</v>
      </c>
      <c r="R19" s="59">
        <f t="shared" si="0"/>
        <v>466.32208323811221</v>
      </c>
      <c r="S19" s="59">
        <f ca="1">AVERAGE(OFFSET($R$3,0,0,'Données projet'!$E$9+1,1))-AVERAGE(OFFSET($H$3,0,0,'Données projet'!$E$9+1,1))</f>
        <v>181.92766225683107</v>
      </c>
      <c r="T19" s="59">
        <f t="shared" si="34"/>
        <v>370.52917139565756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6.0550648875251314</v>
      </c>
      <c r="AB19" s="21">
        <f>EXP(-LN(2)/2)*AB18+(1-EXP(-LN(2)/2))/(LN(2)/2)*V19*Y19*VLOOKUP('Données projet'!$B$9,Paramètres!$A$1:$I$89,3,0)*0.475*44/12</f>
        <v>6.0936742252874403</v>
      </c>
      <c r="AC19" s="22">
        <f t="shared" si="3"/>
        <v>12.148739112812571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4.75</v>
      </c>
      <c r="AI19" s="13">
        <f>IF('Données projet'!$A$62&gt;35,AI18+AH19-AQ18,IF(A19&lt;'Données projet'!$A$62,$AF$205^A19,IF(A19='Données projet'!$A$62,'Données projet'!$B$62,AI18+AH19-AQ18)))</f>
        <v>38.21016246244956</v>
      </c>
      <c r="AJ19" s="13">
        <f>AI19*VLOOKUP('Données projet'!$B$10,Paramètres!$A$1:$I$89,3,0)*VLOOKUP('Données projet'!$B$10,Paramètres!$A$1:$I$89,5,0)</f>
        <v>30.996083789539089</v>
      </c>
      <c r="AK19" s="13">
        <f t="shared" si="35"/>
        <v>9.5779105445820392</v>
      </c>
      <c r="AL19" s="20">
        <f t="shared" si="4"/>
        <v>70.666373465260961</v>
      </c>
      <c r="AM19" s="59">
        <f t="shared" si="5"/>
        <v>363.99970679859427</v>
      </c>
      <c r="AN19" s="59">
        <f ca="1">AVERAGE(OFFSET($AM$3,0,0,'Données projet'!$E$10+1,1))-AVERAGE(OFFSET($H$3,0,0,'Données projet'!$E$10+1,1))</f>
        <v>235.31102883830971</v>
      </c>
      <c r="AO19" s="59">
        <f t="shared" si="36"/>
        <v>271.48630853790422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1.2</v>
      </c>
      <c r="BD19" s="12">
        <f>IF('Données projet'!$A$88&gt;35,BD18+BC19-BL18,IF(A19&lt;'Données projet'!$A$88,$BA$205^A19,IF(A19='Données projet'!$A$88,'Données projet'!$B$88,BD18+BC19-BL18)))</f>
        <v>8.8177463744060987</v>
      </c>
      <c r="BE19" s="13">
        <f>BD19*VLOOKUP('Données projet'!$B$11,Paramètres!$A$1:$I$89,3,0)*VLOOKUP('Données projet'!$B$11,Paramètres!$A$1:$I$89,5,0)</f>
        <v>10.041649571173666</v>
      </c>
      <c r="BF19" s="13">
        <f t="shared" si="37"/>
        <v>3.537911925799258</v>
      </c>
      <c r="BG19" s="20">
        <f t="shared" si="7"/>
        <v>23.651069607227843</v>
      </c>
      <c r="BH19" s="59">
        <f t="shared" si="8"/>
        <v>316.98440294056115</v>
      </c>
      <c r="BI19" s="59">
        <f ca="1">AVERAGE(OFFSET($BH$3,0,0,'Données projet'!$E$11+1,1))-AVERAGE(OFFSET($H$3,0,0,'Données projet'!$E$11+1,1))</f>
        <v>249.01678065306629</v>
      </c>
      <c r="BJ19" s="59">
        <f t="shared" si="38"/>
        <v>99.639724892155641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>
        <f>BY19*VLOOKUP('Données projet'!$B$12,Paramètres!$A$1:$I$89,3,0)*VLOOKUP('Données projet'!$B$12,Paramètres!$A$1:$I$89,5,0)</f>
        <v>0</v>
      </c>
      <c r="CA19" s="13" t="e">
        <f t="shared" si="39"/>
        <v>#NUM!</v>
      </c>
      <c r="CB19" s="20" t="e">
        <f t="shared" si="10"/>
        <v>#NUM!</v>
      </c>
      <c r="CC19" s="59" t="e">
        <f t="shared" si="11"/>
        <v>#NUM!</v>
      </c>
      <c r="CD19" s="59">
        <f ca="1">AVERAGE(OFFSET($CC$3,0,0,'Données projet'!$E$12+1,1))-AVERAGE(OFFSET($H$3,0,0,'Données projet'!$E$12+1,1))</f>
        <v>0</v>
      </c>
      <c r="CE19" s="59">
        <f t="shared" si="40"/>
        <v>0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>
        <f>CT19*VLOOKUP('Données projet'!$B$13,Paramètres!$A$1:$I$89,3,0)*VLOOKUP('Données projet'!$B$13,Paramètres!$A$1:$I$89,5,0)</f>
        <v>0</v>
      </c>
      <c r="CV19" s="13" t="e">
        <f t="shared" si="41"/>
        <v>#NUM!</v>
      </c>
      <c r="CW19" s="20" t="e">
        <f t="shared" si="13"/>
        <v>#NUM!</v>
      </c>
      <c r="CX19" s="59" t="e">
        <f t="shared" si="14"/>
        <v>#NUM!</v>
      </c>
      <c r="CY19" s="59">
        <f ca="1">AVERAGE(OFFSET($CX$3,0,0,'Données projet'!$E$13+1,1))-AVERAGE(OFFSET($H$3,0,0,'Données projet'!$E$13+1,1))</f>
        <v>0</v>
      </c>
      <c r="CZ19" s="59">
        <f t="shared" si="42"/>
        <v>0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20</v>
      </c>
      <c r="N20" s="13">
        <f>IF('Données projet'!$A$36&gt;35,N19+M20-V19,IF(A20&lt;'Données projet'!$A$36,$K$205^A20,IF(A20='Données projet'!$A$36,'Données projet'!$B$36,N19+M20-V19)))</f>
        <v>150</v>
      </c>
      <c r="O20" s="13">
        <f>N20*VLOOKUP('Données projet'!$B$9,Paramètres!$A$1:$I$89,3,0)*VLOOKUP('Données projet'!$B$9,Paramètres!$A$1:$I$89,5,0)</f>
        <v>89.7</v>
      </c>
      <c r="P20" s="13">
        <f t="shared" si="33"/>
        <v>24.492858164013299</v>
      </c>
      <c r="Q20" s="20">
        <f t="shared" si="2"/>
        <v>198.88589463565651</v>
      </c>
      <c r="R20" s="59">
        <f t="shared" si="0"/>
        <v>492.2192279689898</v>
      </c>
      <c r="S20" s="59">
        <f ca="1">AVERAGE(OFFSET($R$3,0,0,'Données projet'!$E$9+1,1))-AVERAGE(OFFSET($H$3,0,0,'Données projet'!$E$9+1,1))</f>
        <v>181.92766225683107</v>
      </c>
      <c r="T20" s="59">
        <f t="shared" si="34"/>
        <v>370.52917139565756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5.8894888197537334</v>
      </c>
      <c r="AB20" s="21">
        <f>EXP(-LN(2)/2)*AB19+(1-EXP(-LN(2)/2))/(LN(2)/2)*V20*Y20*VLOOKUP('Données projet'!$B$9,Paramètres!$A$1:$I$89,3,0)*0.475*44/12</f>
        <v>4.3088783670424311</v>
      </c>
      <c r="AC20" s="22">
        <f t="shared" si="3"/>
        <v>10.198367186796165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4.75</v>
      </c>
      <c r="AI20" s="13">
        <f>IF('Données projet'!$A$62&gt;35,AI19+AH20-AQ19,IF(A20&lt;'Données projet'!$A$62,$AF$205^A20,IF(A20='Données projet'!$A$62,'Données projet'!$B$62,AI19+AH20-AQ19)))</f>
        <v>47.980532602494719</v>
      </c>
      <c r="AJ20" s="13">
        <f>AI20*VLOOKUP('Données projet'!$B$10,Paramètres!$A$1:$I$89,3,0)*VLOOKUP('Données projet'!$B$10,Paramètres!$A$1:$I$89,5,0)</f>
        <v>38.92180804714372</v>
      </c>
      <c r="AK20" s="13">
        <f t="shared" si="35"/>
        <v>11.712419133747929</v>
      </c>
      <c r="AL20" s="20">
        <f t="shared" si="4"/>
        <v>88.187945673386295</v>
      </c>
      <c r="AM20" s="59">
        <f t="shared" si="5"/>
        <v>381.52127900671962</v>
      </c>
      <c r="AN20" s="59">
        <f ca="1">AVERAGE(OFFSET($AM$3,0,0,'Données projet'!$E$10+1,1))-AVERAGE(OFFSET($H$3,0,0,'Données projet'!$E$10+1,1))</f>
        <v>235.31102883830971</v>
      </c>
      <c r="AO20" s="59">
        <f t="shared" si="36"/>
        <v>271.48630853790422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1.2</v>
      </c>
      <c r="BD20" s="12">
        <f>IF('Données projet'!$A$88&gt;35,BD19+BC20-BL19,IF(A20&lt;'Données projet'!$A$88,$BA$205^A20,IF(A20='Données projet'!$A$88,'Données projet'!$B$88,BD19+BC20-BL19)))</f>
        <v>10.102816228956828</v>
      </c>
      <c r="BE20" s="13">
        <f>BD20*VLOOKUP('Données projet'!$B$11,Paramètres!$A$1:$I$89,3,0)*VLOOKUP('Données projet'!$B$11,Paramètres!$A$1:$I$89,5,0)</f>
        <v>11.505087121536034</v>
      </c>
      <c r="BF20" s="13">
        <f t="shared" si="37"/>
        <v>3.9898299937176129</v>
      </c>
      <c r="BG20" s="20">
        <f t="shared" si="7"/>
        <v>26.986980642400102</v>
      </c>
      <c r="BH20" s="59">
        <f t="shared" si="8"/>
        <v>320.32031397573343</v>
      </c>
      <c r="BI20" s="59">
        <f ca="1">AVERAGE(OFFSET($BH$3,0,0,'Données projet'!$E$11+1,1))-AVERAGE(OFFSET($H$3,0,0,'Données projet'!$E$11+1,1))</f>
        <v>249.01678065306629</v>
      </c>
      <c r="BJ20" s="59">
        <f t="shared" si="38"/>
        <v>99.639724892155641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>
        <f>BY20*VLOOKUP('Données projet'!$B$12,Paramètres!$A$1:$I$89,3,0)*VLOOKUP('Données projet'!$B$12,Paramètres!$A$1:$I$89,5,0)</f>
        <v>0</v>
      </c>
      <c r="CA20" s="13" t="e">
        <f t="shared" si="39"/>
        <v>#NUM!</v>
      </c>
      <c r="CB20" s="20" t="e">
        <f t="shared" si="10"/>
        <v>#NUM!</v>
      </c>
      <c r="CC20" s="59" t="e">
        <f t="shared" si="11"/>
        <v>#NUM!</v>
      </c>
      <c r="CD20" s="59">
        <f ca="1">AVERAGE(OFFSET($CC$3,0,0,'Données projet'!$E$12+1,1))-AVERAGE(OFFSET($H$3,0,0,'Données projet'!$E$12+1,1))</f>
        <v>0</v>
      </c>
      <c r="CE20" s="59">
        <f t="shared" si="40"/>
        <v>0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>
        <f>CT20*VLOOKUP('Données projet'!$B$13,Paramètres!$A$1:$I$89,3,0)*VLOOKUP('Données projet'!$B$13,Paramètres!$A$1:$I$89,5,0)</f>
        <v>0</v>
      </c>
      <c r="CV20" s="13" t="e">
        <f t="shared" si="41"/>
        <v>#NUM!</v>
      </c>
      <c r="CW20" s="20" t="e">
        <f t="shared" si="13"/>
        <v>#NUM!</v>
      </c>
      <c r="CX20" s="59" t="e">
        <f t="shared" si="14"/>
        <v>#NUM!</v>
      </c>
      <c r="CY20" s="59">
        <f ca="1">AVERAGE(OFFSET($CX$3,0,0,'Données projet'!$E$13+1,1))-AVERAGE(OFFSET($H$3,0,0,'Données projet'!$E$13+1,1))</f>
        <v>0</v>
      </c>
      <c r="CZ20" s="59">
        <f t="shared" si="42"/>
        <v>0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20</v>
      </c>
      <c r="N21" s="13">
        <f>IF('Données projet'!$A$36&gt;35,N20+M21-V20,IF(A21&lt;'Données projet'!$A$36,$K$205^A21,IF(A21='Données projet'!$A$36,'Données projet'!$B$36,N20+M21-V20)))</f>
        <v>170</v>
      </c>
      <c r="O21" s="13">
        <f>N21*VLOOKUP('Données projet'!$B$9,Paramètres!$A$1:$I$89,3,0)*VLOOKUP('Données projet'!$B$9,Paramètres!$A$1:$I$89,5,0)</f>
        <v>101.66000000000001</v>
      </c>
      <c r="P21" s="13">
        <f t="shared" si="33"/>
        <v>27.35708992370477</v>
      </c>
      <c r="Q21" s="20">
        <f t="shared" si="2"/>
        <v>224.7047649504525</v>
      </c>
      <c r="R21" s="59">
        <f t="shared" si="0"/>
        <v>518.03809828378576</v>
      </c>
      <c r="S21" s="59">
        <f ca="1">AVERAGE(OFFSET($R$3,0,0,'Données projet'!$E$9+1,1))-AVERAGE(OFFSET($H$3,0,0,'Données projet'!$E$9+1,1))</f>
        <v>181.92766225683107</v>
      </c>
      <c r="T21" s="59">
        <f t="shared" si="34"/>
        <v>370.52917139565756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5.7284404382628109</v>
      </c>
      <c r="AB21" s="21">
        <f>EXP(-LN(2)/2)*AB20+(1-EXP(-LN(2)/2))/(LN(2)/2)*V21*Y21*VLOOKUP('Données projet'!$B$9,Paramètres!$A$1:$I$89,3,0)*0.475*44/12</f>
        <v>3.0468371126437206</v>
      </c>
      <c r="AC21" s="22">
        <f t="shared" si="3"/>
        <v>8.7752775509065319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4.75</v>
      </c>
      <c r="AI21" s="13">
        <f>IF('Données projet'!$A$62&gt;35,AI20+AH21-AQ20,IF(A21&lt;'Données projet'!$A$62,$AF$205^A21,IF(A21='Données projet'!$A$62,'Données projet'!$B$62,AI20+AH21-AQ20)))</f>
        <v>60.249194467085609</v>
      </c>
      <c r="AJ21" s="13">
        <f>AI21*VLOOKUP('Données projet'!$B$10,Paramètres!$A$1:$I$89,3,0)*VLOOKUP('Données projet'!$B$10,Paramètres!$A$1:$I$89,5,0)</f>
        <v>48.874146551699845</v>
      </c>
      <c r="AK21" s="13">
        <f t="shared" si="35"/>
        <v>14.32261883487562</v>
      </c>
      <c r="AL21" s="20">
        <f t="shared" si="4"/>
        <v>110.06769971495227</v>
      </c>
      <c r="AM21" s="59">
        <f t="shared" si="5"/>
        <v>403.40103304828557</v>
      </c>
      <c r="AN21" s="59">
        <f ca="1">AVERAGE(OFFSET($AM$3,0,0,'Données projet'!$E$10+1,1))-AVERAGE(OFFSET($H$3,0,0,'Données projet'!$E$10+1,1))</f>
        <v>235.31102883830971</v>
      </c>
      <c r="AO21" s="59">
        <f t="shared" si="36"/>
        <v>271.48630853790422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1.2</v>
      </c>
      <c r="BD21" s="12">
        <f>IF('Données projet'!$A$88&gt;35,BD20+BC21-BL20,IF(A21&lt;'Données projet'!$A$88,$BA$205^A21,IF(A21='Données projet'!$A$88,'Données projet'!$B$88,BD20+BC21-BL20)))</f>
        <v>11.575168010312384</v>
      </c>
      <c r="BE21" s="13">
        <f>BD21*VLOOKUP('Données projet'!$B$11,Paramètres!$A$1:$I$89,3,0)*VLOOKUP('Données projet'!$B$11,Paramètres!$A$1:$I$89,5,0)</f>
        <v>13.181801330143742</v>
      </c>
      <c r="BF21" s="13">
        <f t="shared" si="37"/>
        <v>4.4994741849523159</v>
      </c>
      <c r="BG21" s="20">
        <f t="shared" si="7"/>
        <v>30.794888188792299</v>
      </c>
      <c r="BH21" s="59">
        <f t="shared" si="8"/>
        <v>324.12822152212561</v>
      </c>
      <c r="BI21" s="59">
        <f ca="1">AVERAGE(OFFSET($BH$3,0,0,'Données projet'!$E$11+1,1))-AVERAGE(OFFSET($H$3,0,0,'Données projet'!$E$11+1,1))</f>
        <v>249.01678065306629</v>
      </c>
      <c r="BJ21" s="59">
        <f t="shared" si="38"/>
        <v>99.639724892155641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>
        <f>BY21*VLOOKUP('Données projet'!$B$12,Paramètres!$A$1:$I$89,3,0)*VLOOKUP('Données projet'!$B$12,Paramètres!$A$1:$I$89,5,0)</f>
        <v>0</v>
      </c>
      <c r="CA21" s="13" t="e">
        <f t="shared" si="39"/>
        <v>#NUM!</v>
      </c>
      <c r="CB21" s="20" t="e">
        <f t="shared" si="10"/>
        <v>#NUM!</v>
      </c>
      <c r="CC21" s="59" t="e">
        <f t="shared" si="11"/>
        <v>#NUM!</v>
      </c>
      <c r="CD21" s="59">
        <f ca="1">AVERAGE(OFFSET($CC$3,0,0,'Données projet'!$E$12+1,1))-AVERAGE(OFFSET($H$3,0,0,'Données projet'!$E$12+1,1))</f>
        <v>0</v>
      </c>
      <c r="CE21" s="59">
        <f t="shared" si="40"/>
        <v>0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>
        <f>CT21*VLOOKUP('Données projet'!$B$13,Paramètres!$A$1:$I$89,3,0)*VLOOKUP('Données projet'!$B$13,Paramètres!$A$1:$I$89,5,0)</f>
        <v>0</v>
      </c>
      <c r="CV21" s="13" t="e">
        <f t="shared" si="41"/>
        <v>#NUM!</v>
      </c>
      <c r="CW21" s="20" t="e">
        <f t="shared" si="13"/>
        <v>#NUM!</v>
      </c>
      <c r="CX21" s="59" t="e">
        <f t="shared" si="14"/>
        <v>#NUM!</v>
      </c>
      <c r="CY21" s="59">
        <f ca="1">AVERAGE(OFFSET($CX$3,0,0,'Données projet'!$E$13+1,1))-AVERAGE(OFFSET($H$3,0,0,'Données projet'!$E$13+1,1))</f>
        <v>0</v>
      </c>
      <c r="CZ21" s="59">
        <f t="shared" si="42"/>
        <v>0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190</v>
      </c>
      <c r="O22" s="13">
        <f>N22*VLOOKUP('Données projet'!$B$9,Paramètres!$A$1:$I$89,3,0)*VLOOKUP('Données projet'!$B$9,Paramètres!$A$1:$I$89,5,0)</f>
        <v>113.62</v>
      </c>
      <c r="P22" s="13">
        <f t="shared" si="33"/>
        <v>30.182270904187739</v>
      </c>
      <c r="Q22" s="20">
        <f t="shared" si="2"/>
        <v>250.45562182479364</v>
      </c>
      <c r="R22" s="59">
        <f t="shared" si="0"/>
        <v>543.78895515812701</v>
      </c>
      <c r="S22" s="59">
        <f ca="1">AVERAGE(OFFSET($R$3,0,0,'Données projet'!$E$9+1,1))-AVERAGE(OFFSET($H$3,0,0,'Données projet'!$E$9+1,1))</f>
        <v>181.92766225683107</v>
      </c>
      <c r="T22" s="59">
        <f t="shared" si="34"/>
        <v>370.52917139565756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5.5717959332329245</v>
      </c>
      <c r="AB22" s="21">
        <f>EXP(-LN(2)/2)*AB21+(1-EXP(-LN(2)/2))/(LN(2)/2)*V22*Y22*VLOOKUP('Données projet'!$B$9,Paramètres!$A$1:$I$89,3,0)*0.475*44/12</f>
        <v>2.1544391835212156</v>
      </c>
      <c r="AC22" s="22">
        <f t="shared" si="3"/>
        <v>7.7262351167541397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4.75</v>
      </c>
      <c r="AI22" s="13">
        <f>IF('Données projet'!$A$62&gt;35,AI21+AH22-AQ21,IF(A22&lt;'Données projet'!$A$62,$AF$205^A22,IF(A22='Données projet'!$A$62,'Données projet'!$B$62,AI21+AH22-AQ21)))</f>
        <v>75.65496331618381</v>
      </c>
      <c r="AJ22" s="13">
        <f>AI22*VLOOKUP('Données projet'!$B$10,Paramètres!$A$1:$I$89,3,0)*VLOOKUP('Données projet'!$B$10,Paramètres!$A$1:$I$89,5,0)</f>
        <v>61.371306242088309</v>
      </c>
      <c r="AK22" s="13">
        <f t="shared" si="35"/>
        <v>17.514520949652077</v>
      </c>
      <c r="AL22" s="20">
        <f t="shared" si="4"/>
        <v>137.39281569228118</v>
      </c>
      <c r="AM22" s="59">
        <f t="shared" si="5"/>
        <v>430.72614902561452</v>
      </c>
      <c r="AN22" s="59">
        <f ca="1">AVERAGE(OFFSET($AM$3,0,0,'Données projet'!$E$10+1,1))-AVERAGE(OFFSET($H$3,0,0,'Données projet'!$E$10+1,1))</f>
        <v>235.31102883830971</v>
      </c>
      <c r="AO22" s="59">
        <f t="shared" si="36"/>
        <v>271.48630853790422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1.2</v>
      </c>
      <c r="BD22" s="12">
        <f>IF('Données projet'!$A$88&gt;35,BD21+BC22-BL21,IF(A22&lt;'Données projet'!$A$88,$BA$205^A22,IF(A22='Données projet'!$A$88,'Données projet'!$B$88,BD21+BC22-BL21)))</f>
        <v>13.262095581124292</v>
      </c>
      <c r="BE22" s="13">
        <f>BD22*VLOOKUP('Données projet'!$B$11,Paramètres!$A$1:$I$89,3,0)*VLOOKUP('Données projet'!$B$11,Paramètres!$A$1:$I$89,5,0)</f>
        <v>15.102874447784345</v>
      </c>
      <c r="BF22" s="13">
        <f t="shared" si="37"/>
        <v>5.074218192988301</v>
      </c>
      <c r="BG22" s="20">
        <f t="shared" si="7"/>
        <v>35.141769682679019</v>
      </c>
      <c r="BH22" s="59">
        <f t="shared" si="8"/>
        <v>328.47510301601233</v>
      </c>
      <c r="BI22" s="59">
        <f ca="1">AVERAGE(OFFSET($BH$3,0,0,'Données projet'!$E$11+1,1))-AVERAGE(OFFSET($H$3,0,0,'Données projet'!$E$11+1,1))</f>
        <v>249.01678065306629</v>
      </c>
      <c r="BJ22" s="59">
        <f t="shared" si="38"/>
        <v>99.639724892155641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>
        <f>BY22*VLOOKUP('Données projet'!$B$12,Paramètres!$A$1:$I$89,3,0)*VLOOKUP('Données projet'!$B$12,Paramètres!$A$1:$I$89,5,0)</f>
        <v>0</v>
      </c>
      <c r="CA22" s="13" t="e">
        <f t="shared" si="39"/>
        <v>#NUM!</v>
      </c>
      <c r="CB22" s="20" t="e">
        <f t="shared" si="10"/>
        <v>#NUM!</v>
      </c>
      <c r="CC22" s="59" t="e">
        <f t="shared" si="11"/>
        <v>#NUM!</v>
      </c>
      <c r="CD22" s="59">
        <f ca="1">AVERAGE(OFFSET($CC$3,0,0,'Données projet'!$E$12+1,1))-AVERAGE(OFFSET($H$3,0,0,'Données projet'!$E$12+1,1))</f>
        <v>0</v>
      </c>
      <c r="CE22" s="59">
        <f t="shared" si="40"/>
        <v>0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>
        <f>CT22*VLOOKUP('Données projet'!$B$13,Paramètres!$A$1:$I$89,3,0)*VLOOKUP('Données projet'!$B$13,Paramètres!$A$1:$I$89,5,0)</f>
        <v>0</v>
      </c>
      <c r="CV22" s="13" t="e">
        <f t="shared" si="41"/>
        <v>#NUM!</v>
      </c>
      <c r="CW22" s="20" t="e">
        <f t="shared" si="13"/>
        <v>#NUM!</v>
      </c>
      <c r="CX22" s="59" t="e">
        <f t="shared" si="14"/>
        <v>#NUM!</v>
      </c>
      <c r="CY22" s="59">
        <f ca="1">AVERAGE(OFFSET($CX$3,0,0,'Données projet'!$E$13+1,1))-AVERAGE(OFFSET($H$3,0,0,'Données projet'!$E$13+1,1))</f>
        <v>0</v>
      </c>
      <c r="CZ22" s="59">
        <f t="shared" si="42"/>
        <v>0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210</v>
      </c>
      <c r="L23" s="12">
        <f>VLOOKUP(A23,'Données projet'!$A$35:$I$55,9,0)</f>
        <v>20</v>
      </c>
      <c r="M23" s="12">
        <f t="array" ref="M23">INDEX(L:L,MIN(IF(ISNUMBER(L23:L219),ROW(L23:L219),"")))</f>
        <v>20</v>
      </c>
      <c r="N23" s="13">
        <f>IF('Données projet'!$A$36&gt;35,N22+M23-V22,IF(A23&lt;'Données projet'!$A$36,$K$205^A23,IF(A23='Données projet'!$A$36,'Données projet'!$B$36,N22+M23-V22)))</f>
        <v>210</v>
      </c>
      <c r="O23" s="13">
        <f>N23*VLOOKUP('Données projet'!$B$9,Paramètres!$A$1:$I$89,3,0)*VLOOKUP('Données projet'!$B$9,Paramètres!$A$1:$I$89,5,0)</f>
        <v>125.58000000000001</v>
      </c>
      <c r="P23" s="13">
        <f t="shared" si="33"/>
        <v>32.972980053624219</v>
      </c>
      <c r="Q23" s="20">
        <f t="shared" si="2"/>
        <v>276.14644026006221</v>
      </c>
      <c r="R23" s="59">
        <f t="shared" si="0"/>
        <v>569.47977359339552</v>
      </c>
      <c r="S23" s="59">
        <f ca="1">AVERAGE(OFFSET($R$3,0,0,'Données projet'!$E$9+1,1))-AVERAGE(OFFSET($H$3,0,0,'Données projet'!$E$9+1,1))</f>
        <v>181.92766225683107</v>
      </c>
      <c r="T23" s="59">
        <f t="shared" si="34"/>
        <v>370.52917139565756</v>
      </c>
      <c r="U23" s="15">
        <f>IF(ISNA(VLOOKUP(A23,'Données projet'!$A$35:$I$55,3,0)),0,VLOOKUP(A23,'Données projet'!$A$35:$I$55,3,0))</f>
        <v>2</v>
      </c>
      <c r="V23" s="15">
        <f>IF(ISNA(VLOOKUP(A23,'Données projet'!$A$35:$I$55,4,0)),0,VLOOKUP(A23,'Données projet'!$A$35:$I$55,4,0))</f>
        <v>59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0.18000000000000002</v>
      </c>
      <c r="Y23" s="16">
        <f>IF(ISNA(VLOOKUP(A23,'Données projet'!$A$35:$I$55,7,0)),0%,VLOOKUP(A23,'Données projet'!$A$35:$I$55,7,0))</f>
        <v>0.4</v>
      </c>
      <c r="Z23" s="21">
        <f>EXP(-LN(2)/35)*Z22+(1-EXP(-LN(2)/35))/(LN(2)/35)*V23*W23*VLOOKUP('Données projet'!$B$9,Paramètres!$A$1:$I$89,3,0)*0.475*44/12</f>
        <v>4.2123462405136083</v>
      </c>
      <c r="AA23" s="21">
        <f>EXP(-LN(2)/25)*AA22+(1-EXP(-LN(2)/25))/(LN(2)/25)*Calculateur!V23*Calculateur!X23*VLOOKUP('Données projet'!$B$9,Paramètres!$A$1:$I$89,3,0)*0.475*44/12</f>
        <v>13.810956137100568</v>
      </c>
      <c r="AB23" s="21">
        <f>EXP(-LN(2)/2)*AB22+(1-EXP(-LN(2)/2))/(LN(2)/2)*V23*Y23*VLOOKUP('Données projet'!$B$9,Paramètres!$A$1:$I$89,3,0)*0.475*44/12</f>
        <v>17.502386524853371</v>
      </c>
      <c r="AC23" s="22">
        <f t="shared" si="3"/>
        <v>35.52568890246755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95</v>
      </c>
      <c r="AG23" s="12">
        <f>VLOOKUP(A23,'Données projet'!$A$61:$I$81,9,0)</f>
        <v>4.75</v>
      </c>
      <c r="AH23" s="12">
        <f t="array" ref="AH23">INDEX(AG:AG,MIN(IF(ISNUMBER(AG23:AG219),ROW(AG23:AG219),"")))</f>
        <v>4.75</v>
      </c>
      <c r="AI23" s="13">
        <f>IF('Données projet'!$A$62&gt;35,AI22+AH23-AQ22,IF(A23&lt;'Données projet'!$A$62,$AF$205^A23,IF(A23='Données projet'!$A$62,'Données projet'!$B$62,AI22+AH23-AQ22)))</f>
        <v>95</v>
      </c>
      <c r="AJ23" s="13">
        <f>AI23*VLOOKUP('Données projet'!$B$10,Paramètres!$A$1:$I$89,3,0)*VLOOKUP('Données projet'!$B$10,Paramètres!$A$1:$I$89,5,0)</f>
        <v>77.064000000000007</v>
      </c>
      <c r="AK23" s="13">
        <f t="shared" si="35"/>
        <v>21.417762186678065</v>
      </c>
      <c r="AL23" s="20">
        <f t="shared" si="4"/>
        <v>171.52240247513097</v>
      </c>
      <c r="AM23" s="59">
        <f t="shared" si="5"/>
        <v>464.85573580846426</v>
      </c>
      <c r="AN23" s="59">
        <f ca="1">AVERAGE(OFFSET($AM$3,0,0,'Données projet'!$E$10+1,1))-AVERAGE(OFFSET($H$3,0,0,'Données projet'!$E$10+1,1))</f>
        <v>235.31102883830971</v>
      </c>
      <c r="AO23" s="59">
        <f t="shared" si="36"/>
        <v>271.48630853790422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43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0.1075</v>
      </c>
      <c r="AT23" s="16">
        <f>IF(ISNA(VLOOKUP(A23,'Données projet'!$A$61:$I$81,7,0)),0%,VLOOKUP(A23,'Données projet'!$A$61:$I$81,7,0))</f>
        <v>0.25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4.1289404005276058</v>
      </c>
      <c r="AW23" s="21">
        <f>EXP(-LN(2)/2)*AW22+(1-EXP(-LN(2)/2))/(LN(2)/2)*AQ23*AT23*VLOOKUP('Données projet'!$B$10,Paramètres!$A$1:$I$89,3,0)*0.475*44/12</f>
        <v>8.2279321061248272</v>
      </c>
      <c r="AX23" s="21">
        <f t="shared" si="6"/>
        <v>12.356872506652433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1.2</v>
      </c>
      <c r="BD23" s="12">
        <f>IF('Données projet'!$A$88&gt;35,BD22+BC23-BL22,IF(A23&lt;'Données projet'!$A$88,$BA$205^A23,IF(A23='Données projet'!$A$88,'Données projet'!$B$88,BD22+BC23-BL22)))</f>
        <v>15.194870523363559</v>
      </c>
      <c r="BE23" s="13">
        <f>BD23*VLOOKUP('Données projet'!$B$11,Paramètres!$A$1:$I$89,3,0)*VLOOKUP('Données projet'!$B$11,Paramètres!$A$1:$I$89,5,0)</f>
        <v>17.303918552006422</v>
      </c>
      <c r="BF23" s="13">
        <f t="shared" si="37"/>
        <v>5.7223775960671075</v>
      </c>
      <c r="BG23" s="20">
        <f t="shared" si="7"/>
        <v>40.104132457894728</v>
      </c>
      <c r="BH23" s="59">
        <f t="shared" si="8"/>
        <v>333.43746579122802</v>
      </c>
      <c r="BI23" s="59">
        <f ca="1">AVERAGE(OFFSET($BH$3,0,0,'Données projet'!$E$11+1,1))-AVERAGE(OFFSET($H$3,0,0,'Données projet'!$E$11+1,1))</f>
        <v>249.01678065306629</v>
      </c>
      <c r="BJ23" s="59">
        <f t="shared" si="38"/>
        <v>99.639724892155641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>
        <f>BY23*VLOOKUP('Données projet'!$B$12,Paramètres!$A$1:$I$89,3,0)*VLOOKUP('Données projet'!$B$12,Paramètres!$A$1:$I$89,5,0)</f>
        <v>0</v>
      </c>
      <c r="CA23" s="13" t="e">
        <f t="shared" si="39"/>
        <v>#NUM!</v>
      </c>
      <c r="CB23" s="20" t="e">
        <f t="shared" si="10"/>
        <v>#NUM!</v>
      </c>
      <c r="CC23" s="59" t="e">
        <f t="shared" si="11"/>
        <v>#NUM!</v>
      </c>
      <c r="CD23" s="59">
        <f ca="1">AVERAGE(OFFSET($CC$3,0,0,'Données projet'!$E$12+1,1))-AVERAGE(OFFSET($H$3,0,0,'Données projet'!$E$12+1,1))</f>
        <v>0</v>
      </c>
      <c r="CE23" s="59">
        <f t="shared" si="40"/>
        <v>0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>
        <f>CT23*VLOOKUP('Données projet'!$B$13,Paramètres!$A$1:$I$89,3,0)*VLOOKUP('Données projet'!$B$13,Paramètres!$A$1:$I$89,5,0)</f>
        <v>0</v>
      </c>
      <c r="CV23" s="13" t="e">
        <f t="shared" si="41"/>
        <v>#NUM!</v>
      </c>
      <c r="CW23" s="20" t="e">
        <f t="shared" si="13"/>
        <v>#NUM!</v>
      </c>
      <c r="CX23" s="59" t="e">
        <f t="shared" si="14"/>
        <v>#NUM!</v>
      </c>
      <c r="CY23" s="59">
        <f ca="1">AVERAGE(OFFSET($CX$3,0,0,'Données projet'!$E$13+1,1))-AVERAGE(OFFSET($H$3,0,0,'Données projet'!$E$13+1,1))</f>
        <v>0</v>
      </c>
      <c r="CZ23" s="59">
        <f t="shared" si="42"/>
        <v>0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0</v>
      </c>
      <c r="DH23" s="21">
        <f>EXP(-LN(2)/2)*DH22+(1-EXP(-LN(2)/2))/(LN(2)/2)*DB23*DE23*VLOOKUP('Données projet'!$B$13,Paramètres!$A$1:$I$89,3,0)*0.475*44/12</f>
        <v>0</v>
      </c>
      <c r="DI23" s="22">
        <f t="shared" si="15"/>
        <v>0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16.266666666666666</v>
      </c>
      <c r="N24" s="13">
        <f>IF('Données projet'!$A$36&gt;35,N23+M24-V23,IF(A24&lt;'Données projet'!$A$36,$K$205^A24,IF(A24='Données projet'!$A$36,'Données projet'!$B$36,N23+M24-V23)))</f>
        <v>167.26666666666665</v>
      </c>
      <c r="O24" s="13">
        <f>N24*VLOOKUP('Données projet'!$B$9,Paramètres!$A$1:$I$89,3,0)*VLOOKUP('Données projet'!$B$9,Paramètres!$A$1:$I$89,5,0)</f>
        <v>100.02546666666667</v>
      </c>
      <c r="P24" s="13">
        <f t="shared" si="33"/>
        <v>26.968064540592223</v>
      </c>
      <c r="Q24" s="20">
        <f t="shared" si="2"/>
        <v>221.18040018597591</v>
      </c>
      <c r="R24" s="59">
        <f t="shared" si="0"/>
        <v>514.5137335193092</v>
      </c>
      <c r="S24" s="59">
        <f ca="1">AVERAGE(OFFSET($R$3,0,0,'Données projet'!$E$9+1,1))-AVERAGE(OFFSET($H$3,0,0,'Données projet'!$E$9+1,1))</f>
        <v>181.92766225683107</v>
      </c>
      <c r="T24" s="59">
        <f t="shared" si="34"/>
        <v>370.52917139565756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4.1297447000146477</v>
      </c>
      <c r="AA24" s="21">
        <f>EXP(-LN(2)/25)*AA23+(1-EXP(-LN(2)/25))/(LN(2)/25)*Calculateur!V24*Calculateur!X24*VLOOKUP('Données projet'!$B$9,Paramètres!$A$1:$I$89,3,0)*0.475*44/12</f>
        <v>13.433294815244935</v>
      </c>
      <c r="AB24" s="21">
        <f>EXP(-LN(2)/2)*AB23+(1-EXP(-LN(2)/2))/(LN(2)/2)*V24*Y24*VLOOKUP('Données projet'!$B$9,Paramètres!$A$1:$I$89,3,0)*0.475*44/12</f>
        <v>12.376056198671872</v>
      </c>
      <c r="AC24" s="22">
        <f t="shared" si="3"/>
        <v>29.939095713931454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12.2</v>
      </c>
      <c r="AI24" s="13">
        <f>IF('Données projet'!$A$62&gt;35,AI23+AH24-AQ23,IF(A24&lt;'Données projet'!$A$62,$AF$205^A24,IF(A24='Données projet'!$A$62,'Données projet'!$B$62,AI23+AH24-AQ23)))</f>
        <v>64.2</v>
      </c>
      <c r="AJ24" s="13">
        <f>AI24*VLOOKUP('Données projet'!$B$10,Paramètres!$A$1:$I$89,3,0)*VLOOKUP('Données projet'!$B$10,Paramètres!$A$1:$I$89,5,0)</f>
        <v>52.079039999999999</v>
      </c>
      <c r="AK24" s="13">
        <f t="shared" si="35"/>
        <v>15.149401133573162</v>
      </c>
      <c r="AL24" s="20">
        <f t="shared" si="4"/>
        <v>117.08953497430657</v>
      </c>
      <c r="AM24" s="59">
        <f t="shared" si="5"/>
        <v>410.42286830763987</v>
      </c>
      <c r="AN24" s="59">
        <f ca="1">AVERAGE(OFFSET($AM$3,0,0,'Données projet'!$E$10+1,1))-AVERAGE(OFFSET($H$3,0,0,'Données projet'!$E$10+1,1))</f>
        <v>235.31102883830971</v>
      </c>
      <c r="AO24" s="59">
        <f t="shared" si="36"/>
        <v>271.48630853790422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4.0160343081436398</v>
      </c>
      <c r="AW24" s="21">
        <f>EXP(-LN(2)/2)*AW23+(1-EXP(-LN(2)/2))/(LN(2)/2)*AQ24*AT24*VLOOKUP('Données projet'!$B$10,Paramètres!$A$1:$I$89,3,0)*0.475*44/12</f>
        <v>5.8180265873833781</v>
      </c>
      <c r="AX24" s="21">
        <f t="shared" si="6"/>
        <v>9.834060895527017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1.2</v>
      </c>
      <c r="BD24" s="12">
        <f>IF('Données projet'!$A$88&gt;35,BD23+BC24-BL23,IF(A24&lt;'Données projet'!$A$88,$BA$205^A24,IF(A24='Données projet'!$A$88,'Données projet'!$B$88,BD23+BC24-BL23)))</f>
        <v>17.409321838276906</v>
      </c>
      <c r="BE24" s="13">
        <f>BD24*VLOOKUP('Données projet'!$B$11,Paramètres!$A$1:$I$89,3,0)*VLOOKUP('Données projet'!$B$11,Paramètres!$A$1:$I$89,5,0)</f>
        <v>19.82573570942974</v>
      </c>
      <c r="BF24" s="13">
        <f t="shared" si="37"/>
        <v>6.4533301696051613</v>
      </c>
      <c r="BG24" s="20">
        <f t="shared" si="7"/>
        <v>45.769373072652449</v>
      </c>
      <c r="BH24" s="59">
        <f t="shared" si="8"/>
        <v>339.10270640598577</v>
      </c>
      <c r="BI24" s="59">
        <f ca="1">AVERAGE(OFFSET($BH$3,0,0,'Données projet'!$E$11+1,1))-AVERAGE(OFFSET($H$3,0,0,'Données projet'!$E$11+1,1))</f>
        <v>249.01678065306629</v>
      </c>
      <c r="BJ24" s="59">
        <f t="shared" si="38"/>
        <v>99.639724892155641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>
        <f>BY24*VLOOKUP('Données projet'!$B$12,Paramètres!$A$1:$I$89,3,0)*VLOOKUP('Données projet'!$B$12,Paramètres!$A$1:$I$89,5,0)</f>
        <v>0</v>
      </c>
      <c r="CA24" s="13" t="e">
        <f t="shared" si="39"/>
        <v>#NUM!</v>
      </c>
      <c r="CB24" s="20" t="e">
        <f t="shared" si="10"/>
        <v>#NUM!</v>
      </c>
      <c r="CC24" s="59" t="e">
        <f t="shared" si="11"/>
        <v>#NUM!</v>
      </c>
      <c r="CD24" s="59">
        <f ca="1">AVERAGE(OFFSET($CC$3,0,0,'Données projet'!$E$12+1,1))-AVERAGE(OFFSET($H$3,0,0,'Données projet'!$E$12+1,1))</f>
        <v>0</v>
      </c>
      <c r="CE24" s="59">
        <f t="shared" si="40"/>
        <v>0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>
        <f>CT24*VLOOKUP('Données projet'!$B$13,Paramètres!$A$1:$I$89,3,0)*VLOOKUP('Données projet'!$B$13,Paramètres!$A$1:$I$89,5,0)</f>
        <v>0</v>
      </c>
      <c r="CV24" s="13" t="e">
        <f t="shared" si="41"/>
        <v>#NUM!</v>
      </c>
      <c r="CW24" s="20" t="e">
        <f t="shared" si="13"/>
        <v>#NUM!</v>
      </c>
      <c r="CX24" s="59" t="e">
        <f t="shared" si="14"/>
        <v>#NUM!</v>
      </c>
      <c r="CY24" s="59">
        <f ca="1">AVERAGE(OFFSET($CX$3,0,0,'Données projet'!$E$13+1,1))-AVERAGE(OFFSET($H$3,0,0,'Données projet'!$E$13+1,1))</f>
        <v>0</v>
      </c>
      <c r="CZ24" s="59">
        <f t="shared" si="42"/>
        <v>0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0</v>
      </c>
      <c r="DH24" s="21">
        <f>EXP(-LN(2)/2)*DH23+(1-EXP(-LN(2)/2))/(LN(2)/2)*DB24*DE24*VLOOKUP('Données projet'!$B$13,Paramètres!$A$1:$I$89,3,0)*0.475*44/12</f>
        <v>0</v>
      </c>
      <c r="DI24" s="22">
        <f t="shared" si="15"/>
        <v>0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16.266666666666666</v>
      </c>
      <c r="N25" s="13">
        <f>IF('Données projet'!$A$36&gt;35,N24+M25-V24,IF(A25&lt;'Données projet'!$A$36,$K$205^A25,IF(A25='Données projet'!$A$36,'Données projet'!$B$36,N24+M25-V24)))</f>
        <v>183.5333333333333</v>
      </c>
      <c r="O25" s="13">
        <f>N25*VLOOKUP('Données projet'!$B$9,Paramètres!$A$1:$I$89,3,0)*VLOOKUP('Données projet'!$B$9,Paramètres!$A$1:$I$89,5,0)</f>
        <v>109.75293333333333</v>
      </c>
      <c r="P25" s="13">
        <f t="shared" si="33"/>
        <v>29.272766123113275</v>
      </c>
      <c r="Q25" s="20">
        <f t="shared" si="2"/>
        <v>242.13642655331114</v>
      </c>
      <c r="R25" s="59">
        <f t="shared" si="0"/>
        <v>535.4697598866444</v>
      </c>
      <c r="S25" s="59">
        <f ca="1">AVERAGE(OFFSET($R$3,0,0,'Données projet'!$E$9+1,1))-AVERAGE(OFFSET($H$3,0,0,'Données projet'!$E$9+1,1))</f>
        <v>181.92766225683107</v>
      </c>
      <c r="T25" s="59">
        <f t="shared" si="34"/>
        <v>370.52917139565756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4.0487629253429072</v>
      </c>
      <c r="AA25" s="21">
        <f>EXP(-LN(2)/25)*AA24+(1-EXP(-LN(2)/25))/(LN(2)/25)*Calculateur!V25*Calculateur!X25*VLOOKUP('Données projet'!$B$9,Paramètres!$A$1:$I$89,3,0)*0.475*44/12</f>
        <v>13.06596066209579</v>
      </c>
      <c r="AB25" s="21">
        <f>EXP(-LN(2)/2)*AB24+(1-EXP(-LN(2)/2))/(LN(2)/2)*V25*Y25*VLOOKUP('Données projet'!$B$9,Paramètres!$A$1:$I$89,3,0)*0.475*44/12</f>
        <v>8.7511932624266873</v>
      </c>
      <c r="AC25" s="22">
        <f t="shared" si="3"/>
        <v>25.865916849865386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12.2</v>
      </c>
      <c r="AI25" s="13">
        <f>IF('Données projet'!$A$62&gt;35,AI24+AH25-AQ24,IF(A25&lt;'Données projet'!$A$62,$AF$205^A25,IF(A25='Données projet'!$A$62,'Données projet'!$B$62,AI24+AH25-AQ24)))</f>
        <v>76.400000000000006</v>
      </c>
      <c r="AJ25" s="13">
        <f>AI25*VLOOKUP('Données projet'!$B$10,Paramètres!$A$1:$I$89,3,0)*VLOOKUP('Données projet'!$B$10,Paramètres!$A$1:$I$89,5,0)</f>
        <v>61.975680000000004</v>
      </c>
      <c r="AK25" s="13">
        <f t="shared" si="35"/>
        <v>17.666837160010601</v>
      </c>
      <c r="AL25" s="20">
        <f t="shared" si="4"/>
        <v>138.71071738701849</v>
      </c>
      <c r="AM25" s="59">
        <f t="shared" si="5"/>
        <v>432.04405072035183</v>
      </c>
      <c r="AN25" s="59">
        <f ca="1">AVERAGE(OFFSET($AM$3,0,0,'Données projet'!$E$10+1,1))-AVERAGE(OFFSET($H$3,0,0,'Données projet'!$E$10+1,1))</f>
        <v>235.31102883830971</v>
      </c>
      <c r="AO25" s="59">
        <f t="shared" si="36"/>
        <v>271.48630853790422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3.9062156387933866</v>
      </c>
      <c r="AW25" s="21">
        <f>EXP(-LN(2)/2)*AW24+(1-EXP(-LN(2)/2))/(LN(2)/2)*AQ25*AT25*VLOOKUP('Données projet'!$B$10,Paramètres!$A$1:$I$89,3,0)*0.475*44/12</f>
        <v>4.1139660530624145</v>
      </c>
      <c r="AX25" s="21">
        <f t="shared" si="6"/>
        <v>8.0201816918558002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1.2</v>
      </c>
      <c r="BD25" s="12">
        <f>IF('Données projet'!$A$88&gt;35,BD24+BC25-BL24,IF(A25&lt;'Données projet'!$A$88,$BA$205^A25,IF(A25='Données projet'!$A$88,'Données projet'!$B$88,BD24+BC25-BL24)))</f>
        <v>19.946500129940819</v>
      </c>
      <c r="BE25" s="13">
        <f>BD25*VLOOKUP('Données projet'!$B$11,Paramètres!$A$1:$I$89,3,0)*VLOOKUP('Données projet'!$B$11,Paramètres!$A$1:$I$89,5,0)</f>
        <v>22.715074347976607</v>
      </c>
      <c r="BF25" s="13">
        <f t="shared" si="37"/>
        <v>7.2776515668169814</v>
      </c>
      <c r="BG25" s="20">
        <f t="shared" si="7"/>
        <v>52.237330968265496</v>
      </c>
      <c r="BH25" s="59">
        <f t="shared" si="8"/>
        <v>345.57066430159881</v>
      </c>
      <c r="BI25" s="59">
        <f ca="1">AVERAGE(OFFSET($BH$3,0,0,'Données projet'!$E$11+1,1))-AVERAGE(OFFSET($H$3,0,0,'Données projet'!$E$11+1,1))</f>
        <v>249.01678065306629</v>
      </c>
      <c r="BJ25" s="59">
        <f t="shared" si="38"/>
        <v>99.639724892155641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>
        <f>BY25*VLOOKUP('Données projet'!$B$12,Paramètres!$A$1:$I$89,3,0)*VLOOKUP('Données projet'!$B$12,Paramètres!$A$1:$I$89,5,0)</f>
        <v>0</v>
      </c>
      <c r="CA25" s="13" t="e">
        <f t="shared" si="39"/>
        <v>#NUM!</v>
      </c>
      <c r="CB25" s="20" t="e">
        <f t="shared" si="10"/>
        <v>#NUM!</v>
      </c>
      <c r="CC25" s="59" t="e">
        <f t="shared" si="11"/>
        <v>#NUM!</v>
      </c>
      <c r="CD25" s="59">
        <f ca="1">AVERAGE(OFFSET($CC$3,0,0,'Données projet'!$E$12+1,1))-AVERAGE(OFFSET($H$3,0,0,'Données projet'!$E$12+1,1))</f>
        <v>0</v>
      </c>
      <c r="CE25" s="59">
        <f t="shared" si="40"/>
        <v>0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>
        <f>CT25*VLOOKUP('Données projet'!$B$13,Paramètres!$A$1:$I$89,3,0)*VLOOKUP('Données projet'!$B$13,Paramètres!$A$1:$I$89,5,0)</f>
        <v>0</v>
      </c>
      <c r="CV25" s="13" t="e">
        <f t="shared" si="41"/>
        <v>#NUM!</v>
      </c>
      <c r="CW25" s="20" t="e">
        <f t="shared" si="13"/>
        <v>#NUM!</v>
      </c>
      <c r="CX25" s="59" t="e">
        <f t="shared" si="14"/>
        <v>#NUM!</v>
      </c>
      <c r="CY25" s="59">
        <f ca="1">AVERAGE(OFFSET($CX$3,0,0,'Données projet'!$E$13+1,1))-AVERAGE(OFFSET($H$3,0,0,'Données projet'!$E$13+1,1))</f>
        <v>0</v>
      </c>
      <c r="CZ25" s="59">
        <f t="shared" si="42"/>
        <v>0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0</v>
      </c>
      <c r="DH25" s="21">
        <f>EXP(-LN(2)/2)*DH24+(1-EXP(-LN(2)/2))/(LN(2)/2)*DB25*DE25*VLOOKUP('Données projet'!$B$13,Paramètres!$A$1:$I$89,3,0)*0.475*44/12</f>
        <v>0</v>
      </c>
      <c r="DI25" s="22">
        <f t="shared" si="15"/>
        <v>0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16.266666666666666</v>
      </c>
      <c r="N26" s="13">
        <f>IF('Données projet'!$A$36&gt;35,N25+M26-V25,IF(A26&lt;'Données projet'!$A$36,$K$205^A26,IF(A26='Données projet'!$A$36,'Données projet'!$B$36,N25+M26-V25)))</f>
        <v>199.79999999999995</v>
      </c>
      <c r="O26" s="13">
        <f>N26*VLOOKUP('Données projet'!$B$9,Paramètres!$A$1:$I$89,3,0)*VLOOKUP('Données projet'!$B$9,Paramètres!$A$1:$I$89,5,0)</f>
        <v>119.48039999999999</v>
      </c>
      <c r="P26" s="13">
        <f t="shared" si="33"/>
        <v>31.553780537454941</v>
      </c>
      <c r="Q26" s="20">
        <f t="shared" si="2"/>
        <v>263.05119776940063</v>
      </c>
      <c r="R26" s="59">
        <f t="shared" si="0"/>
        <v>556.38453110273394</v>
      </c>
      <c r="S26" s="59">
        <f ca="1">AVERAGE(OFFSET($R$3,0,0,'Données projet'!$E$9+1,1))-AVERAGE(OFFSET($H$3,0,0,'Données projet'!$E$9+1,1))</f>
        <v>181.92766225683107</v>
      </c>
      <c r="T26" s="59">
        <f t="shared" si="34"/>
        <v>370.52917139565756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3.9693691538784743</v>
      </c>
      <c r="AA26" s="21">
        <f>EXP(-LN(2)/25)*AA25+(1-EXP(-LN(2)/25))/(LN(2)/25)*Calculateur!V26*Calculateur!X26*VLOOKUP('Données projet'!$B$9,Paramètres!$A$1:$I$89,3,0)*0.475*44/12</f>
        <v>12.708671280681772</v>
      </c>
      <c r="AB26" s="21">
        <f>EXP(-LN(2)/2)*AB25+(1-EXP(-LN(2)/2))/(LN(2)/2)*V26*Y26*VLOOKUP('Données projet'!$B$9,Paramètres!$A$1:$I$89,3,0)*0.475*44/12</f>
        <v>6.1880280993359369</v>
      </c>
      <c r="AC26" s="22">
        <f t="shared" si="3"/>
        <v>22.866068533896183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12.2</v>
      </c>
      <c r="AI26" s="13">
        <f>IF('Données projet'!$A$62&gt;35,AI25+AH26-AQ25,IF(A26&lt;'Données projet'!$A$62,$AF$205^A26,IF(A26='Données projet'!$A$62,'Données projet'!$B$62,AI25+AH26-AQ25)))</f>
        <v>88.600000000000009</v>
      </c>
      <c r="AJ26" s="13">
        <f>AI26*VLOOKUP('Données projet'!$B$10,Paramètres!$A$1:$I$89,3,0)*VLOOKUP('Données projet'!$B$10,Paramètres!$A$1:$I$89,5,0)</f>
        <v>71.872320000000002</v>
      </c>
      <c r="AK26" s="13">
        <f t="shared" si="35"/>
        <v>20.137703912312322</v>
      </c>
      <c r="AL26" s="20">
        <f t="shared" si="4"/>
        <v>160.25079164727728</v>
      </c>
      <c r="AM26" s="59">
        <f t="shared" si="5"/>
        <v>453.58412498061057</v>
      </c>
      <c r="AN26" s="59">
        <f ca="1">AVERAGE(OFFSET($AM$3,0,0,'Données projet'!$E$10+1,1))-AVERAGE(OFFSET($H$3,0,0,'Données projet'!$E$10+1,1))</f>
        <v>235.31102883830971</v>
      </c>
      <c r="AO26" s="59">
        <f t="shared" si="36"/>
        <v>271.48630853790422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3.7993999667316287</v>
      </c>
      <c r="AW26" s="21">
        <f>EXP(-LN(2)/2)*AW25+(1-EXP(-LN(2)/2))/(LN(2)/2)*AQ26*AT26*VLOOKUP('Données projet'!$B$10,Paramètres!$A$1:$I$89,3,0)*0.475*44/12</f>
        <v>2.9090132936916895</v>
      </c>
      <c r="AX26" s="21">
        <f t="shared" si="6"/>
        <v>6.7084132604233186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1.2</v>
      </c>
      <c r="BD26" s="12">
        <f>IF('Données projet'!$A$88&gt;35,BD25+BC26-BL25,IF(A26&lt;'Données projet'!$A$88,$BA$205^A26,IF(A26='Données projet'!$A$88,'Données projet'!$B$88,BD25+BC26-BL25)))</f>
        <v>22.853438584779923</v>
      </c>
      <c r="BE26" s="13">
        <f>BD26*VLOOKUP('Données projet'!$B$11,Paramètres!$A$1:$I$89,3,0)*VLOOKUP('Données projet'!$B$11,Paramètres!$A$1:$I$89,5,0)</f>
        <v>26.025495860347377</v>
      </c>
      <c r="BF26" s="13">
        <f t="shared" si="37"/>
        <v>8.2072683306135854</v>
      </c>
      <c r="BG26" s="20">
        <f t="shared" si="7"/>
        <v>59.622064299257012</v>
      </c>
      <c r="BH26" s="59">
        <f t="shared" si="8"/>
        <v>352.95539763259035</v>
      </c>
      <c r="BI26" s="59">
        <f ca="1">AVERAGE(OFFSET($BH$3,0,0,'Données projet'!$E$11+1,1))-AVERAGE(OFFSET($H$3,0,0,'Données projet'!$E$11+1,1))</f>
        <v>249.01678065306629</v>
      </c>
      <c r="BJ26" s="59">
        <f t="shared" si="38"/>
        <v>99.639724892155641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>
        <f>BY26*VLOOKUP('Données projet'!$B$12,Paramètres!$A$1:$I$89,3,0)*VLOOKUP('Données projet'!$B$12,Paramètres!$A$1:$I$89,5,0)</f>
        <v>0</v>
      </c>
      <c r="CA26" s="13" t="e">
        <f t="shared" si="39"/>
        <v>#NUM!</v>
      </c>
      <c r="CB26" s="20" t="e">
        <f t="shared" si="10"/>
        <v>#NUM!</v>
      </c>
      <c r="CC26" s="59" t="e">
        <f t="shared" si="11"/>
        <v>#NUM!</v>
      </c>
      <c r="CD26" s="59">
        <f ca="1">AVERAGE(OFFSET($CC$3,0,0,'Données projet'!$E$12+1,1))-AVERAGE(OFFSET($H$3,0,0,'Données projet'!$E$12+1,1))</f>
        <v>0</v>
      </c>
      <c r="CE26" s="59">
        <f t="shared" si="40"/>
        <v>0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>
        <f>CT26*VLOOKUP('Données projet'!$B$13,Paramètres!$A$1:$I$89,3,0)*VLOOKUP('Données projet'!$B$13,Paramètres!$A$1:$I$89,5,0)</f>
        <v>0</v>
      </c>
      <c r="CV26" s="13" t="e">
        <f t="shared" si="41"/>
        <v>#NUM!</v>
      </c>
      <c r="CW26" s="20" t="e">
        <f t="shared" si="13"/>
        <v>#NUM!</v>
      </c>
      <c r="CX26" s="59" t="e">
        <f t="shared" si="14"/>
        <v>#NUM!</v>
      </c>
      <c r="CY26" s="59">
        <f ca="1">AVERAGE(OFFSET($CX$3,0,0,'Données projet'!$E$13+1,1))-AVERAGE(OFFSET($H$3,0,0,'Données projet'!$E$13+1,1))</f>
        <v>0</v>
      </c>
      <c r="CZ26" s="59">
        <f t="shared" si="42"/>
        <v>0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0</v>
      </c>
      <c r="DH26" s="21">
        <f>EXP(-LN(2)/2)*DH25+(1-EXP(-LN(2)/2))/(LN(2)/2)*DB26*DE26*VLOOKUP('Données projet'!$B$13,Paramètres!$A$1:$I$89,3,0)*0.475*44/12</f>
        <v>0</v>
      </c>
      <c r="DI26" s="22">
        <f t="shared" si="15"/>
        <v>0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16.266666666666666</v>
      </c>
      <c r="N27" s="13">
        <f>IF('Données projet'!$A$36&gt;35,N26+M27-V26,IF(A27&lt;'Données projet'!$A$36,$K$205^A27,IF(A27='Données projet'!$A$36,'Données projet'!$B$36,N26+M27-V26)))</f>
        <v>216.06666666666661</v>
      </c>
      <c r="O27" s="13">
        <f>N27*VLOOKUP('Données projet'!$B$9,Paramètres!$A$1:$I$89,3,0)*VLOOKUP('Données projet'!$B$9,Paramètres!$A$1:$I$89,5,0)</f>
        <v>129.20786666666663</v>
      </c>
      <c r="P27" s="13">
        <f t="shared" si="33"/>
        <v>33.813255517558389</v>
      </c>
      <c r="Q27" s="20">
        <f t="shared" si="2"/>
        <v>283.92845447085858</v>
      </c>
      <c r="R27" s="59">
        <f t="shared" si="0"/>
        <v>577.26178780419195</v>
      </c>
      <c r="S27" s="59">
        <f ca="1">AVERAGE(OFFSET($R$3,0,0,'Données projet'!$E$9+1,1))-AVERAGE(OFFSET($H$3,0,0,'Données projet'!$E$9+1,1))</f>
        <v>181.92766225683107</v>
      </c>
      <c r="T27" s="59">
        <f t="shared" si="34"/>
        <v>370.52917139565756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3.8915322458470398</v>
      </c>
      <c r="AA27" s="21">
        <f>EXP(-LN(2)/25)*AA26+(1-EXP(-LN(2)/25))/(LN(2)/25)*Calculateur!V27*Calculateur!X27*VLOOKUP('Données projet'!$B$9,Paramètres!$A$1:$I$89,3,0)*0.475*44/12</f>
        <v>12.361151996191552</v>
      </c>
      <c r="AB27" s="21">
        <f>EXP(-LN(2)/2)*AB26+(1-EXP(-LN(2)/2))/(LN(2)/2)*V27*Y27*VLOOKUP('Données projet'!$B$9,Paramètres!$A$1:$I$89,3,0)*0.475*44/12</f>
        <v>4.3755966312133445</v>
      </c>
      <c r="AC27" s="22">
        <f t="shared" si="3"/>
        <v>20.628280873251935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12.2</v>
      </c>
      <c r="AI27" s="13">
        <f>IF('Données projet'!$A$62&gt;35,AI26+AH27-AQ26,IF(A27&lt;'Données projet'!$A$62,$AF$205^A27,IF(A27='Données projet'!$A$62,'Données projet'!$B$62,AI26+AH27-AQ26)))</f>
        <v>100.80000000000001</v>
      </c>
      <c r="AJ27" s="13">
        <f>AI27*VLOOKUP('Données projet'!$B$10,Paramètres!$A$1:$I$89,3,0)*VLOOKUP('Données projet'!$B$10,Paramètres!$A$1:$I$89,5,0)</f>
        <v>81.768960000000021</v>
      </c>
      <c r="AK27" s="13">
        <f t="shared" si="35"/>
        <v>22.569151954451023</v>
      </c>
      <c r="AL27" s="20">
        <f t="shared" si="4"/>
        <v>181.72221165400222</v>
      </c>
      <c r="AM27" s="59">
        <f t="shared" si="5"/>
        <v>475.05554498733557</v>
      </c>
      <c r="AN27" s="59">
        <f ca="1">AVERAGE(OFFSET($AM$3,0,0,'Données projet'!$E$10+1,1))-AVERAGE(OFFSET($H$3,0,0,'Données projet'!$E$10+1,1))</f>
        <v>235.31102883830971</v>
      </c>
      <c r="AO27" s="59">
        <f t="shared" si="36"/>
        <v>271.48630853790422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3.6955051748395915</v>
      </c>
      <c r="AW27" s="21">
        <f>EXP(-LN(2)/2)*AW26+(1-EXP(-LN(2)/2))/(LN(2)/2)*AQ27*AT27*VLOOKUP('Données projet'!$B$10,Paramètres!$A$1:$I$89,3,0)*0.475*44/12</f>
        <v>2.0569830265312077</v>
      </c>
      <c r="AX27" s="21">
        <f t="shared" si="6"/>
        <v>5.7524882013707987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1.2</v>
      </c>
      <c r="BD27" s="12">
        <f>IF('Données projet'!$A$88&gt;35,BD26+BC27-BL26,IF(A27&lt;'Données projet'!$A$88,$BA$205^A27,IF(A27='Données projet'!$A$88,'Données projet'!$B$88,BD26+BC27-BL26)))</f>
        <v>26.184024853780567</v>
      </c>
      <c r="BE27" s="13">
        <f>BD27*VLOOKUP('Données projet'!$B$11,Paramètres!$A$1:$I$89,3,0)*VLOOKUP('Données projet'!$B$11,Paramètres!$A$1:$I$89,5,0)</f>
        <v>29.818367503485312</v>
      </c>
      <c r="BF27" s="13">
        <f t="shared" si="37"/>
        <v>9.255630450600643</v>
      </c>
      <c r="BG27" s="20">
        <f t="shared" si="7"/>
        <v>68.053879770033035</v>
      </c>
      <c r="BH27" s="59">
        <f t="shared" si="8"/>
        <v>361.38721310336632</v>
      </c>
      <c r="BI27" s="59">
        <f ca="1">AVERAGE(OFFSET($BH$3,0,0,'Données projet'!$E$11+1,1))-AVERAGE(OFFSET($H$3,0,0,'Données projet'!$E$11+1,1))</f>
        <v>249.01678065306629</v>
      </c>
      <c r="BJ27" s="59">
        <f t="shared" si="38"/>
        <v>99.639724892155641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>
        <f>BY27*VLOOKUP('Données projet'!$B$12,Paramètres!$A$1:$I$89,3,0)*VLOOKUP('Données projet'!$B$12,Paramètres!$A$1:$I$89,5,0)</f>
        <v>0</v>
      </c>
      <c r="CA27" s="13" t="e">
        <f t="shared" si="39"/>
        <v>#NUM!</v>
      </c>
      <c r="CB27" s="20" t="e">
        <f t="shared" si="10"/>
        <v>#NUM!</v>
      </c>
      <c r="CC27" s="59" t="e">
        <f t="shared" si="11"/>
        <v>#NUM!</v>
      </c>
      <c r="CD27" s="59">
        <f ca="1">AVERAGE(OFFSET($CC$3,0,0,'Données projet'!$E$12+1,1))-AVERAGE(OFFSET($H$3,0,0,'Données projet'!$E$12+1,1))</f>
        <v>0</v>
      </c>
      <c r="CE27" s="59">
        <f t="shared" si="40"/>
        <v>0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>
        <f>CT27*VLOOKUP('Données projet'!$B$13,Paramètres!$A$1:$I$89,3,0)*VLOOKUP('Données projet'!$B$13,Paramètres!$A$1:$I$89,5,0)</f>
        <v>0</v>
      </c>
      <c r="CV27" s="13" t="e">
        <f t="shared" si="41"/>
        <v>#NUM!</v>
      </c>
      <c r="CW27" s="20" t="e">
        <f t="shared" si="13"/>
        <v>#NUM!</v>
      </c>
      <c r="CX27" s="59" t="e">
        <f t="shared" si="14"/>
        <v>#NUM!</v>
      </c>
      <c r="CY27" s="59">
        <f ca="1">AVERAGE(OFFSET($CX$3,0,0,'Données projet'!$E$13+1,1))-AVERAGE(OFFSET($H$3,0,0,'Données projet'!$E$13+1,1))</f>
        <v>0</v>
      </c>
      <c r="CZ27" s="59">
        <f t="shared" si="42"/>
        <v>0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0</v>
      </c>
      <c r="DH27" s="21">
        <f>EXP(-LN(2)/2)*DH26+(1-EXP(-LN(2)/2))/(LN(2)/2)*DB27*DE27*VLOOKUP('Données projet'!$B$13,Paramètres!$A$1:$I$89,3,0)*0.475*44/12</f>
        <v>0</v>
      </c>
      <c r="DI27" s="22">
        <f t="shared" si="15"/>
        <v>0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16.266666666666666</v>
      </c>
      <c r="N28" s="13">
        <f>IF('Données projet'!$A$36&gt;35,N27+M28-V27,IF(A28&lt;'Données projet'!$A$36,$K$205^A28,IF(A28='Données projet'!$A$36,'Données projet'!$B$36,N27+M28-V27)))</f>
        <v>232.33333333333326</v>
      </c>
      <c r="O28" s="13">
        <f>N28*VLOOKUP('Données projet'!$B$9,Paramètres!$A$1:$I$89,3,0)*VLOOKUP('Données projet'!$B$9,Paramètres!$A$1:$I$89,5,0)</f>
        <v>138.93533333333329</v>
      </c>
      <c r="P28" s="13">
        <f t="shared" si="33"/>
        <v>36.052997055960645</v>
      </c>
      <c r="Q28" s="20">
        <f t="shared" si="2"/>
        <v>304.77134209468687</v>
      </c>
      <c r="R28" s="59">
        <f t="shared" si="0"/>
        <v>598.10467542802019</v>
      </c>
      <c r="S28" s="59">
        <f ca="1">AVERAGE(OFFSET($R$3,0,0,'Données projet'!$E$9+1,1))-AVERAGE(OFFSET($H$3,0,0,'Données projet'!$E$9+1,1))</f>
        <v>181.92766225683107</v>
      </c>
      <c r="T28" s="59">
        <f t="shared" si="34"/>
        <v>370.52917139565756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3.8152216721062757</v>
      </c>
      <c r="AA28" s="21">
        <f>EXP(-LN(2)/25)*AA27+(1-EXP(-LN(2)/25))/(LN(2)/25)*Calculateur!V28*Calculateur!X28*VLOOKUP('Données projet'!$B$9,Paramètres!$A$1:$I$89,3,0)*0.475*44/12</f>
        <v>12.023135644810962</v>
      </c>
      <c r="AB28" s="21">
        <f>EXP(-LN(2)/2)*AB27+(1-EXP(-LN(2)/2))/(LN(2)/2)*V28*Y28*VLOOKUP('Données projet'!$B$9,Paramètres!$A$1:$I$89,3,0)*0.475*44/12</f>
        <v>3.0940140496679689</v>
      </c>
      <c r="AC28" s="22">
        <f t="shared" si="3"/>
        <v>18.932371366585208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12.2</v>
      </c>
      <c r="AI28" s="13">
        <f>IF('Données projet'!$A$62&gt;35,AI27+AH28-AQ27,IF(A28&lt;'Données projet'!$A$62,$AF$205^A28,IF(A28='Données projet'!$A$62,'Données projet'!$B$62,AI27+AH28-AQ27)))</f>
        <v>113.00000000000001</v>
      </c>
      <c r="AJ28" s="13">
        <f>AI28*VLOOKUP('Données projet'!$B$10,Paramètres!$A$1:$I$89,3,0)*VLOOKUP('Données projet'!$B$10,Paramètres!$A$1:$I$89,5,0)</f>
        <v>91.665600000000026</v>
      </c>
      <c r="AK28" s="13">
        <f t="shared" si="35"/>
        <v>24.966497888207439</v>
      </c>
      <c r="AL28" s="20">
        <f t="shared" si="4"/>
        <v>203.1342371552947</v>
      </c>
      <c r="AM28" s="59">
        <f t="shared" si="5"/>
        <v>496.46757048862798</v>
      </c>
      <c r="AN28" s="59">
        <f ca="1">AVERAGE(OFFSET($AM$3,0,0,'Données projet'!$E$10+1,1))-AVERAGE(OFFSET($H$3,0,0,'Données projet'!$E$10+1,1))</f>
        <v>235.31102883830971</v>
      </c>
      <c r="AO28" s="59">
        <f t="shared" si="36"/>
        <v>271.48630853790422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3.5944513914954319</v>
      </c>
      <c r="AW28" s="21">
        <f>EXP(-LN(2)/2)*AW27+(1-EXP(-LN(2)/2))/(LN(2)/2)*AQ28*AT28*VLOOKUP('Données projet'!$B$10,Paramètres!$A$1:$I$89,3,0)*0.475*44/12</f>
        <v>1.454506646845845</v>
      </c>
      <c r="AX28" s="21">
        <f t="shared" si="6"/>
        <v>5.0489580383412767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>
        <f>VLOOKUP(A28,'Données projet'!$A$87:$I$107,2,0)</f>
        <v>30</v>
      </c>
      <c r="BB28" s="12">
        <f>VLOOKUP(A28,'Données projet'!$A$87:$I$107,9,0)</f>
        <v>1.2</v>
      </c>
      <c r="BC28" s="12">
        <f t="array" ref="BC28">INDEX(BB:BB,MIN(IF(ISNUMBER(BB28:BB224),ROW(BB28:BB224),"")))</f>
        <v>1.2</v>
      </c>
      <c r="BD28" s="12">
        <f>IF('Données projet'!$A$88&gt;35,BD27+BC28-BL27,IF(A28&lt;'Données projet'!$A$88,$BA$205^A28,IF(A28='Données projet'!$A$88,'Données projet'!$B$88,BD27+BC28-BL27)))</f>
        <v>30</v>
      </c>
      <c r="BE28" s="13">
        <f>BD28*VLOOKUP('Données projet'!$B$11,Paramètres!$A$1:$I$89,3,0)*VLOOKUP('Données projet'!$B$11,Paramètres!$A$1:$I$89,5,0)</f>
        <v>34.164000000000001</v>
      </c>
      <c r="BF28" s="13">
        <f t="shared" si="37"/>
        <v>10.43790596178561</v>
      </c>
      <c r="BG28" s="20">
        <f t="shared" si="7"/>
        <v>77.681652883443277</v>
      </c>
      <c r="BH28" s="59">
        <f t="shared" si="8"/>
        <v>371.01498621677661</v>
      </c>
      <c r="BI28" s="59">
        <f ca="1">AVERAGE(OFFSET($BH$3,0,0,'Données projet'!$E$11+1,1))-AVERAGE(OFFSET($H$3,0,0,'Données projet'!$E$11+1,1))</f>
        <v>249.01678065306629</v>
      </c>
      <c r="BJ28" s="59">
        <f t="shared" si="38"/>
        <v>99.639724892155641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>
        <f>BY28*VLOOKUP('Données projet'!$B$12,Paramètres!$A$1:$I$89,3,0)*VLOOKUP('Données projet'!$B$12,Paramètres!$A$1:$I$89,5,0)</f>
        <v>0</v>
      </c>
      <c r="CA28" s="13" t="e">
        <f t="shared" si="39"/>
        <v>#NUM!</v>
      </c>
      <c r="CB28" s="20" t="e">
        <f t="shared" si="10"/>
        <v>#NUM!</v>
      </c>
      <c r="CC28" s="59" t="e">
        <f t="shared" si="11"/>
        <v>#NUM!</v>
      </c>
      <c r="CD28" s="59">
        <f ca="1">AVERAGE(OFFSET($CC$3,0,0,'Données projet'!$E$12+1,1))-AVERAGE(OFFSET($H$3,0,0,'Données projet'!$E$12+1,1))</f>
        <v>0</v>
      </c>
      <c r="CE28" s="59">
        <f t="shared" si="40"/>
        <v>0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>
        <f>CT28*VLOOKUP('Données projet'!$B$13,Paramètres!$A$1:$I$89,3,0)*VLOOKUP('Données projet'!$B$13,Paramètres!$A$1:$I$89,5,0)</f>
        <v>0</v>
      </c>
      <c r="CV28" s="13" t="e">
        <f t="shared" si="41"/>
        <v>#NUM!</v>
      </c>
      <c r="CW28" s="20" t="e">
        <f t="shared" si="13"/>
        <v>#NUM!</v>
      </c>
      <c r="CX28" s="59" t="e">
        <f t="shared" si="14"/>
        <v>#NUM!</v>
      </c>
      <c r="CY28" s="59">
        <f ca="1">AVERAGE(OFFSET($CX$3,0,0,'Données projet'!$E$13+1,1))-AVERAGE(OFFSET($H$3,0,0,'Données projet'!$E$13+1,1))</f>
        <v>0</v>
      </c>
      <c r="CZ28" s="59">
        <f t="shared" si="42"/>
        <v>0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0</v>
      </c>
      <c r="DH28" s="21">
        <f>EXP(-LN(2)/2)*DH27+(1-EXP(-LN(2)/2))/(LN(2)/2)*DB28*DE28*VLOOKUP('Données projet'!$B$13,Paramètres!$A$1:$I$89,3,0)*0.475*44/12</f>
        <v>0</v>
      </c>
      <c r="DI28" s="22">
        <f t="shared" si="15"/>
        <v>0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16.266666666666666</v>
      </c>
      <c r="N29" s="13">
        <f>IF('Données projet'!$A$36&gt;35,N28+M29-V28,IF(A29&lt;'Données projet'!$A$36,$K$205^A29,IF(A29='Données projet'!$A$36,'Données projet'!$B$36,N28+M29-V28)))</f>
        <v>248.59999999999991</v>
      </c>
      <c r="O29" s="13">
        <f>N29*VLOOKUP('Données projet'!$B$9,Paramètres!$A$1:$I$89,3,0)*VLOOKUP('Données projet'!$B$9,Paramètres!$A$1:$I$89,5,0)</f>
        <v>148.66279999999995</v>
      </c>
      <c r="P29" s="13">
        <f t="shared" si="33"/>
        <v>38.27454393199833</v>
      </c>
      <c r="Q29" s="20">
        <f t="shared" si="2"/>
        <v>325.58254068156361</v>
      </c>
      <c r="R29" s="59">
        <f t="shared" si="0"/>
        <v>618.91587401489687</v>
      </c>
      <c r="S29" s="59">
        <f ca="1">AVERAGE(OFFSET($R$3,0,0,'Données projet'!$E$9+1,1))-AVERAGE(OFFSET($H$3,0,0,'Données projet'!$E$9+1,1))</f>
        <v>181.92766225683107</v>
      </c>
      <c r="T29" s="59">
        <f t="shared" si="34"/>
        <v>370.52917139565756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3.7404075021717138</v>
      </c>
      <c r="AA29" s="21">
        <f>EXP(-LN(2)/25)*AA28+(1-EXP(-LN(2)/25))/(LN(2)/25)*Calculateur!V29*Calculateur!X29*VLOOKUP('Données projet'!$B$9,Paramètres!$A$1:$I$89,3,0)*0.475*44/12</f>
        <v>11.694362368334382</v>
      </c>
      <c r="AB29" s="21">
        <f>EXP(-LN(2)/2)*AB28+(1-EXP(-LN(2)/2))/(LN(2)/2)*V29*Y29*VLOOKUP('Données projet'!$B$9,Paramètres!$A$1:$I$89,3,0)*0.475*44/12</f>
        <v>2.1877983156066723</v>
      </c>
      <c r="AC29" s="22">
        <f t="shared" si="3"/>
        <v>17.622568186112765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12.2</v>
      </c>
      <c r="AI29" s="13">
        <f>IF('Données projet'!$A$62&gt;35,AI28+AH29-AQ28,IF(A29&lt;'Données projet'!$A$62,$AF$205^A29,IF(A29='Données projet'!$A$62,'Données projet'!$B$62,AI28+AH29-AQ28)))</f>
        <v>125.20000000000002</v>
      </c>
      <c r="AJ29" s="13">
        <f>AI29*VLOOKUP('Données projet'!$B$10,Paramètres!$A$1:$I$89,3,0)*VLOOKUP('Données projet'!$B$10,Paramètres!$A$1:$I$89,5,0)</f>
        <v>101.56224000000003</v>
      </c>
      <c r="AK29" s="13">
        <f t="shared" si="35"/>
        <v>27.333843239980084</v>
      </c>
      <c r="AL29" s="20">
        <f t="shared" si="4"/>
        <v>224.49401164296532</v>
      </c>
      <c r="AM29" s="59">
        <f t="shared" si="5"/>
        <v>517.8273449762986</v>
      </c>
      <c r="AN29" s="59">
        <f ca="1">AVERAGE(OFFSET($AM$3,0,0,'Données projet'!$E$10+1,1))-AVERAGE(OFFSET($H$3,0,0,'Données projet'!$E$10+1,1))</f>
        <v>235.31102883830971</v>
      </c>
      <c r="AO29" s="59">
        <f t="shared" si="36"/>
        <v>271.48630853790422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3.4961609291710061</v>
      </c>
      <c r="AW29" s="21">
        <f>EXP(-LN(2)/2)*AW28+(1-EXP(-LN(2)/2))/(LN(2)/2)*AQ29*AT29*VLOOKUP('Données projet'!$B$10,Paramètres!$A$1:$I$89,3,0)*0.475*44/12</f>
        <v>1.0284915132656038</v>
      </c>
      <c r="AX29" s="21">
        <f t="shared" si="6"/>
        <v>4.5246524424366097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4.8</v>
      </c>
      <c r="BD29" s="12">
        <f>IF('Données projet'!$A$88&gt;35,BD28+BC29-BL28,IF(A29&lt;'Données projet'!$A$88,$BA$205^A29,IF(A29='Données projet'!$A$88,'Données projet'!$B$88,BD28+BC29-BL28)))</f>
        <v>34.799999999999997</v>
      </c>
      <c r="BE29" s="13">
        <f>BD29*VLOOKUP('Données projet'!$B$11,Paramètres!$A$1:$I$89,3,0)*VLOOKUP('Données projet'!$B$11,Paramètres!$A$1:$I$89,5,0)</f>
        <v>39.630239999999993</v>
      </c>
      <c r="BF29" s="13">
        <f t="shared" si="37"/>
        <v>11.900589068958134</v>
      </c>
      <c r="BG29" s="20">
        <f t="shared" si="7"/>
        <v>89.749527295102055</v>
      </c>
      <c r="BH29" s="59">
        <f t="shared" si="8"/>
        <v>383.08286062843536</v>
      </c>
      <c r="BI29" s="59">
        <f ca="1">AVERAGE(OFFSET($BH$3,0,0,'Données projet'!$E$11+1,1))-AVERAGE(OFFSET($H$3,0,0,'Données projet'!$E$11+1,1))</f>
        <v>249.01678065306629</v>
      </c>
      <c r="BJ29" s="59">
        <f t="shared" si="38"/>
        <v>99.639724892155641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>
        <f>BY29*VLOOKUP('Données projet'!$B$12,Paramètres!$A$1:$I$89,3,0)*VLOOKUP('Données projet'!$B$12,Paramètres!$A$1:$I$89,5,0)</f>
        <v>0</v>
      </c>
      <c r="CA29" s="13" t="e">
        <f t="shared" si="39"/>
        <v>#NUM!</v>
      </c>
      <c r="CB29" s="20" t="e">
        <f t="shared" si="10"/>
        <v>#NUM!</v>
      </c>
      <c r="CC29" s="59" t="e">
        <f t="shared" si="11"/>
        <v>#NUM!</v>
      </c>
      <c r="CD29" s="59">
        <f ca="1">AVERAGE(OFFSET($CC$3,0,0,'Données projet'!$E$12+1,1))-AVERAGE(OFFSET($H$3,0,0,'Données projet'!$E$12+1,1))</f>
        <v>0</v>
      </c>
      <c r="CE29" s="59">
        <f t="shared" si="40"/>
        <v>0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>
        <f>CT29*VLOOKUP('Données projet'!$B$13,Paramètres!$A$1:$I$89,3,0)*VLOOKUP('Données projet'!$B$13,Paramètres!$A$1:$I$89,5,0)</f>
        <v>0</v>
      </c>
      <c r="CV29" s="13" t="e">
        <f t="shared" si="41"/>
        <v>#NUM!</v>
      </c>
      <c r="CW29" s="20" t="e">
        <f t="shared" si="13"/>
        <v>#NUM!</v>
      </c>
      <c r="CX29" s="59" t="e">
        <f t="shared" si="14"/>
        <v>#NUM!</v>
      </c>
      <c r="CY29" s="59">
        <f ca="1">AVERAGE(OFFSET($CX$3,0,0,'Données projet'!$E$13+1,1))-AVERAGE(OFFSET($H$3,0,0,'Données projet'!$E$13+1,1))</f>
        <v>0</v>
      </c>
      <c r="CZ29" s="59">
        <f t="shared" si="42"/>
        <v>0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0</v>
      </c>
      <c r="DH29" s="21">
        <f>EXP(-LN(2)/2)*DH28+(1-EXP(-LN(2)/2))/(LN(2)/2)*DB29*DE29*VLOOKUP('Données projet'!$B$13,Paramètres!$A$1:$I$89,3,0)*0.475*44/12</f>
        <v>0</v>
      </c>
      <c r="DI29" s="22">
        <f t="shared" si="15"/>
        <v>0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16.266666666666666</v>
      </c>
      <c r="N30" s="13">
        <f>IF('Données projet'!$A$36&gt;35,N29+M30-V29,IF(A30&lt;'Données projet'!$A$36,$K$205^A30,IF(A30='Données projet'!$A$36,'Données projet'!$B$36,N29+M30-V29)))</f>
        <v>264.86666666666656</v>
      </c>
      <c r="O30" s="13">
        <f>N30*VLOOKUP('Données projet'!$B$9,Paramètres!$A$1:$I$89,3,0)*VLOOKUP('Données projet'!$B$9,Paramètres!$A$1:$I$89,5,0)</f>
        <v>158.39026666666661</v>
      </c>
      <c r="P30" s="13">
        <f t="shared" si="33"/>
        <v>40.479222161880493</v>
      </c>
      <c r="Q30" s="20">
        <f t="shared" si="2"/>
        <v>346.36435970971957</v>
      </c>
      <c r="R30" s="59">
        <f t="shared" si="0"/>
        <v>639.69769304305282</v>
      </c>
      <c r="S30" s="59">
        <f ca="1">AVERAGE(OFFSET($R$3,0,0,'Données projet'!$E$9+1,1))-AVERAGE(OFFSET($H$3,0,0,'Données projet'!$E$9+1,1))</f>
        <v>181.92766225683107</v>
      </c>
      <c r="T30" s="59">
        <f t="shared" si="34"/>
        <v>370.52917139565756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3.6670603924774308</v>
      </c>
      <c r="AA30" s="21">
        <f>EXP(-LN(2)/25)*AA29+(1-EXP(-LN(2)/25))/(LN(2)/25)*Calculateur!V30*Calculateur!X30*VLOOKUP('Données projet'!$B$9,Paramètres!$A$1:$I$89,3,0)*0.475*44/12</f>
        <v>11.374579414392489</v>
      </c>
      <c r="AB30" s="21">
        <f>EXP(-LN(2)/2)*AB29+(1-EXP(-LN(2)/2))/(LN(2)/2)*V30*Y30*VLOOKUP('Données projet'!$B$9,Paramètres!$A$1:$I$89,3,0)*0.475*44/12</f>
        <v>1.5470070248339844</v>
      </c>
      <c r="AC30" s="22">
        <f t="shared" si="3"/>
        <v>16.588646831703905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12.2</v>
      </c>
      <c r="AI30" s="13">
        <f>IF('Données projet'!$A$62&gt;35,AI29+AH30-AQ29,IF(A30&lt;'Données projet'!$A$62,$AF$205^A30,IF(A30='Données projet'!$A$62,'Données projet'!$B$62,AI29+AH30-AQ29)))</f>
        <v>137.4</v>
      </c>
      <c r="AJ30" s="13">
        <f>AI30*VLOOKUP('Données projet'!$B$10,Paramètres!$A$1:$I$89,3,0)*VLOOKUP('Données projet'!$B$10,Paramètres!$A$1:$I$89,5,0)</f>
        <v>111.45888000000002</v>
      </c>
      <c r="AK30" s="13">
        <f t="shared" si="35"/>
        <v>29.674444066375862</v>
      </c>
      <c r="AL30" s="20">
        <f t="shared" si="4"/>
        <v>245.80720608227134</v>
      </c>
      <c r="AM30" s="59">
        <f t="shared" si="5"/>
        <v>539.14053941560462</v>
      </c>
      <c r="AN30" s="59">
        <f ca="1">AVERAGE(OFFSET($AM$3,0,0,'Données projet'!$E$10+1,1))-AVERAGE(OFFSET($H$3,0,0,'Données projet'!$E$10+1,1))</f>
        <v>235.31102883830971</v>
      </c>
      <c r="AO30" s="59">
        <f t="shared" si="36"/>
        <v>271.48630853790422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3.4005582247077122</v>
      </c>
      <c r="AW30" s="21">
        <f>EXP(-LN(2)/2)*AW29+(1-EXP(-LN(2)/2))/(LN(2)/2)*AQ30*AT30*VLOOKUP('Données projet'!$B$10,Paramètres!$A$1:$I$89,3,0)*0.475*44/12</f>
        <v>0.72725332342292248</v>
      </c>
      <c r="AX30" s="21">
        <f t="shared" si="6"/>
        <v>4.1278115481306346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4.8</v>
      </c>
      <c r="BD30" s="12">
        <f>IF('Données projet'!$A$88&gt;35,BD29+BC30-BL29,IF(A30&lt;'Données projet'!$A$88,$BA$205^A30,IF(A30='Données projet'!$A$88,'Données projet'!$B$88,BD29+BC30-BL29)))</f>
        <v>39.599999999999994</v>
      </c>
      <c r="BE30" s="13">
        <f>BD30*VLOOKUP('Données projet'!$B$11,Paramètres!$A$1:$I$89,3,0)*VLOOKUP('Données projet'!$B$11,Paramètres!$A$1:$I$89,5,0)</f>
        <v>45.096479999999993</v>
      </c>
      <c r="BF30" s="13">
        <f t="shared" si="37"/>
        <v>13.339897895146274</v>
      </c>
      <c r="BG30" s="20">
        <f t="shared" si="7"/>
        <v>101.77669150071307</v>
      </c>
      <c r="BH30" s="59">
        <f t="shared" si="8"/>
        <v>395.11002483404638</v>
      </c>
      <c r="BI30" s="59">
        <f ca="1">AVERAGE(OFFSET($BH$3,0,0,'Données projet'!$E$11+1,1))-AVERAGE(OFFSET($H$3,0,0,'Données projet'!$E$11+1,1))</f>
        <v>249.01678065306629</v>
      </c>
      <c r="BJ30" s="59">
        <f t="shared" si="38"/>
        <v>99.639724892155641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>
        <f>BY30*VLOOKUP('Données projet'!$B$12,Paramètres!$A$1:$I$89,3,0)*VLOOKUP('Données projet'!$B$12,Paramètres!$A$1:$I$89,5,0)</f>
        <v>0</v>
      </c>
      <c r="CA30" s="13" t="e">
        <f t="shared" si="39"/>
        <v>#NUM!</v>
      </c>
      <c r="CB30" s="20" t="e">
        <f t="shared" si="10"/>
        <v>#NUM!</v>
      </c>
      <c r="CC30" s="59" t="e">
        <f t="shared" si="11"/>
        <v>#NUM!</v>
      </c>
      <c r="CD30" s="59">
        <f ca="1">AVERAGE(OFFSET($CC$3,0,0,'Données projet'!$E$12+1,1))-AVERAGE(OFFSET($H$3,0,0,'Données projet'!$E$12+1,1))</f>
        <v>0</v>
      </c>
      <c r="CE30" s="59">
        <f t="shared" si="40"/>
        <v>0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>
        <f>CT30*VLOOKUP('Données projet'!$B$13,Paramètres!$A$1:$I$89,3,0)*VLOOKUP('Données projet'!$B$13,Paramètres!$A$1:$I$89,5,0)</f>
        <v>0</v>
      </c>
      <c r="CV30" s="13" t="e">
        <f t="shared" si="41"/>
        <v>#NUM!</v>
      </c>
      <c r="CW30" s="20" t="e">
        <f t="shared" si="13"/>
        <v>#NUM!</v>
      </c>
      <c r="CX30" s="59" t="e">
        <f t="shared" si="14"/>
        <v>#NUM!</v>
      </c>
      <c r="CY30" s="59">
        <f ca="1">AVERAGE(OFFSET($CX$3,0,0,'Données projet'!$E$13+1,1))-AVERAGE(OFFSET($H$3,0,0,'Données projet'!$E$13+1,1))</f>
        <v>0</v>
      </c>
      <c r="CZ30" s="59">
        <f t="shared" si="42"/>
        <v>0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0</v>
      </c>
      <c r="DH30" s="21">
        <f>EXP(-LN(2)/2)*DH29+(1-EXP(-LN(2)/2))/(LN(2)/2)*DB30*DE30*VLOOKUP('Données projet'!$B$13,Paramètres!$A$1:$I$89,3,0)*0.475*44/12</f>
        <v>0</v>
      </c>
      <c r="DI30" s="22">
        <f t="shared" si="15"/>
        <v>0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16.266666666666666</v>
      </c>
      <c r="N31" s="13">
        <f>IF('Données projet'!$A$36&gt;35,N30+M31-V30,IF(A31&lt;'Données projet'!$A$36,$K$205^A31,IF(A31='Données projet'!$A$36,'Données projet'!$B$36,N30+M31-V30)))</f>
        <v>281.13333333333321</v>
      </c>
      <c r="O31" s="13">
        <f>N31*VLOOKUP('Données projet'!$B$9,Paramètres!$A$1:$I$89,3,0)*VLOOKUP('Données projet'!$B$9,Paramètres!$A$1:$I$89,5,0)</f>
        <v>168.11773333333329</v>
      </c>
      <c r="P31" s="13">
        <f t="shared" si="33"/>
        <v>42.668185684520004</v>
      </c>
      <c r="Q31" s="20">
        <f t="shared" si="2"/>
        <v>367.11880895609448</v>
      </c>
      <c r="R31" s="59">
        <f t="shared" si="0"/>
        <v>660.4521422894278</v>
      </c>
      <c r="S31" s="59">
        <f ca="1">AVERAGE(OFFSET($R$3,0,0,'Données projet'!$E$9+1,1))-AVERAGE(OFFSET($H$3,0,0,'Données projet'!$E$9+1,1))</f>
        <v>181.92766225683107</v>
      </c>
      <c r="T31" s="59">
        <f t="shared" si="34"/>
        <v>370.52917139565756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3.5951515748669332</v>
      </c>
      <c r="AA31" s="21">
        <f>EXP(-LN(2)/25)*AA30+(1-EXP(-LN(2)/25))/(LN(2)/25)*Calculateur!V31*Calculateur!X31*VLOOKUP('Données projet'!$B$9,Paramètres!$A$1:$I$89,3,0)*0.475*44/12</f>
        <v>11.063540942142792</v>
      </c>
      <c r="AB31" s="21">
        <f>EXP(-LN(2)/2)*AB30+(1-EXP(-LN(2)/2))/(LN(2)/2)*V31*Y31*VLOOKUP('Données projet'!$B$9,Paramètres!$A$1:$I$89,3,0)*0.475*44/12</f>
        <v>1.0938991578033361</v>
      </c>
      <c r="AC31" s="22">
        <f t="shared" si="3"/>
        <v>15.752591674813061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12.2</v>
      </c>
      <c r="AI31" s="13">
        <f>IF('Données projet'!$A$62&gt;35,AI30+AH31-AQ30,IF(A31&lt;'Données projet'!$A$62,$AF$205^A31,IF(A31='Données projet'!$A$62,'Données projet'!$B$62,AI30+AH31-AQ30)))</f>
        <v>149.6</v>
      </c>
      <c r="AJ31" s="13">
        <f>AI31*VLOOKUP('Données projet'!$B$10,Paramètres!$A$1:$I$89,3,0)*VLOOKUP('Données projet'!$B$10,Paramètres!$A$1:$I$89,5,0)</f>
        <v>121.35552000000001</v>
      </c>
      <c r="AK31" s="13">
        <f t="shared" si="35"/>
        <v>31.990945095046595</v>
      </c>
      <c r="AL31" s="20">
        <f t="shared" si="4"/>
        <v>267.07842670720612</v>
      </c>
      <c r="AM31" s="59">
        <f t="shared" si="5"/>
        <v>560.41176004053943</v>
      </c>
      <c r="AN31" s="59">
        <f ca="1">AVERAGE(OFFSET($AM$3,0,0,'Données projet'!$E$10+1,1))-AVERAGE(OFFSET($H$3,0,0,'Données projet'!$E$10+1,1))</f>
        <v>235.31102883830971</v>
      </c>
      <c r="AO31" s="59">
        <f t="shared" si="36"/>
        <v>271.48630853790422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3.3075697812254949</v>
      </c>
      <c r="AW31" s="21">
        <f>EXP(-LN(2)/2)*AW30+(1-EXP(-LN(2)/2))/(LN(2)/2)*AQ31*AT31*VLOOKUP('Données projet'!$B$10,Paramètres!$A$1:$I$89,3,0)*0.475*44/12</f>
        <v>0.51424575663280192</v>
      </c>
      <c r="AX31" s="21">
        <f t="shared" si="6"/>
        <v>3.821815537858297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4.8</v>
      </c>
      <c r="BD31" s="12">
        <f>IF('Données projet'!$A$88&gt;35,BD30+BC31-BL30,IF(A31&lt;'Données projet'!$A$88,$BA$205^A31,IF(A31='Données projet'!$A$88,'Données projet'!$B$88,BD30+BC31-BL30)))</f>
        <v>44.399999999999991</v>
      </c>
      <c r="BE31" s="13">
        <f>BD31*VLOOKUP('Données projet'!$B$11,Paramètres!$A$1:$I$89,3,0)*VLOOKUP('Données projet'!$B$11,Paramètres!$A$1:$I$89,5,0)</f>
        <v>50.562719999999992</v>
      </c>
      <c r="BF31" s="13">
        <f t="shared" si="37"/>
        <v>14.758989764964552</v>
      </c>
      <c r="BG31" s="20">
        <f t="shared" si="7"/>
        <v>113.76864450731324</v>
      </c>
      <c r="BH31" s="59">
        <f t="shared" si="8"/>
        <v>407.10197784064655</v>
      </c>
      <c r="BI31" s="59">
        <f ca="1">AVERAGE(OFFSET($BH$3,0,0,'Données projet'!$E$11+1,1))-AVERAGE(OFFSET($H$3,0,0,'Données projet'!$E$11+1,1))</f>
        <v>249.01678065306629</v>
      </c>
      <c r="BJ31" s="59">
        <f t="shared" si="38"/>
        <v>99.639724892155641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>
        <f>BY31*VLOOKUP('Données projet'!$B$12,Paramètres!$A$1:$I$89,3,0)*VLOOKUP('Données projet'!$B$12,Paramètres!$A$1:$I$89,5,0)</f>
        <v>0</v>
      </c>
      <c r="CA31" s="13" t="e">
        <f t="shared" si="39"/>
        <v>#NUM!</v>
      </c>
      <c r="CB31" s="20" t="e">
        <f t="shared" si="10"/>
        <v>#NUM!</v>
      </c>
      <c r="CC31" s="59" t="e">
        <f t="shared" si="11"/>
        <v>#NUM!</v>
      </c>
      <c r="CD31" s="59">
        <f ca="1">AVERAGE(OFFSET($CC$3,0,0,'Données projet'!$E$12+1,1))-AVERAGE(OFFSET($H$3,0,0,'Données projet'!$E$12+1,1))</f>
        <v>0</v>
      </c>
      <c r="CE31" s="59">
        <f t="shared" si="40"/>
        <v>0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>
        <f>CT31*VLOOKUP('Données projet'!$B$13,Paramètres!$A$1:$I$89,3,0)*VLOOKUP('Données projet'!$B$13,Paramètres!$A$1:$I$89,5,0)</f>
        <v>0</v>
      </c>
      <c r="CV31" s="13" t="e">
        <f t="shared" si="41"/>
        <v>#NUM!</v>
      </c>
      <c r="CW31" s="20" t="e">
        <f t="shared" si="13"/>
        <v>#NUM!</v>
      </c>
      <c r="CX31" s="59" t="e">
        <f t="shared" si="14"/>
        <v>#NUM!</v>
      </c>
      <c r="CY31" s="59">
        <f ca="1">AVERAGE(OFFSET($CX$3,0,0,'Données projet'!$E$13+1,1))-AVERAGE(OFFSET($H$3,0,0,'Données projet'!$E$13+1,1))</f>
        <v>0</v>
      </c>
      <c r="CZ31" s="59">
        <f t="shared" si="42"/>
        <v>0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0</v>
      </c>
      <c r="DH31" s="21">
        <f>EXP(-LN(2)/2)*DH30+(1-EXP(-LN(2)/2))/(LN(2)/2)*DB31*DE31*VLOOKUP('Données projet'!$B$13,Paramètres!$A$1:$I$89,3,0)*0.475*44/12</f>
        <v>0</v>
      </c>
      <c r="DI31" s="22">
        <f t="shared" si="15"/>
        <v>0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16.266666666666666</v>
      </c>
      <c r="N32" s="13">
        <f>IF('Données projet'!$A$36&gt;35,N31+M32-V31,IF(A32&lt;'Données projet'!$A$36,$K$205^A32,IF(A32='Données projet'!$A$36,'Données projet'!$B$36,N31+M32-V31)))</f>
        <v>297.39999999999986</v>
      </c>
      <c r="O32" s="13">
        <f>N32*VLOOKUP('Données projet'!$B$9,Paramètres!$A$1:$I$89,3,0)*VLOOKUP('Données projet'!$B$9,Paramètres!$A$1:$I$89,5,0)</f>
        <v>177.84519999999995</v>
      </c>
      <c r="P32" s="13">
        <f t="shared" si="33"/>
        <v>44.842447359713951</v>
      </c>
      <c r="Q32" s="20">
        <f t="shared" si="2"/>
        <v>387.84765248483501</v>
      </c>
      <c r="R32" s="59">
        <f t="shared" si="0"/>
        <v>681.18098581816832</v>
      </c>
      <c r="S32" s="59">
        <f ca="1">AVERAGE(OFFSET($R$3,0,0,'Données projet'!$E$9+1,1))-AVERAGE(OFFSET($H$3,0,0,'Données projet'!$E$9+1,1))</f>
        <v>181.92766225683107</v>
      </c>
      <c r="T32" s="59">
        <f t="shared" si="34"/>
        <v>370.52917139565756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3.5246528453097299</v>
      </c>
      <c r="AA32" s="21">
        <f>EXP(-LN(2)/25)*AA31+(1-EXP(-LN(2)/25))/(LN(2)/25)*Calculateur!V32*Calculateur!X32*VLOOKUP('Données projet'!$B$9,Paramètres!$A$1:$I$89,3,0)*0.475*44/12</f>
        <v>10.761007833273565</v>
      </c>
      <c r="AB32" s="21">
        <f>EXP(-LN(2)/2)*AB31+(1-EXP(-LN(2)/2))/(LN(2)/2)*V32*Y32*VLOOKUP('Données projet'!$B$9,Paramètres!$A$1:$I$89,3,0)*0.475*44/12</f>
        <v>0.77350351241699222</v>
      </c>
      <c r="AC32" s="22">
        <f t="shared" si="3"/>
        <v>15.059164191000287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12.2</v>
      </c>
      <c r="AI32" s="13">
        <f>IF('Données projet'!$A$62&gt;35,AI31+AH32-AQ31,IF(A32&lt;'Données projet'!$A$62,$AF$205^A32,IF(A32='Données projet'!$A$62,'Données projet'!$B$62,AI31+AH32-AQ31)))</f>
        <v>161.79999999999998</v>
      </c>
      <c r="AJ32" s="13">
        <f>AI32*VLOOKUP('Données projet'!$B$10,Paramètres!$A$1:$I$89,3,0)*VLOOKUP('Données projet'!$B$10,Paramètres!$A$1:$I$89,5,0)</f>
        <v>131.25216</v>
      </c>
      <c r="AK32" s="13">
        <f t="shared" si="35"/>
        <v>34.285535125000187</v>
      </c>
      <c r="AL32" s="20">
        <f t="shared" si="4"/>
        <v>288.31148567604197</v>
      </c>
      <c r="AM32" s="59">
        <f t="shared" si="5"/>
        <v>581.64481900937528</v>
      </c>
      <c r="AN32" s="59">
        <f ca="1">AVERAGE(OFFSET($AM$3,0,0,'Données projet'!$E$10+1,1))-AVERAGE(OFFSET($H$3,0,0,'Données projet'!$E$10+1,1))</f>
        <v>235.31102883830971</v>
      </c>
      <c r="AO32" s="59">
        <f t="shared" si="36"/>
        <v>271.48630853790422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3.2171241116203486</v>
      </c>
      <c r="AW32" s="21">
        <f>EXP(-LN(2)/2)*AW31+(1-EXP(-LN(2)/2))/(LN(2)/2)*AQ32*AT32*VLOOKUP('Données projet'!$B$10,Paramètres!$A$1:$I$89,3,0)*0.475*44/12</f>
        <v>0.36362666171146124</v>
      </c>
      <c r="AX32" s="21">
        <f t="shared" si="6"/>
        <v>3.5807507733318098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4.8</v>
      </c>
      <c r="BD32" s="12">
        <f>IF('Données projet'!$A$88&gt;35,BD31+BC32-BL31,IF(A32&lt;'Données projet'!$A$88,$BA$205^A32,IF(A32='Données projet'!$A$88,'Données projet'!$B$88,BD31+BC32-BL31)))</f>
        <v>49.199999999999989</v>
      </c>
      <c r="BE32" s="13">
        <f>BD32*VLOOKUP('Données projet'!$B$11,Paramètres!$A$1:$I$89,3,0)*VLOOKUP('Données projet'!$B$11,Paramètres!$A$1:$I$89,5,0)</f>
        <v>56.028959999999984</v>
      </c>
      <c r="BF32" s="13">
        <f t="shared" si="37"/>
        <v>16.160299450101345</v>
      </c>
      <c r="BG32" s="20">
        <f t="shared" si="7"/>
        <v>125.72962687559315</v>
      </c>
      <c r="BH32" s="59">
        <f t="shared" si="8"/>
        <v>419.06296020892648</v>
      </c>
      <c r="BI32" s="59">
        <f ca="1">AVERAGE(OFFSET($BH$3,0,0,'Données projet'!$E$11+1,1))-AVERAGE(OFFSET($H$3,0,0,'Données projet'!$E$11+1,1))</f>
        <v>249.01678065306629</v>
      </c>
      <c r="BJ32" s="59">
        <f t="shared" si="38"/>
        <v>99.639724892155641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>
        <f>BY32*VLOOKUP('Données projet'!$B$12,Paramètres!$A$1:$I$89,3,0)*VLOOKUP('Données projet'!$B$12,Paramètres!$A$1:$I$89,5,0)</f>
        <v>0</v>
      </c>
      <c r="CA32" s="13" t="e">
        <f t="shared" si="39"/>
        <v>#NUM!</v>
      </c>
      <c r="CB32" s="20" t="e">
        <f t="shared" si="10"/>
        <v>#NUM!</v>
      </c>
      <c r="CC32" s="59" t="e">
        <f t="shared" si="11"/>
        <v>#NUM!</v>
      </c>
      <c r="CD32" s="59">
        <f ca="1">AVERAGE(OFFSET($CC$3,0,0,'Données projet'!$E$12+1,1))-AVERAGE(OFFSET($H$3,0,0,'Données projet'!$E$12+1,1))</f>
        <v>0</v>
      </c>
      <c r="CE32" s="59">
        <f t="shared" si="40"/>
        <v>0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>
        <f>CT32*VLOOKUP('Données projet'!$B$13,Paramètres!$A$1:$I$89,3,0)*VLOOKUP('Données projet'!$B$13,Paramètres!$A$1:$I$89,5,0)</f>
        <v>0</v>
      </c>
      <c r="CV32" s="13" t="e">
        <f t="shared" si="41"/>
        <v>#NUM!</v>
      </c>
      <c r="CW32" s="20" t="e">
        <f t="shared" si="13"/>
        <v>#NUM!</v>
      </c>
      <c r="CX32" s="59" t="e">
        <f t="shared" si="14"/>
        <v>#NUM!</v>
      </c>
      <c r="CY32" s="59">
        <f ca="1">AVERAGE(OFFSET($CX$3,0,0,'Données projet'!$E$13+1,1))-AVERAGE(OFFSET($H$3,0,0,'Données projet'!$E$13+1,1))</f>
        <v>0</v>
      </c>
      <c r="CZ32" s="59">
        <f t="shared" si="42"/>
        <v>0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0</v>
      </c>
      <c r="DH32" s="21">
        <f>EXP(-LN(2)/2)*DH31+(1-EXP(-LN(2)/2))/(LN(2)/2)*DB32*DE32*VLOOKUP('Données projet'!$B$13,Paramètres!$A$1:$I$89,3,0)*0.475*44/12</f>
        <v>0</v>
      </c>
      <c r="DI32" s="22">
        <f t="shared" si="15"/>
        <v>0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16.266666666666666</v>
      </c>
      <c r="N33" s="13">
        <f>IF('Données projet'!$A$36&gt;35,N32+M33-V32,IF(A33&lt;'Données projet'!$A$36,$K$205^A33,IF(A33='Données projet'!$A$36,'Données projet'!$B$36,N32+M33-V32)))</f>
        <v>313.66666666666652</v>
      </c>
      <c r="O33" s="13">
        <f>N33*VLOOKUP('Données projet'!$B$9,Paramètres!$A$1:$I$89,3,0)*VLOOKUP('Données projet'!$B$9,Paramètres!$A$1:$I$89,5,0)</f>
        <v>187.57266666666661</v>
      </c>
      <c r="P33" s="13">
        <f t="shared" si="33"/>
        <v>47.002902990251329</v>
      </c>
      <c r="Q33" s="20">
        <f t="shared" si="2"/>
        <v>408.55245048579872</v>
      </c>
      <c r="R33" s="59">
        <f t="shared" si="0"/>
        <v>701.88578381913203</v>
      </c>
      <c r="S33" s="59">
        <f ca="1">AVERAGE(OFFSET($R$3,0,0,'Données projet'!$E$9+1,1))-AVERAGE(OFFSET($H$3,0,0,'Données projet'!$E$9+1,1))</f>
        <v>181.92766225683107</v>
      </c>
      <c r="T33" s="59">
        <f t="shared" si="34"/>
        <v>370.52917139565756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3.4555365528391642</v>
      </c>
      <c r="AA33" s="21">
        <f>EXP(-LN(2)/25)*AA32+(1-EXP(-LN(2)/25))/(LN(2)/25)*Calculateur!V33*Calculateur!X33*VLOOKUP('Données projet'!$B$9,Paramètres!$A$1:$I$89,3,0)*0.475*44/12</f>
        <v>10.466747508175892</v>
      </c>
      <c r="AB33" s="21">
        <f>EXP(-LN(2)/2)*AB32+(1-EXP(-LN(2)/2))/(LN(2)/2)*V33*Y33*VLOOKUP('Données projet'!$B$9,Paramètres!$A$1:$I$89,3,0)*0.475*44/12</f>
        <v>0.54694957890166807</v>
      </c>
      <c r="AC33" s="22">
        <f t="shared" si="3"/>
        <v>14.469233639916723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174</v>
      </c>
      <c r="AG33" s="12">
        <f>VLOOKUP(A33,'Données projet'!$A$61:$I$81,9,0)</f>
        <v>12.2</v>
      </c>
      <c r="AH33" s="12">
        <f t="array" ref="AH33">INDEX(AG:AG,MIN(IF(ISNUMBER(AG33:AG229),ROW(AG33:AG229),"")))</f>
        <v>12.2</v>
      </c>
      <c r="AI33" s="13">
        <f>IF('Données projet'!$A$62&gt;35,AI32+AH33-AQ32,IF(A33&lt;'Données projet'!$A$62,$AF$205^A33,IF(A33='Données projet'!$A$62,'Données projet'!$B$62,AI32+AH33-AQ32)))</f>
        <v>173.99999999999997</v>
      </c>
      <c r="AJ33" s="13">
        <f>AI33*VLOOKUP('Données projet'!$B$10,Paramètres!$A$1:$I$89,3,0)*VLOOKUP('Données projet'!$B$10,Paramètres!$A$1:$I$89,5,0)</f>
        <v>141.14879999999999</v>
      </c>
      <c r="AK33" s="13">
        <f t="shared" si="35"/>
        <v>36.560054140504484</v>
      </c>
      <c r="AL33" s="20">
        <f t="shared" si="4"/>
        <v>309.50958762804532</v>
      </c>
      <c r="AM33" s="59">
        <f t="shared" si="5"/>
        <v>602.8429209613787</v>
      </c>
      <c r="AN33" s="59">
        <f ca="1">AVERAGE(OFFSET($AM$3,0,0,'Données projet'!$E$10+1,1))-AVERAGE(OFFSET($H$3,0,0,'Données projet'!$E$10+1,1))</f>
        <v>235.31102883830971</v>
      </c>
      <c r="AO33" s="59">
        <f t="shared" si="36"/>
        <v>271.48630853790422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56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0.1075</v>
      </c>
      <c r="AT33" s="16">
        <f>IF(ISNA(VLOOKUP(A33,'Données projet'!$A$61:$I$81,7,0)),0%,VLOOKUP(A33,'Données projet'!$A$61:$I$81,7,0))</f>
        <v>0.25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8.5063763912707451</v>
      </c>
      <c r="AW33" s="21">
        <f>EXP(-LN(2)/2)*AW32+(1-EXP(-LN(2)/2))/(LN(2)/2)*AQ33*AT33*VLOOKUP('Données projet'!$B$10,Paramètres!$A$1:$I$89,3,0)*0.475*44/12</f>
        <v>10.972569342106874</v>
      </c>
      <c r="AX33" s="21">
        <f t="shared" si="6"/>
        <v>19.478945733377621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54</v>
      </c>
      <c r="BB33" s="12">
        <f>VLOOKUP(A33,'Données projet'!$A$87:$I$107,9,0)</f>
        <v>4.8</v>
      </c>
      <c r="BC33" s="12">
        <f t="array" ref="BC33">INDEX(BB:BB,MIN(IF(ISNUMBER(BB33:BB229),ROW(BB33:BB229),"")))</f>
        <v>4.8</v>
      </c>
      <c r="BD33" s="12">
        <f>IF('Données projet'!$A$88&gt;35,BD32+BC33-BL32,IF(A33&lt;'Données projet'!$A$88,$BA$205^A33,IF(A33='Données projet'!$A$88,'Données projet'!$B$88,BD32+BC33-BL32)))</f>
        <v>53.999999999999986</v>
      </c>
      <c r="BE33" s="13">
        <f>BD33*VLOOKUP('Données projet'!$B$11,Paramètres!$A$1:$I$89,3,0)*VLOOKUP('Données projet'!$B$11,Paramètres!$A$1:$I$89,5,0)</f>
        <v>61.495199999999983</v>
      </c>
      <c r="BF33" s="13">
        <f t="shared" si="37"/>
        <v>17.545759224285259</v>
      </c>
      <c r="BG33" s="20">
        <f t="shared" si="7"/>
        <v>137.6630039822968</v>
      </c>
      <c r="BH33" s="59">
        <f t="shared" si="8"/>
        <v>430.99633731563011</v>
      </c>
      <c r="BI33" s="59">
        <f ca="1">AVERAGE(OFFSET($BH$3,0,0,'Données projet'!$E$11+1,1))-AVERAGE(OFFSET($H$3,0,0,'Données projet'!$E$11+1,1))</f>
        <v>249.01678065306629</v>
      </c>
      <c r="BJ33" s="59">
        <f t="shared" si="38"/>
        <v>99.639724892155641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>
        <f>BY33*VLOOKUP('Données projet'!$B$12,Paramètres!$A$1:$I$89,3,0)*VLOOKUP('Données projet'!$B$12,Paramètres!$A$1:$I$89,5,0)</f>
        <v>0</v>
      </c>
      <c r="CA33" s="13" t="e">
        <f t="shared" si="39"/>
        <v>#NUM!</v>
      </c>
      <c r="CB33" s="20" t="e">
        <f t="shared" si="10"/>
        <v>#NUM!</v>
      </c>
      <c r="CC33" s="59" t="e">
        <f t="shared" si="11"/>
        <v>#NUM!</v>
      </c>
      <c r="CD33" s="59">
        <f ca="1">AVERAGE(OFFSET($CC$3,0,0,'Données projet'!$E$12+1,1))-AVERAGE(OFFSET($H$3,0,0,'Données projet'!$E$12+1,1))</f>
        <v>0</v>
      </c>
      <c r="CE33" s="59">
        <f t="shared" si="40"/>
        <v>0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>
        <f>CT33*VLOOKUP('Données projet'!$B$13,Paramètres!$A$1:$I$89,3,0)*VLOOKUP('Données projet'!$B$13,Paramètres!$A$1:$I$89,5,0)</f>
        <v>0</v>
      </c>
      <c r="CV33" s="13" t="e">
        <f t="shared" si="41"/>
        <v>#NUM!</v>
      </c>
      <c r="CW33" s="20" t="e">
        <f t="shared" si="13"/>
        <v>#NUM!</v>
      </c>
      <c r="CX33" s="59" t="e">
        <f t="shared" si="14"/>
        <v>#NUM!</v>
      </c>
      <c r="CY33" s="59">
        <f ca="1">AVERAGE(OFFSET($CX$3,0,0,'Données projet'!$E$13+1,1))-AVERAGE(OFFSET($H$3,0,0,'Données projet'!$E$13+1,1))</f>
        <v>0</v>
      </c>
      <c r="CZ33" s="59">
        <f t="shared" si="42"/>
        <v>0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>
        <f>EXP(-LN(2)/35)*DF32+(1-EXP(-LN(2)/35))/(LN(2)/35)*DB33*DC33*VLOOKUP('Données projet'!$B$13,Paramètres!$A$1:$I$89,3,0)*0.475*44/12</f>
        <v>0</v>
      </c>
      <c r="DG33" s="21">
        <f>EXP(-LN(2)/25)*DG32+(1-EXP(-LN(2)/25))/(LN(2)/25)*Calculateur!DB33*Calculateur!DD33*VLOOKUP('Données projet'!$B$13,Paramètres!$A$1:$I$89,3,0)*0.475*44/12</f>
        <v>0</v>
      </c>
      <c r="DH33" s="21">
        <f>EXP(-LN(2)/2)*DH32+(1-EXP(-LN(2)/2))/(LN(2)/2)*DB33*DE33*VLOOKUP('Données projet'!$B$13,Paramètres!$A$1:$I$89,3,0)*0.475*44/12</f>
        <v>0</v>
      </c>
      <c r="DI33" s="22">
        <f t="shared" si="15"/>
        <v>0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16.266666666666666</v>
      </c>
      <c r="N34" s="13">
        <f>IF('Données projet'!$A$36&gt;35,N33+M34-V33,IF(A34&lt;'Données projet'!$A$36,$K$205^A34,IF(A34='Données projet'!$A$36,'Données projet'!$B$36,N33+M34-V33)))</f>
        <v>329.93333333333317</v>
      </c>
      <c r="O34" s="13">
        <f>N34*VLOOKUP('Données projet'!$B$9,Paramètres!$A$1:$I$89,3,0)*VLOOKUP('Données projet'!$B$9,Paramètres!$A$1:$I$89,5,0)</f>
        <v>197.30013333333326</v>
      </c>
      <c r="P34" s="13">
        <f t="shared" si="33"/>
        <v>49.15035021891218</v>
      </c>
      <c r="Q34" s="20">
        <f t="shared" si="2"/>
        <v>429.23459218682746</v>
      </c>
      <c r="R34" s="59">
        <f t="shared" si="0"/>
        <v>722.56792552016077</v>
      </c>
      <c r="S34" s="59">
        <f ca="1">AVERAGE(OFFSET($R$3,0,0,'Données projet'!$E$9+1,1))-AVERAGE(OFFSET($H$3,0,0,'Données projet'!$E$9+1,1))</f>
        <v>181.92766225683107</v>
      </c>
      <c r="T34" s="59">
        <f t="shared" si="34"/>
        <v>370.52917139565756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3.3877755887071705</v>
      </c>
      <c r="AA34" s="21">
        <f>EXP(-LN(2)/25)*AA33+(1-EXP(-LN(2)/25))/(LN(2)/25)*Calculateur!V34*Calculateur!X34*VLOOKUP('Données projet'!$B$9,Paramètres!$A$1:$I$89,3,0)*0.475*44/12</f>
        <v>10.180533747142492</v>
      </c>
      <c r="AB34" s="21">
        <f>EXP(-LN(2)/2)*AB33+(1-EXP(-LN(2)/2))/(LN(2)/2)*V34*Y34*VLOOKUP('Données projet'!$B$9,Paramètres!$A$1:$I$89,3,0)*0.475*44/12</f>
        <v>0.38675175620849611</v>
      </c>
      <c r="AC34" s="22">
        <f t="shared" si="3"/>
        <v>13.955061092058159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10.199999999999999</v>
      </c>
      <c r="AI34" s="13">
        <f>IF('Données projet'!$A$62&gt;35,AI33+AH34-AQ33,IF(A34&lt;'Données projet'!$A$62,$AF$205^A34,IF(A34='Données projet'!$A$62,'Données projet'!$B$62,AI33+AH34-AQ33)))</f>
        <v>128.19999999999996</v>
      </c>
      <c r="AJ34" s="13">
        <f>AI34*VLOOKUP('Données projet'!$B$10,Paramètres!$A$1:$I$89,3,0)*VLOOKUP('Données projet'!$B$10,Paramètres!$A$1:$I$89,5,0)</f>
        <v>103.99583999999999</v>
      </c>
      <c r="AK34" s="13">
        <f t="shared" si="35"/>
        <v>27.911769723878031</v>
      </c>
      <c r="AL34" s="20">
        <f t="shared" si="4"/>
        <v>229.73908693575422</v>
      </c>
      <c r="AM34" s="59">
        <f t="shared" si="5"/>
        <v>523.0724202690875</v>
      </c>
      <c r="AN34" s="59">
        <f ca="1">AVERAGE(OFFSET($AM$3,0,0,'Données projet'!$E$10+1,1))-AVERAGE(OFFSET($H$3,0,0,'Données projet'!$E$10+1,1))</f>
        <v>235.31102883830971</v>
      </c>
      <c r="AO34" s="59">
        <f t="shared" si="36"/>
        <v>271.48630853790422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8.2737690815205536</v>
      </c>
      <c r="AW34" s="21">
        <f>EXP(-LN(2)/2)*AW33+(1-EXP(-LN(2)/2))/(LN(2)/2)*AQ34*AT34*VLOOKUP('Données projet'!$B$10,Paramètres!$A$1:$I$89,3,0)*0.475*44/12</f>
        <v>7.7587781888433858</v>
      </c>
      <c r="AX34" s="21">
        <f t="shared" si="6"/>
        <v>16.032547270363938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5.2</v>
      </c>
      <c r="BD34" s="12">
        <f>IF('Données projet'!$A$88&gt;35,BD33+BC34-BL33,IF(A34&lt;'Données projet'!$A$88,$BA$205^A34,IF(A34='Données projet'!$A$88,'Données projet'!$B$88,BD33+BC34-BL33)))</f>
        <v>59.199999999999989</v>
      </c>
      <c r="BE34" s="13">
        <f>BD34*VLOOKUP('Données projet'!$B$11,Paramètres!$A$1:$I$89,3,0)*VLOOKUP('Données projet'!$B$11,Paramètres!$A$1:$I$89,5,0)</f>
        <v>67.416959999999989</v>
      </c>
      <c r="BF34" s="13">
        <f t="shared" si="37"/>
        <v>19.030600798613836</v>
      </c>
      <c r="BG34" s="20">
        <f t="shared" si="7"/>
        <v>150.56283505758572</v>
      </c>
      <c r="BH34" s="59">
        <f t="shared" si="8"/>
        <v>443.896168390919</v>
      </c>
      <c r="BI34" s="59">
        <f ca="1">AVERAGE(OFFSET($BH$3,0,0,'Données projet'!$E$11+1,1))-AVERAGE(OFFSET($H$3,0,0,'Données projet'!$E$11+1,1))</f>
        <v>249.01678065306629</v>
      </c>
      <c r="BJ34" s="59">
        <f t="shared" si="38"/>
        <v>99.639724892155641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>
        <f>BY34*VLOOKUP('Données projet'!$B$12,Paramètres!$A$1:$I$89,3,0)*VLOOKUP('Données projet'!$B$12,Paramètres!$A$1:$I$89,5,0)</f>
        <v>0</v>
      </c>
      <c r="CA34" s="13" t="e">
        <f t="shared" si="39"/>
        <v>#NUM!</v>
      </c>
      <c r="CB34" s="20" t="e">
        <f t="shared" si="10"/>
        <v>#NUM!</v>
      </c>
      <c r="CC34" s="59" t="e">
        <f t="shared" si="11"/>
        <v>#NUM!</v>
      </c>
      <c r="CD34" s="59">
        <f ca="1">AVERAGE(OFFSET($CC$3,0,0,'Données projet'!$E$12+1,1))-AVERAGE(OFFSET($H$3,0,0,'Données projet'!$E$12+1,1))</f>
        <v>0</v>
      </c>
      <c r="CE34" s="59">
        <f t="shared" si="40"/>
        <v>0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>
        <f>CT34*VLOOKUP('Données projet'!$B$13,Paramètres!$A$1:$I$89,3,0)*VLOOKUP('Données projet'!$B$13,Paramètres!$A$1:$I$89,5,0)</f>
        <v>0</v>
      </c>
      <c r="CV34" s="13" t="e">
        <f t="shared" si="41"/>
        <v>#NUM!</v>
      </c>
      <c r="CW34" s="20" t="e">
        <f t="shared" si="13"/>
        <v>#NUM!</v>
      </c>
      <c r="CX34" s="59" t="e">
        <f t="shared" si="14"/>
        <v>#NUM!</v>
      </c>
      <c r="CY34" s="59">
        <f ca="1">AVERAGE(OFFSET($CX$3,0,0,'Données projet'!$E$13+1,1))-AVERAGE(OFFSET($H$3,0,0,'Données projet'!$E$13+1,1))</f>
        <v>0</v>
      </c>
      <c r="CZ34" s="59">
        <f t="shared" si="42"/>
        <v>0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0</v>
      </c>
      <c r="DG34" s="21">
        <f>EXP(-LN(2)/25)*DG33+(1-EXP(-LN(2)/25))/(LN(2)/25)*Calculateur!DB34*Calculateur!DD34*VLOOKUP('Données projet'!$B$13,Paramètres!$A$1:$I$89,3,0)*0.475*44/12</f>
        <v>0</v>
      </c>
      <c r="DH34" s="21">
        <f>EXP(-LN(2)/2)*DH33+(1-EXP(-LN(2)/2))/(LN(2)/2)*DB34*DE34*VLOOKUP('Données projet'!$B$13,Paramètres!$A$1:$I$89,3,0)*0.475*44/12</f>
        <v>0</v>
      </c>
      <c r="DI34" s="22">
        <f t="shared" si="15"/>
        <v>0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16.266666666666666</v>
      </c>
      <c r="N35" s="13">
        <f>IF('Données projet'!$A$36&gt;35,N34+M35-V34,IF(A35&lt;'Données projet'!$A$36,$K$205^A35,IF(A35='Données projet'!$A$36,'Données projet'!$B$36,N34+M35-V34)))</f>
        <v>346.19999999999982</v>
      </c>
      <c r="O35" s="13">
        <f>N35*VLOOKUP('Données projet'!$B$9,Paramètres!$A$1:$I$89,3,0)*VLOOKUP('Données projet'!$B$9,Paramètres!$A$1:$I$89,5,0)</f>
        <v>207.02759999999992</v>
      </c>
      <c r="P35" s="13">
        <f t="shared" si="33"/>
        <v>51.285503592951095</v>
      </c>
      <c r="Q35" s="20">
        <f t="shared" ref="Q35:Q66" si="53">(O35+P35)*0.475*44/12</f>
        <v>449.89532209105636</v>
      </c>
      <c r="R35" s="59">
        <f t="shared" si="0"/>
        <v>743.22865542438967</v>
      </c>
      <c r="S35" s="59">
        <f ca="1">AVERAGE(OFFSET($R$3,0,0,'Données projet'!$E$9+1,1))-AVERAGE(OFFSET($H$3,0,0,'Données projet'!$E$9+1,1))</f>
        <v>181.92766225683107</v>
      </c>
      <c r="T35" s="59">
        <f t="shared" si="34"/>
        <v>370.52917139565756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3.3213433757516979</v>
      </c>
      <c r="AA35" s="21">
        <f>EXP(-LN(2)/25)*AA34+(1-EXP(-LN(2)/25))/(LN(2)/25)*Calculateur!V35*Calculateur!X35*VLOOKUP('Données projet'!$B$9,Paramètres!$A$1:$I$89,3,0)*0.475*44/12</f>
        <v>9.9021465164558791</v>
      </c>
      <c r="AB35" s="21">
        <f>EXP(-LN(2)/2)*AB34+(1-EXP(-LN(2)/2))/(LN(2)/2)*V35*Y35*VLOOKUP('Données projet'!$B$9,Paramètres!$A$1:$I$89,3,0)*0.475*44/12</f>
        <v>0.27347478945083403</v>
      </c>
      <c r="AC35" s="22">
        <f t="shared" si="3"/>
        <v>13.496964681658412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10.199999999999999</v>
      </c>
      <c r="AI35" s="13">
        <f>IF('Données projet'!$A$62&gt;35,AI34+AH35-AQ34,IF(A35&lt;'Données projet'!$A$62,$AF$205^A35,IF(A35='Données projet'!$A$62,'Données projet'!$B$62,AI34+AH35-AQ34)))</f>
        <v>138.39999999999995</v>
      </c>
      <c r="AJ35" s="13">
        <f>AI35*VLOOKUP('Données projet'!$B$10,Paramètres!$A$1:$I$89,3,0)*VLOOKUP('Données projet'!$B$10,Paramètres!$A$1:$I$89,5,0)</f>
        <v>112.27007999999996</v>
      </c>
      <c r="AK35" s="13">
        <f t="shared" si="35"/>
        <v>29.86519561157689</v>
      </c>
      <c r="AL35" s="20">
        <f t="shared" si="4"/>
        <v>247.552271690163</v>
      </c>
      <c r="AM35" s="59">
        <f t="shared" si="5"/>
        <v>540.88560502349628</v>
      </c>
      <c r="AN35" s="59">
        <f ca="1">AVERAGE(OFFSET($AM$3,0,0,'Données projet'!$E$10+1,1))-AVERAGE(OFFSET($H$3,0,0,'Données projet'!$E$10+1,1))</f>
        <v>235.31102883830971</v>
      </c>
      <c r="AO35" s="59">
        <f t="shared" si="36"/>
        <v>271.48630853790422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8.0475224308877689</v>
      </c>
      <c r="AW35" s="21">
        <f>EXP(-LN(2)/2)*AW34+(1-EXP(-LN(2)/2))/(LN(2)/2)*AQ35*AT35*VLOOKUP('Données projet'!$B$10,Paramètres!$A$1:$I$89,3,0)*0.475*44/12</f>
        <v>5.4862846710534381</v>
      </c>
      <c r="AX35" s="21">
        <f t="shared" si="6"/>
        <v>13.533807101941207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5.2</v>
      </c>
      <c r="BD35" s="12">
        <f>IF('Données projet'!$A$88&gt;35,BD34+BC35-BL34,IF(A35&lt;'Données projet'!$A$88,$BA$205^A35,IF(A35='Données projet'!$A$88,'Données projet'!$B$88,BD34+BC35-BL34)))</f>
        <v>64.399999999999991</v>
      </c>
      <c r="BE35" s="13">
        <f>BD35*VLOOKUP('Données projet'!$B$11,Paramètres!$A$1:$I$89,3,0)*VLOOKUP('Données projet'!$B$11,Paramètres!$A$1:$I$89,5,0)</f>
        <v>73.338719999999995</v>
      </c>
      <c r="BF35" s="13">
        <f t="shared" si="37"/>
        <v>20.500317703224091</v>
      </c>
      <c r="BG35" s="20">
        <f t="shared" si="7"/>
        <v>163.43632399978193</v>
      </c>
      <c r="BH35" s="59">
        <f t="shared" si="8"/>
        <v>456.76965733311522</v>
      </c>
      <c r="BI35" s="59">
        <f ca="1">AVERAGE(OFFSET($BH$3,0,0,'Données projet'!$E$11+1,1))-AVERAGE(OFFSET($H$3,0,0,'Données projet'!$E$11+1,1))</f>
        <v>249.01678065306629</v>
      </c>
      <c r="BJ35" s="59">
        <f t="shared" si="38"/>
        <v>99.639724892155641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>
        <f>BY35*VLOOKUP('Données projet'!$B$12,Paramètres!$A$1:$I$89,3,0)*VLOOKUP('Données projet'!$B$12,Paramètres!$A$1:$I$89,5,0)</f>
        <v>0</v>
      </c>
      <c r="CA35" s="13" t="e">
        <f t="shared" si="39"/>
        <v>#NUM!</v>
      </c>
      <c r="CB35" s="20" t="e">
        <f t="shared" si="10"/>
        <v>#NUM!</v>
      </c>
      <c r="CC35" s="59" t="e">
        <f t="shared" si="11"/>
        <v>#NUM!</v>
      </c>
      <c r="CD35" s="59">
        <f ca="1">AVERAGE(OFFSET($CC$3,0,0,'Données projet'!$E$12+1,1))-AVERAGE(OFFSET($H$3,0,0,'Données projet'!$E$12+1,1))</f>
        <v>0</v>
      </c>
      <c r="CE35" s="59">
        <f t="shared" si="40"/>
        <v>0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>
        <f>CT35*VLOOKUP('Données projet'!$B$13,Paramètres!$A$1:$I$89,3,0)*VLOOKUP('Données projet'!$B$13,Paramètres!$A$1:$I$89,5,0)</f>
        <v>0</v>
      </c>
      <c r="CV35" s="13" t="e">
        <f t="shared" si="41"/>
        <v>#NUM!</v>
      </c>
      <c r="CW35" s="20" t="e">
        <f t="shared" si="13"/>
        <v>#NUM!</v>
      </c>
      <c r="CX35" s="59" t="e">
        <f t="shared" si="14"/>
        <v>#NUM!</v>
      </c>
      <c r="CY35" s="59">
        <f ca="1">AVERAGE(OFFSET($CX$3,0,0,'Données projet'!$E$13+1,1))-AVERAGE(OFFSET($H$3,0,0,'Données projet'!$E$13+1,1))</f>
        <v>0</v>
      </c>
      <c r="CZ35" s="59">
        <f t="shared" si="42"/>
        <v>0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0</v>
      </c>
      <c r="DG35" s="21">
        <f>EXP(-LN(2)/25)*DG34+(1-EXP(-LN(2)/25))/(LN(2)/25)*Calculateur!DB35*Calculateur!DD35*VLOOKUP('Données projet'!$B$13,Paramètres!$A$1:$I$89,3,0)*0.475*44/12</f>
        <v>0</v>
      </c>
      <c r="DH35" s="21">
        <f>EXP(-LN(2)/2)*DH34+(1-EXP(-LN(2)/2))/(LN(2)/2)*DB35*DE35*VLOOKUP('Données projet'!$B$13,Paramètres!$A$1:$I$89,3,0)*0.475*44/12</f>
        <v>0</v>
      </c>
      <c r="DI35" s="22">
        <f t="shared" si="15"/>
        <v>0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16.266666666666666</v>
      </c>
      <c r="N36" s="13">
        <f>IF('Données projet'!$A$36&gt;35,N35+M36-V35,IF(A36&lt;'Données projet'!$A$36,$K$205^A36,IF(A36='Données projet'!$A$36,'Données projet'!$B$36,N35+M36-V35)))</f>
        <v>362.46666666666647</v>
      </c>
      <c r="O36" s="13">
        <f>N36*VLOOKUP('Données projet'!$B$9,Paramètres!$A$1:$I$89,3,0)*VLOOKUP('Données projet'!$B$9,Paramètres!$A$1:$I$89,5,0)</f>
        <v>216.75506666666658</v>
      </c>
      <c r="P36" s="13">
        <f t="shared" si="33"/>
        <v>53.409006717119425</v>
      </c>
      <c r="Q36" s="20">
        <f t="shared" si="53"/>
        <v>470.53576114342724</v>
      </c>
      <c r="R36" s="59">
        <f t="shared" si="0"/>
        <v>763.86909447676055</v>
      </c>
      <c r="S36" s="59">
        <f ca="1">AVERAGE(OFFSET($R$3,0,0,'Données projet'!$E$9+1,1))-AVERAGE(OFFSET($H$3,0,0,'Données projet'!$E$9+1,1))</f>
        <v>181.92766225683107</v>
      </c>
      <c r="T36" s="59">
        <f t="shared" si="34"/>
        <v>370.52917139565756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3.2562138579726332</v>
      </c>
      <c r="AA36" s="21">
        <f>EXP(-LN(2)/25)*AA35+(1-EXP(-LN(2)/25))/(LN(2)/25)*Calculateur!V36*Calculateur!X36*VLOOKUP('Données projet'!$B$9,Paramètres!$A$1:$I$89,3,0)*0.475*44/12</f>
        <v>9.6313717992321397</v>
      </c>
      <c r="AB36" s="21">
        <f>EXP(-LN(2)/2)*AB35+(1-EXP(-LN(2)/2))/(LN(2)/2)*V36*Y36*VLOOKUP('Données projet'!$B$9,Paramètres!$A$1:$I$89,3,0)*0.475*44/12</f>
        <v>0.19337587810424806</v>
      </c>
      <c r="AC36" s="22">
        <f t="shared" si="3"/>
        <v>13.080961535309022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10.199999999999999</v>
      </c>
      <c r="AI36" s="13">
        <f>IF('Données projet'!$A$62&gt;35,AI35+AH36-AQ35,IF(A36&lt;'Données projet'!$A$62,$AF$205^A36,IF(A36='Données projet'!$A$62,'Données projet'!$B$62,AI35+AH36-AQ35)))</f>
        <v>148.59999999999994</v>
      </c>
      <c r="AJ36" s="13">
        <f>AI36*VLOOKUP('Données projet'!$B$10,Paramètres!$A$1:$I$89,3,0)*VLOOKUP('Données projet'!$B$10,Paramètres!$A$1:$I$89,5,0)</f>
        <v>120.54431999999997</v>
      </c>
      <c r="AK36" s="13">
        <f t="shared" si="35"/>
        <v>31.80191953664422</v>
      </c>
      <c r="AL36" s="20">
        <f t="shared" si="4"/>
        <v>265.33636719298863</v>
      </c>
      <c r="AM36" s="59">
        <f t="shared" si="5"/>
        <v>558.669700526322</v>
      </c>
      <c r="AN36" s="59">
        <f ca="1">AVERAGE(OFFSET($AM$3,0,0,'Données projet'!$E$10+1,1))-AVERAGE(OFFSET($H$3,0,0,'Données projet'!$E$10+1,1))</f>
        <v>235.31102883830971</v>
      </c>
      <c r="AO36" s="59">
        <f t="shared" si="36"/>
        <v>271.48630853790422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7.8274625068143306</v>
      </c>
      <c r="AW36" s="21">
        <f>EXP(-LN(2)/2)*AW35+(1-EXP(-LN(2)/2))/(LN(2)/2)*AQ36*AT36*VLOOKUP('Données projet'!$B$10,Paramètres!$A$1:$I$89,3,0)*0.475*44/12</f>
        <v>3.8793890944216938</v>
      </c>
      <c r="AX36" s="21">
        <f t="shared" si="6"/>
        <v>11.706851601236025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5.2</v>
      </c>
      <c r="BD36" s="12">
        <f>IF('Données projet'!$A$88&gt;35,BD35+BC36-BL35,IF(A36&lt;'Données projet'!$A$88,$BA$205^A36,IF(A36='Données projet'!$A$88,'Données projet'!$B$88,BD35+BC36-BL35)))</f>
        <v>69.599999999999994</v>
      </c>
      <c r="BE36" s="13">
        <f>BD36*VLOOKUP('Données projet'!$B$11,Paramètres!$A$1:$I$89,3,0)*VLOOKUP('Données projet'!$B$11,Paramètres!$A$1:$I$89,5,0)</f>
        <v>79.260479999999987</v>
      </c>
      <c r="BF36" s="13">
        <f t="shared" si="37"/>
        <v>21.956270028417133</v>
      </c>
      <c r="BG36" s="20">
        <f t="shared" si="7"/>
        <v>176.28583963282645</v>
      </c>
      <c r="BH36" s="59">
        <f t="shared" si="8"/>
        <v>469.61917296615979</v>
      </c>
      <c r="BI36" s="59">
        <f ca="1">AVERAGE(OFFSET($BH$3,0,0,'Données projet'!$E$11+1,1))-AVERAGE(OFFSET($H$3,0,0,'Données projet'!$E$11+1,1))</f>
        <v>249.01678065306629</v>
      </c>
      <c r="BJ36" s="59">
        <f t="shared" si="38"/>
        <v>99.639724892155641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>
        <f>BY36*VLOOKUP('Données projet'!$B$12,Paramètres!$A$1:$I$89,3,0)*VLOOKUP('Données projet'!$B$12,Paramètres!$A$1:$I$89,5,0)</f>
        <v>0</v>
      </c>
      <c r="CA36" s="13" t="e">
        <f t="shared" si="39"/>
        <v>#NUM!</v>
      </c>
      <c r="CB36" s="20" t="e">
        <f t="shared" si="10"/>
        <v>#NUM!</v>
      </c>
      <c r="CC36" s="59" t="e">
        <f t="shared" si="11"/>
        <v>#NUM!</v>
      </c>
      <c r="CD36" s="59">
        <f ca="1">AVERAGE(OFFSET($CC$3,0,0,'Données projet'!$E$12+1,1))-AVERAGE(OFFSET($H$3,0,0,'Données projet'!$E$12+1,1))</f>
        <v>0</v>
      </c>
      <c r="CE36" s="59">
        <f t="shared" si="40"/>
        <v>0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>
        <f>CT36*VLOOKUP('Données projet'!$B$13,Paramètres!$A$1:$I$89,3,0)*VLOOKUP('Données projet'!$B$13,Paramètres!$A$1:$I$89,5,0)</f>
        <v>0</v>
      </c>
      <c r="CV36" s="13" t="e">
        <f t="shared" si="41"/>
        <v>#NUM!</v>
      </c>
      <c r="CW36" s="20" t="e">
        <f t="shared" si="13"/>
        <v>#NUM!</v>
      </c>
      <c r="CX36" s="59" t="e">
        <f t="shared" si="14"/>
        <v>#NUM!</v>
      </c>
      <c r="CY36" s="59">
        <f ca="1">AVERAGE(OFFSET($CX$3,0,0,'Données projet'!$E$13+1,1))-AVERAGE(OFFSET($H$3,0,0,'Données projet'!$E$13+1,1))</f>
        <v>0</v>
      </c>
      <c r="CZ36" s="59">
        <f t="shared" si="42"/>
        <v>0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0</v>
      </c>
      <c r="DG36" s="21">
        <f>EXP(-LN(2)/25)*DG35+(1-EXP(-LN(2)/25))/(LN(2)/25)*Calculateur!DB36*Calculateur!DD36*VLOOKUP('Données projet'!$B$13,Paramètres!$A$1:$I$89,3,0)*0.475*44/12</f>
        <v>0</v>
      </c>
      <c r="DH36" s="21">
        <f>EXP(-LN(2)/2)*DH35+(1-EXP(-LN(2)/2))/(LN(2)/2)*DB36*DE36*VLOOKUP('Données projet'!$B$13,Paramètres!$A$1:$I$89,3,0)*0.475*44/12</f>
        <v>0</v>
      </c>
      <c r="DI36" s="22">
        <f t="shared" si="15"/>
        <v>0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16.266666666666666</v>
      </c>
      <c r="N37" s="13">
        <f>IF('Données projet'!$A$36&gt;35,N36+M37-V36,IF(A37&lt;'Données projet'!$A$36,$K$205^A37,IF(A37='Données projet'!$A$36,'Données projet'!$B$36,N36+M37-V36)))</f>
        <v>378.73333333333312</v>
      </c>
      <c r="O37" s="13">
        <f>N37*VLOOKUP('Données projet'!$B$9,Paramètres!$A$1:$I$89,3,0)*VLOOKUP('Données projet'!$B$9,Paramètres!$A$1:$I$89,5,0)</f>
        <v>226.48253333333324</v>
      </c>
      <c r="P37" s="13">
        <f t="shared" si="33"/>
        <v>55.521442163454111</v>
      </c>
      <c r="Q37" s="20">
        <f t="shared" si="53"/>
        <v>491.15692399023789</v>
      </c>
      <c r="R37" s="59">
        <f t="shared" si="0"/>
        <v>784.4902573235712</v>
      </c>
      <c r="S37" s="59">
        <f ca="1">AVERAGE(OFFSET($R$3,0,0,'Données projet'!$E$9+1,1))-AVERAGE(OFFSET($H$3,0,0,'Données projet'!$E$9+1,1))</f>
        <v>181.92766225683107</v>
      </c>
      <c r="T37" s="59">
        <f t="shared" si="34"/>
        <v>370.52917139565756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3.1923614903121327</v>
      </c>
      <c r="AA37" s="21">
        <f>EXP(-LN(2)/25)*AA36+(1-EXP(-LN(2)/25))/(LN(2)/25)*Calculateur!V37*Calculateur!X37*VLOOKUP('Données projet'!$B$9,Paramètres!$A$1:$I$89,3,0)*0.475*44/12</f>
        <v>9.3680014308903061</v>
      </c>
      <c r="AB37" s="21">
        <f>EXP(-LN(2)/2)*AB36+(1-EXP(-LN(2)/2))/(LN(2)/2)*V37*Y37*VLOOKUP('Données projet'!$B$9,Paramètres!$A$1:$I$89,3,0)*0.475*44/12</f>
        <v>0.13673739472541702</v>
      </c>
      <c r="AC37" s="22">
        <f t="shared" si="3"/>
        <v>12.697100315927855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10.199999999999999</v>
      </c>
      <c r="AI37" s="13">
        <f>IF('Données projet'!$A$62&gt;35,AI36+AH37-AQ36,IF(A37&lt;'Données projet'!$A$62,$AF$205^A37,IF(A37='Données projet'!$A$62,'Données projet'!$B$62,AI36+AH37-AQ36)))</f>
        <v>158.79999999999993</v>
      </c>
      <c r="AJ37" s="13">
        <f>AI37*VLOOKUP('Données projet'!$B$10,Paramètres!$A$1:$I$89,3,0)*VLOOKUP('Données projet'!$B$10,Paramètres!$A$1:$I$89,5,0)</f>
        <v>128.81855999999996</v>
      </c>
      <c r="AK37" s="13">
        <f t="shared" si="35"/>
        <v>33.723218352057046</v>
      </c>
      <c r="AL37" s="20">
        <f t="shared" si="4"/>
        <v>283.09359729649924</v>
      </c>
      <c r="AM37" s="59">
        <f t="shared" si="5"/>
        <v>576.42693062983255</v>
      </c>
      <c r="AN37" s="59">
        <f ca="1">AVERAGE(OFFSET($AM$3,0,0,'Données projet'!$E$10+1,1))-AVERAGE(OFFSET($H$3,0,0,'Données projet'!$E$10+1,1))</f>
        <v>235.31102883830971</v>
      </c>
      <c r="AO37" s="59">
        <f t="shared" si="36"/>
        <v>271.48630853790422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7.6134201329371294</v>
      </c>
      <c r="AW37" s="21">
        <f>EXP(-LN(2)/2)*AW36+(1-EXP(-LN(2)/2))/(LN(2)/2)*AQ37*AT37*VLOOKUP('Données projet'!$B$10,Paramètres!$A$1:$I$89,3,0)*0.475*44/12</f>
        <v>2.7431423355267195</v>
      </c>
      <c r="AX37" s="21">
        <f t="shared" si="6"/>
        <v>10.356562468463849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5.2</v>
      </c>
      <c r="BD37" s="12">
        <f>IF('Données projet'!$A$88&gt;35,BD36+BC37-BL36,IF(A37&lt;'Données projet'!$A$88,$BA$205^A37,IF(A37='Données projet'!$A$88,'Données projet'!$B$88,BD36+BC37-BL36)))</f>
        <v>74.8</v>
      </c>
      <c r="BE37" s="13">
        <f>BD37*VLOOKUP('Données projet'!$B$11,Paramètres!$A$1:$I$89,3,0)*VLOOKUP('Données projet'!$B$11,Paramètres!$A$1:$I$89,5,0)</f>
        <v>85.182240000000007</v>
      </c>
      <c r="BF37" s="13">
        <f t="shared" si="37"/>
        <v>23.399603100318654</v>
      </c>
      <c r="BG37" s="20">
        <f t="shared" si="7"/>
        <v>189.11337673305502</v>
      </c>
      <c r="BH37" s="59">
        <f t="shared" si="8"/>
        <v>482.44671006638833</v>
      </c>
      <c r="BI37" s="59">
        <f ca="1">AVERAGE(OFFSET($BH$3,0,0,'Données projet'!$E$11+1,1))-AVERAGE(OFFSET($H$3,0,0,'Données projet'!$E$11+1,1))</f>
        <v>249.01678065306629</v>
      </c>
      <c r="BJ37" s="59">
        <f t="shared" si="38"/>
        <v>99.639724892155641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>
        <f>BY37*VLOOKUP('Données projet'!$B$12,Paramètres!$A$1:$I$89,3,0)*VLOOKUP('Données projet'!$B$12,Paramètres!$A$1:$I$89,5,0)</f>
        <v>0</v>
      </c>
      <c r="CA37" s="13" t="e">
        <f t="shared" si="39"/>
        <v>#NUM!</v>
      </c>
      <c r="CB37" s="20" t="e">
        <f t="shared" si="10"/>
        <v>#NUM!</v>
      </c>
      <c r="CC37" s="59" t="e">
        <f t="shared" si="11"/>
        <v>#NUM!</v>
      </c>
      <c r="CD37" s="59">
        <f ca="1">AVERAGE(OFFSET($CC$3,0,0,'Données projet'!$E$12+1,1))-AVERAGE(OFFSET($H$3,0,0,'Données projet'!$E$12+1,1))</f>
        <v>0</v>
      </c>
      <c r="CE37" s="59">
        <f t="shared" si="40"/>
        <v>0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0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>
        <f>CT37*VLOOKUP('Données projet'!$B$13,Paramètres!$A$1:$I$89,3,0)*VLOOKUP('Données projet'!$B$13,Paramètres!$A$1:$I$89,5,0)</f>
        <v>0</v>
      </c>
      <c r="CV37" s="13" t="e">
        <f t="shared" si="41"/>
        <v>#NUM!</v>
      </c>
      <c r="CW37" s="20" t="e">
        <f t="shared" si="13"/>
        <v>#NUM!</v>
      </c>
      <c r="CX37" s="59" t="e">
        <f t="shared" si="14"/>
        <v>#NUM!</v>
      </c>
      <c r="CY37" s="59">
        <f ca="1">AVERAGE(OFFSET($CX$3,0,0,'Données projet'!$E$13+1,1))-AVERAGE(OFFSET($H$3,0,0,'Données projet'!$E$13+1,1))</f>
        <v>0</v>
      </c>
      <c r="CZ37" s="59">
        <f t="shared" si="42"/>
        <v>0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0</v>
      </c>
      <c r="DG37" s="21">
        <f>EXP(-LN(2)/25)*DG36+(1-EXP(-LN(2)/25))/(LN(2)/25)*Calculateur!DB37*Calculateur!DD37*VLOOKUP('Données projet'!$B$13,Paramètres!$A$1:$I$89,3,0)*0.475*44/12</f>
        <v>0</v>
      </c>
      <c r="DH37" s="21">
        <f>EXP(-LN(2)/2)*DH36+(1-EXP(-LN(2)/2))/(LN(2)/2)*DB37*DE37*VLOOKUP('Données projet'!$B$13,Paramètres!$A$1:$I$89,3,0)*0.475*44/12</f>
        <v>0</v>
      </c>
      <c r="DI37" s="22">
        <f t="shared" si="15"/>
        <v>0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395</v>
      </c>
      <c r="L38" s="12">
        <f>VLOOKUP(A38,'Données projet'!$A$35:$I$55,9,0)</f>
        <v>16.266666666666666</v>
      </c>
      <c r="M38" s="12">
        <f t="array" ref="M38">INDEX(L:L,MIN(IF(ISNUMBER(L38:L234),ROW(L38:L234),"")))</f>
        <v>16.266666666666666</v>
      </c>
      <c r="N38" s="13">
        <f>IF('Données projet'!$A$36&gt;35,N37+M38-V37,IF(A38&lt;'Données projet'!$A$36,$K$205^A38,IF(A38='Données projet'!$A$36,'Données projet'!$B$36,N37+M38-V37)))</f>
        <v>394.99999999999977</v>
      </c>
      <c r="O38" s="13">
        <f>N38*VLOOKUP('Données projet'!$B$9,Paramètres!$A$1:$I$89,3,0)*VLOOKUP('Données projet'!$B$9,Paramètres!$A$1:$I$89,5,0)</f>
        <v>236.20999999999989</v>
      </c>
      <c r="P38" s="13">
        <f t="shared" si="33"/>
        <v>57.62333963053873</v>
      </c>
      <c r="Q38" s="20">
        <f t="shared" si="53"/>
        <v>511.75973318985467</v>
      </c>
      <c r="R38" s="59">
        <f t="shared" si="0"/>
        <v>805.09306652318799</v>
      </c>
      <c r="S38" s="59">
        <f ca="1">AVERAGE(OFFSET($R$3,0,0,'Données projet'!$E$9+1,1))-AVERAGE(OFFSET($H$3,0,0,'Données projet'!$E$9+1,1))</f>
        <v>181.92766225683107</v>
      </c>
      <c r="T38" s="59">
        <f t="shared" si="34"/>
        <v>370.52917139565756</v>
      </c>
      <c r="U38" s="15">
        <f>IF(ISNA(VLOOKUP(A38,'Données projet'!$A$35:$I$55,3,0)),0,VLOOKUP(A38,'Données projet'!$A$35:$I$55,3,0))</f>
        <v>3</v>
      </c>
      <c r="V38" s="15">
        <f>IF(ISNA(VLOOKUP(A38,'Données projet'!$A$35:$I$55,4,0)),0,VLOOKUP(A38,'Données projet'!$A$35:$I$55,4,0))</f>
        <v>395</v>
      </c>
      <c r="W38" s="16">
        <f>IF(ISNA(VLOOKUP(A38,'Données projet'!$A$35:$I$55,5,0)),0%,VLOOKUP(A38,'Données projet'!$A$35:$I$55,5,0)*VLOOKUP('Données projet'!$B$9,Paramètres!$A$1:$I$89,7,0))</f>
        <v>0.18000000000000002</v>
      </c>
      <c r="X38" s="16">
        <f>IF(ISNA(VLOOKUP(A38,'Données projet'!$A$35:$I$55,6,0)),0%,VLOOKUP(A38,'Données projet'!$A$35:$I$55,6,0)*VLOOKUP('Données projet'!$B$9,Paramètres!$A$1:$I$89,7,0))</f>
        <v>0.13500000000000001</v>
      </c>
      <c r="Y38" s="16">
        <f>IF(ISNA(VLOOKUP(A38,'Données projet'!$A$35:$I$55,7,0)),0%,VLOOKUP(A38,'Données projet'!$A$35:$I$55,7,0))</f>
        <v>0.3</v>
      </c>
      <c r="Z38" s="21">
        <f>EXP(-LN(2)/35)*Z37+(1-EXP(-LN(2)/35))/(LN(2)/35)*V38*W38*VLOOKUP('Données projet'!$B$9,Paramètres!$A$1:$I$89,3,0)*0.475*44/12</f>
        <v>59.532363432122651</v>
      </c>
      <c r="AA38" s="21">
        <f>EXP(-LN(2)/25)*AA37+(1-EXP(-LN(2)/25))/(LN(2)/25)*Calculateur!V38*Calculateur!X38*VLOOKUP('Données projet'!$B$9,Paramètres!$A$1:$I$89,3,0)*0.475*44/12</f>
        <v>51.247225689772705</v>
      </c>
      <c r="AB38" s="21">
        <f>EXP(-LN(2)/2)*AB37+(1-EXP(-LN(2)/2))/(LN(2)/2)*V38*Y38*VLOOKUP('Données projet'!$B$9,Paramètres!$A$1:$I$89,3,0)*0.475*44/12</f>
        <v>80.330065238670059</v>
      </c>
      <c r="AC38" s="22">
        <f t="shared" si="3"/>
        <v>191.1096543605654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10.199999999999999</v>
      </c>
      <c r="AI38" s="13">
        <f>IF('Données projet'!$A$62&gt;35,AI37+AH38-AQ37,IF(A38&lt;'Données projet'!$A$62,$AF$205^A38,IF(A38='Données projet'!$A$62,'Données projet'!$B$62,AI37+AH38-AQ37)))</f>
        <v>168.99999999999991</v>
      </c>
      <c r="AJ38" s="13">
        <f>AI38*VLOOKUP('Données projet'!$B$10,Paramètres!$A$1:$I$89,3,0)*VLOOKUP('Données projet'!$B$10,Paramètres!$A$1:$I$89,5,0)</f>
        <v>137.09279999999993</v>
      </c>
      <c r="AK38" s="13">
        <f t="shared" si="35"/>
        <v>35.630195607611064</v>
      </c>
      <c r="AL38" s="20">
        <f t="shared" si="4"/>
        <v>300.8258840165891</v>
      </c>
      <c r="AM38" s="59">
        <f t="shared" si="5"/>
        <v>594.15921734992241</v>
      </c>
      <c r="AN38" s="59">
        <f ca="1">AVERAGE(OFFSET($AM$3,0,0,'Données projet'!$E$10+1,1))-AVERAGE(OFFSET($H$3,0,0,'Données projet'!$E$10+1,1))</f>
        <v>235.31102883830971</v>
      </c>
      <c r="AO38" s="59">
        <f t="shared" si="36"/>
        <v>271.48630853790422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7.4052307590295996</v>
      </c>
      <c r="AW38" s="21">
        <f>EXP(-LN(2)/2)*AW37+(1-EXP(-LN(2)/2))/(LN(2)/2)*AQ38*AT38*VLOOKUP('Données projet'!$B$10,Paramètres!$A$1:$I$89,3,0)*0.475*44/12</f>
        <v>1.9396945472108471</v>
      </c>
      <c r="AX38" s="21">
        <f t="shared" si="6"/>
        <v>9.3449253062404463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5.2</v>
      </c>
      <c r="BD38" s="12">
        <f>IF('Données projet'!$A$88&gt;35,BD37+BC38-BL37,IF(A38&lt;'Données projet'!$A$88,$BA$205^A38,IF(A38='Données projet'!$A$88,'Données projet'!$B$88,BD37+BC38-BL37)))</f>
        <v>80</v>
      </c>
      <c r="BE38" s="13">
        <f>BD38*VLOOKUP('Données projet'!$B$11,Paramètres!$A$1:$I$89,3,0)*VLOOKUP('Données projet'!$B$11,Paramètres!$A$1:$I$89,5,0)</f>
        <v>91.103999999999999</v>
      </c>
      <c r="BF38" s="13">
        <f t="shared" si="37"/>
        <v>24.831293984707884</v>
      </c>
      <c r="BG38" s="20">
        <f t="shared" si="7"/>
        <v>201.92063702336623</v>
      </c>
      <c r="BH38" s="59">
        <f t="shared" si="8"/>
        <v>495.25397035669954</v>
      </c>
      <c r="BI38" s="59">
        <f ca="1">AVERAGE(OFFSET($BH$3,0,0,'Données projet'!$E$11+1,1))-AVERAGE(OFFSET($H$3,0,0,'Données projet'!$E$11+1,1))</f>
        <v>249.01678065306629</v>
      </c>
      <c r="BJ38" s="59">
        <f t="shared" si="38"/>
        <v>99.639724892155641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0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>
        <f>BY38*VLOOKUP('Données projet'!$B$12,Paramètres!$A$1:$I$89,3,0)*VLOOKUP('Données projet'!$B$12,Paramètres!$A$1:$I$89,5,0)</f>
        <v>0</v>
      </c>
      <c r="CA38" s="13" t="e">
        <f t="shared" si="39"/>
        <v>#NUM!</v>
      </c>
      <c r="CB38" s="20" t="e">
        <f t="shared" si="10"/>
        <v>#NUM!</v>
      </c>
      <c r="CC38" s="59" t="e">
        <f t="shared" si="11"/>
        <v>#NUM!</v>
      </c>
      <c r="CD38" s="59">
        <f ca="1">AVERAGE(OFFSET($CC$3,0,0,'Données projet'!$E$12+1,1))-AVERAGE(OFFSET($H$3,0,0,'Données projet'!$E$12+1,1))</f>
        <v>0</v>
      </c>
      <c r="CE38" s="59">
        <f t="shared" si="40"/>
        <v>0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0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>
        <f>CT38*VLOOKUP('Données projet'!$B$13,Paramètres!$A$1:$I$89,3,0)*VLOOKUP('Données projet'!$B$13,Paramètres!$A$1:$I$89,5,0)</f>
        <v>0</v>
      </c>
      <c r="CV38" s="13" t="e">
        <f t="shared" si="41"/>
        <v>#NUM!</v>
      </c>
      <c r="CW38" s="20" t="e">
        <f t="shared" si="13"/>
        <v>#NUM!</v>
      </c>
      <c r="CX38" s="59" t="e">
        <f t="shared" si="14"/>
        <v>#NUM!</v>
      </c>
      <c r="CY38" s="59">
        <f ca="1">AVERAGE(OFFSET($CX$3,0,0,'Données projet'!$E$13+1,1))-AVERAGE(OFFSET($H$3,0,0,'Données projet'!$E$13+1,1))</f>
        <v>0</v>
      </c>
      <c r="CZ38" s="59">
        <f t="shared" si="42"/>
        <v>0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0</v>
      </c>
      <c r="DG38" s="21">
        <f>EXP(-LN(2)/25)*DG37+(1-EXP(-LN(2)/25))/(LN(2)/25)*Calculateur!DB38*Calculateur!DD38*VLOOKUP('Données projet'!$B$13,Paramètres!$A$1:$I$89,3,0)*0.475*44/12</f>
        <v>0</v>
      </c>
      <c r="DH38" s="21">
        <f>EXP(-LN(2)/2)*DH37+(1-EXP(-LN(2)/2))/(LN(2)/2)*DB38*DE38*VLOOKUP('Données projet'!$B$13,Paramètres!$A$1:$I$89,3,0)*0.475*44/12</f>
        <v>0</v>
      </c>
      <c r="DI38" s="22">
        <f t="shared" si="15"/>
        <v>0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-2.2737367544323206E-13</v>
      </c>
      <c r="O39" s="13">
        <f>N39*VLOOKUP('Données projet'!$B$9,Paramètres!$A$1:$I$89,3,0)*VLOOKUP('Données projet'!$B$9,Paramètres!$A$1:$I$89,5,0)</f>
        <v>-1.3596945791505279E-13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181.92766225683107</v>
      </c>
      <c r="T39" s="59">
        <f t="shared" si="34"/>
        <v>370.52917139565756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58.364970096374989</v>
      </c>
      <c r="AA39" s="21">
        <f>EXP(-LN(2)/25)*AA38+(1-EXP(-LN(2)/25))/(LN(2)/25)*Calculateur!V39*Calculateur!X39*VLOOKUP('Données projet'!$B$9,Paramètres!$A$1:$I$89,3,0)*0.475*44/12</f>
        <v>49.845867608311401</v>
      </c>
      <c r="AB39" s="21">
        <f>EXP(-LN(2)/2)*AB38+(1-EXP(-LN(2)/2))/(LN(2)/2)*V39*Y39*VLOOKUP('Données projet'!$B$9,Paramètres!$A$1:$I$89,3,0)*0.475*44/12</f>
        <v>56.801933863421361</v>
      </c>
      <c r="AC39" s="22">
        <f t="shared" si="3"/>
        <v>165.01277156810775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10.199999999999999</v>
      </c>
      <c r="AI39" s="13">
        <f>IF('Données projet'!$A$62&gt;35,AI38+AH39-AQ38,IF(A39&lt;'Données projet'!$A$62,$AF$205^A39,IF(A39='Données projet'!$A$62,'Données projet'!$B$62,AI38+AH39-AQ38)))</f>
        <v>179.1999999999999</v>
      </c>
      <c r="AJ39" s="13">
        <f>AI39*VLOOKUP('Données projet'!$B$10,Paramètres!$A$1:$I$89,3,0)*VLOOKUP('Données projet'!$B$10,Paramètres!$A$1:$I$89,5,0)</f>
        <v>145.36703999999995</v>
      </c>
      <c r="AK39" s="13">
        <f t="shared" si="35"/>
        <v>37.523814117080803</v>
      </c>
      <c r="AL39" s="20">
        <f t="shared" si="4"/>
        <v>318.53490425391561</v>
      </c>
      <c r="AM39" s="59">
        <f t="shared" si="5"/>
        <v>611.86823758724893</v>
      </c>
      <c r="AN39" s="59">
        <f ca="1">AVERAGE(OFFSET($AM$3,0,0,'Données projet'!$E$10+1,1))-AVERAGE(OFFSET($H$3,0,0,'Données projet'!$E$10+1,1))</f>
        <v>235.31102883830971</v>
      </c>
      <c r="AO39" s="59">
        <f t="shared" si="36"/>
        <v>271.48630853790422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7.2027343344997741</v>
      </c>
      <c r="AW39" s="21">
        <f>EXP(-LN(2)/2)*AW38+(1-EXP(-LN(2)/2))/(LN(2)/2)*AQ39*AT39*VLOOKUP('Données projet'!$B$10,Paramètres!$A$1:$I$89,3,0)*0.475*44/12</f>
        <v>1.37157116776336</v>
      </c>
      <c r="AX39" s="21">
        <f t="shared" si="6"/>
        <v>8.5743055022631331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5.2</v>
      </c>
      <c r="BD39" s="12">
        <f>IF('Données projet'!$A$88&gt;35,BD38+BC39-BL38,IF(A39&lt;'Données projet'!$A$88,$BA$205^A39,IF(A39='Données projet'!$A$88,'Données projet'!$B$88,BD38+BC39-BL38)))</f>
        <v>85.2</v>
      </c>
      <c r="BE39" s="13">
        <f>BD39*VLOOKUP('Données projet'!$B$11,Paramètres!$A$1:$I$89,3,0)*VLOOKUP('Données projet'!$B$11,Paramètres!$A$1:$I$89,5,0)</f>
        <v>97.025760000000005</v>
      </c>
      <c r="BF39" s="13">
        <f t="shared" si="37"/>
        <v>26.252185545896502</v>
      </c>
      <c r="BG39" s="20">
        <f t="shared" si="7"/>
        <v>214.70908849243639</v>
      </c>
      <c r="BH39" s="59">
        <f t="shared" si="8"/>
        <v>508.04242182576968</v>
      </c>
      <c r="BI39" s="59">
        <f ca="1">AVERAGE(OFFSET($BH$3,0,0,'Données projet'!$E$11+1,1))-AVERAGE(OFFSET($H$3,0,0,'Données projet'!$E$11+1,1))</f>
        <v>249.01678065306629</v>
      </c>
      <c r="BJ39" s="59">
        <f t="shared" si="38"/>
        <v>99.639724892155641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0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>
        <f>BY39*VLOOKUP('Données projet'!$B$12,Paramètres!$A$1:$I$89,3,0)*VLOOKUP('Données projet'!$B$12,Paramètres!$A$1:$I$89,5,0)</f>
        <v>0</v>
      </c>
      <c r="CA39" s="13" t="e">
        <f t="shared" si="39"/>
        <v>#NUM!</v>
      </c>
      <c r="CB39" s="20" t="e">
        <f t="shared" si="10"/>
        <v>#NUM!</v>
      </c>
      <c r="CC39" s="59" t="e">
        <f t="shared" si="11"/>
        <v>#NUM!</v>
      </c>
      <c r="CD39" s="59">
        <f ca="1">AVERAGE(OFFSET($CC$3,0,0,'Données projet'!$E$12+1,1))-AVERAGE(OFFSET($H$3,0,0,'Données projet'!$E$12+1,1))</f>
        <v>0</v>
      </c>
      <c r="CE39" s="59">
        <f t="shared" si="40"/>
        <v>0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0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>
        <f>CT39*VLOOKUP('Données projet'!$B$13,Paramètres!$A$1:$I$89,3,0)*VLOOKUP('Données projet'!$B$13,Paramètres!$A$1:$I$89,5,0)</f>
        <v>0</v>
      </c>
      <c r="CV39" s="13" t="e">
        <f t="shared" si="41"/>
        <v>#NUM!</v>
      </c>
      <c r="CW39" s="20" t="e">
        <f t="shared" si="13"/>
        <v>#NUM!</v>
      </c>
      <c r="CX39" s="59" t="e">
        <f t="shared" si="14"/>
        <v>#NUM!</v>
      </c>
      <c r="CY39" s="59">
        <f ca="1">AVERAGE(OFFSET($CX$3,0,0,'Données projet'!$E$13+1,1))-AVERAGE(OFFSET($H$3,0,0,'Données projet'!$E$13+1,1))</f>
        <v>0</v>
      </c>
      <c r="CZ39" s="59">
        <f t="shared" si="42"/>
        <v>0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0</v>
      </c>
      <c r="DG39" s="21">
        <f>EXP(-LN(2)/25)*DG38+(1-EXP(-LN(2)/25))/(LN(2)/25)*Calculateur!DB39*Calculateur!DD39*VLOOKUP('Données projet'!$B$13,Paramètres!$A$1:$I$89,3,0)*0.475*44/12</f>
        <v>0</v>
      </c>
      <c r="DH39" s="21">
        <f>EXP(-LN(2)/2)*DH38+(1-EXP(-LN(2)/2))/(LN(2)/2)*DB39*DE39*VLOOKUP('Données projet'!$B$13,Paramètres!$A$1:$I$89,3,0)*0.475*44/12</f>
        <v>0</v>
      </c>
      <c r="DI39" s="22">
        <f t="shared" si="15"/>
        <v>0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-2.2737367544323206E-13</v>
      </c>
      <c r="O40" s="13">
        <f>N40*VLOOKUP('Données projet'!$B$9,Paramètres!$A$1:$I$89,3,0)*VLOOKUP('Données projet'!$B$9,Paramètres!$A$1:$I$89,5,0)</f>
        <v>-1.3596945791505279E-13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181.92766225683107</v>
      </c>
      <c r="T40" s="59">
        <f t="shared" si="34"/>
        <v>370.52917139565756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57.220468631901717</v>
      </c>
      <c r="AA40" s="21">
        <f>EXP(-LN(2)/25)*AA39+(1-EXP(-LN(2)/25))/(LN(2)/25)*Calculateur!V40*Calculateur!X40*VLOOKUP('Données projet'!$B$9,Paramètres!$A$1:$I$89,3,0)*0.475*44/12</f>
        <v>48.482829737281875</v>
      </c>
      <c r="AB40" s="21">
        <f>EXP(-LN(2)/2)*AB39+(1-EXP(-LN(2)/2))/(LN(2)/2)*V40*Y40*VLOOKUP('Données projet'!$B$9,Paramètres!$A$1:$I$89,3,0)*0.475*44/12</f>
        <v>40.165032619335037</v>
      </c>
      <c r="AC40" s="22">
        <f t="shared" si="3"/>
        <v>145.86833098851861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10.199999999999999</v>
      </c>
      <c r="AI40" s="13">
        <f>IF('Données projet'!$A$62&gt;35,AI39+AH40-AQ39,IF(A40&lt;'Données projet'!$A$62,$AF$205^A40,IF(A40='Données projet'!$A$62,'Données projet'!$B$62,AI39+AH40-AQ39)))</f>
        <v>189.39999999999989</v>
      </c>
      <c r="AJ40" s="13">
        <f>AI40*VLOOKUP('Données projet'!$B$10,Paramètres!$A$1:$I$89,3,0)*VLOOKUP('Données projet'!$B$10,Paramètres!$A$1:$I$89,5,0)</f>
        <v>153.64127999999991</v>
      </c>
      <c r="AK40" s="13">
        <f t="shared" si="35"/>
        <v>39.404920897415295</v>
      </c>
      <c r="AL40" s="20">
        <f t="shared" si="4"/>
        <v>336.22213322966473</v>
      </c>
      <c r="AM40" s="59">
        <f t="shared" si="5"/>
        <v>629.55546656299805</v>
      </c>
      <c r="AN40" s="59">
        <f ca="1">AVERAGE(OFFSET($AM$3,0,0,'Données projet'!$E$10+1,1))-AVERAGE(OFFSET($H$3,0,0,'Données projet'!$E$10+1,1))</f>
        <v>235.31102883830971</v>
      </c>
      <c r="AO40" s="59">
        <f t="shared" si="36"/>
        <v>271.48630853790422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7.0057751853475407</v>
      </c>
      <c r="AW40" s="21">
        <f>EXP(-LN(2)/2)*AW39+(1-EXP(-LN(2)/2))/(LN(2)/2)*AQ40*AT40*VLOOKUP('Données projet'!$B$10,Paramètres!$A$1:$I$89,3,0)*0.475*44/12</f>
        <v>0.96984727360542367</v>
      </c>
      <c r="AX40" s="21">
        <f t="shared" si="6"/>
        <v>7.9756224589529641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5.2</v>
      </c>
      <c r="BD40" s="12">
        <f>IF('Données projet'!$A$88&gt;35,BD39+BC40-BL39,IF(A40&lt;'Données projet'!$A$88,$BA$205^A40,IF(A40='Données projet'!$A$88,'Données projet'!$B$88,BD39+BC40-BL39)))</f>
        <v>90.4</v>
      </c>
      <c r="BE40" s="13">
        <f>BD40*VLOOKUP('Données projet'!$B$11,Paramètres!$A$1:$I$89,3,0)*VLOOKUP('Données projet'!$B$11,Paramètres!$A$1:$I$89,5,0)</f>
        <v>102.94752000000001</v>
      </c>
      <c r="BF40" s="13">
        <f t="shared" si="37"/>
        <v>27.663011949702902</v>
      </c>
      <c r="BG40" s="20">
        <f t="shared" si="7"/>
        <v>227.4800098123992</v>
      </c>
      <c r="BH40" s="59">
        <f t="shared" si="8"/>
        <v>520.81334314573246</v>
      </c>
      <c r="BI40" s="59">
        <f ca="1">AVERAGE(OFFSET($BH$3,0,0,'Données projet'!$E$11+1,1))-AVERAGE(OFFSET($H$3,0,0,'Données projet'!$E$11+1,1))</f>
        <v>249.01678065306629</v>
      </c>
      <c r="BJ40" s="59">
        <f t="shared" si="38"/>
        <v>99.639724892155641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0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>
        <f>BY40*VLOOKUP('Données projet'!$B$12,Paramètres!$A$1:$I$89,3,0)*VLOOKUP('Données projet'!$B$12,Paramètres!$A$1:$I$89,5,0)</f>
        <v>0</v>
      </c>
      <c r="CA40" s="13" t="e">
        <f t="shared" si="39"/>
        <v>#NUM!</v>
      </c>
      <c r="CB40" s="20" t="e">
        <f t="shared" si="10"/>
        <v>#NUM!</v>
      </c>
      <c r="CC40" s="59" t="e">
        <f t="shared" si="11"/>
        <v>#NUM!</v>
      </c>
      <c r="CD40" s="59">
        <f ca="1">AVERAGE(OFFSET($CC$3,0,0,'Données projet'!$E$12+1,1))-AVERAGE(OFFSET($H$3,0,0,'Données projet'!$E$12+1,1))</f>
        <v>0</v>
      </c>
      <c r="CE40" s="59">
        <f t="shared" si="40"/>
        <v>0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0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>
        <f>CT40*VLOOKUP('Données projet'!$B$13,Paramètres!$A$1:$I$89,3,0)*VLOOKUP('Données projet'!$B$13,Paramètres!$A$1:$I$89,5,0)</f>
        <v>0</v>
      </c>
      <c r="CV40" s="13" t="e">
        <f t="shared" si="41"/>
        <v>#NUM!</v>
      </c>
      <c r="CW40" s="20" t="e">
        <f t="shared" si="13"/>
        <v>#NUM!</v>
      </c>
      <c r="CX40" s="59" t="e">
        <f t="shared" si="14"/>
        <v>#NUM!</v>
      </c>
      <c r="CY40" s="59">
        <f ca="1">AVERAGE(OFFSET($CX$3,0,0,'Données projet'!$E$13+1,1))-AVERAGE(OFFSET($H$3,0,0,'Données projet'!$E$13+1,1))</f>
        <v>0</v>
      </c>
      <c r="CZ40" s="59">
        <f t="shared" si="42"/>
        <v>0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0</v>
      </c>
      <c r="DG40" s="21">
        <f>EXP(-LN(2)/25)*DG39+(1-EXP(-LN(2)/25))/(LN(2)/25)*Calculateur!DB40*Calculateur!DD40*VLOOKUP('Données projet'!$B$13,Paramètres!$A$1:$I$89,3,0)*0.475*44/12</f>
        <v>0</v>
      </c>
      <c r="DH40" s="21">
        <f>EXP(-LN(2)/2)*DH39+(1-EXP(-LN(2)/2))/(LN(2)/2)*DB40*DE40*VLOOKUP('Données projet'!$B$13,Paramètres!$A$1:$I$89,3,0)*0.475*44/12</f>
        <v>0</v>
      </c>
      <c r="DI40" s="22">
        <f t="shared" si="15"/>
        <v>0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-2.2737367544323206E-13</v>
      </c>
      <c r="O41" s="13">
        <f>N41*VLOOKUP('Données projet'!$B$9,Paramètres!$A$1:$I$89,3,0)*VLOOKUP('Données projet'!$B$9,Paramètres!$A$1:$I$89,5,0)</f>
        <v>-1.3596945791505279E-13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181.92766225683107</v>
      </c>
      <c r="T41" s="59">
        <f t="shared" si="34"/>
        <v>370.52917139565756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56.098410143069799</v>
      </c>
      <c r="AA41" s="21">
        <f>EXP(-LN(2)/25)*AA40+(1-EXP(-LN(2)/25))/(LN(2)/25)*Calculateur!V41*Calculateur!X41*VLOOKUP('Données projet'!$B$9,Paramètres!$A$1:$I$89,3,0)*0.475*44/12</f>
        <v>47.157064208514697</v>
      </c>
      <c r="AB41" s="21">
        <f>EXP(-LN(2)/2)*AB40+(1-EXP(-LN(2)/2))/(LN(2)/2)*V41*Y41*VLOOKUP('Données projet'!$B$9,Paramètres!$A$1:$I$89,3,0)*0.475*44/12</f>
        <v>28.400966931710684</v>
      </c>
      <c r="AC41" s="22">
        <f t="shared" si="3"/>
        <v>131.65644128329518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10.199999999999999</v>
      </c>
      <c r="AI41" s="13">
        <f>IF('Données projet'!$A$62&gt;35,AI40+AH41-AQ40,IF(A41&lt;'Données projet'!$A$62,$AF$205^A41,IF(A41='Données projet'!$A$62,'Données projet'!$B$62,AI40+AH41-AQ40)))</f>
        <v>199.59999999999988</v>
      </c>
      <c r="AJ41" s="13">
        <f>AI41*VLOOKUP('Données projet'!$B$10,Paramètres!$A$1:$I$89,3,0)*VLOOKUP('Données projet'!$B$10,Paramètres!$A$1:$I$89,5,0)</f>
        <v>161.91551999999993</v>
      </c>
      <c r="AK41" s="13">
        <f t="shared" si="35"/>
        <v>41.274266582040376</v>
      </c>
      <c r="AL41" s="20">
        <f t="shared" si="4"/>
        <v>353.88887829705351</v>
      </c>
      <c r="AM41" s="59">
        <f t="shared" si="5"/>
        <v>647.22221163038682</v>
      </c>
      <c r="AN41" s="59">
        <f ca="1">AVERAGE(OFFSET($AM$3,0,0,'Données projet'!$E$10+1,1))-AVERAGE(OFFSET($H$3,0,0,'Données projet'!$E$10+1,1))</f>
        <v>235.31102883830971</v>
      </c>
      <c r="AO41" s="59">
        <f t="shared" si="36"/>
        <v>271.48630853790422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6.8142018944865068</v>
      </c>
      <c r="AW41" s="21">
        <f>EXP(-LN(2)/2)*AW40+(1-EXP(-LN(2)/2))/(LN(2)/2)*AQ41*AT41*VLOOKUP('Données projet'!$B$10,Paramètres!$A$1:$I$89,3,0)*0.475*44/12</f>
        <v>0.68578558388168009</v>
      </c>
      <c r="AX41" s="21">
        <f t="shared" si="6"/>
        <v>7.4999874783681868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5.2</v>
      </c>
      <c r="BD41" s="12">
        <f>IF('Données projet'!$A$88&gt;35,BD40+BC41-BL40,IF(A41&lt;'Données projet'!$A$88,$BA$205^A41,IF(A41='Données projet'!$A$88,'Données projet'!$B$88,BD40+BC41-BL40)))</f>
        <v>95.600000000000009</v>
      </c>
      <c r="BE41" s="13">
        <f>BD41*VLOOKUP('Données projet'!$B$11,Paramètres!$A$1:$I$89,3,0)*VLOOKUP('Données projet'!$B$11,Paramètres!$A$1:$I$89,5,0)</f>
        <v>108.86928000000002</v>
      </c>
      <c r="BF41" s="13">
        <f t="shared" si="37"/>
        <v>29.064418129628898</v>
      </c>
      <c r="BG41" s="20">
        <f t="shared" si="7"/>
        <v>240.234524242437</v>
      </c>
      <c r="BH41" s="59">
        <f t="shared" si="8"/>
        <v>533.56785757577029</v>
      </c>
      <c r="BI41" s="59">
        <f ca="1">AVERAGE(OFFSET($BH$3,0,0,'Données projet'!$E$11+1,1))-AVERAGE(OFFSET($H$3,0,0,'Données projet'!$E$11+1,1))</f>
        <v>249.01678065306629</v>
      </c>
      <c r="BJ41" s="59">
        <f t="shared" si="38"/>
        <v>99.639724892155641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0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>
        <f>BY41*VLOOKUP('Données projet'!$B$12,Paramètres!$A$1:$I$89,3,0)*VLOOKUP('Données projet'!$B$12,Paramètres!$A$1:$I$89,5,0)</f>
        <v>0</v>
      </c>
      <c r="CA41" s="13" t="e">
        <f t="shared" si="39"/>
        <v>#NUM!</v>
      </c>
      <c r="CB41" s="20" t="e">
        <f t="shared" si="10"/>
        <v>#NUM!</v>
      </c>
      <c r="CC41" s="59" t="e">
        <f t="shared" si="11"/>
        <v>#NUM!</v>
      </c>
      <c r="CD41" s="59">
        <f ca="1">AVERAGE(OFFSET($CC$3,0,0,'Données projet'!$E$12+1,1))-AVERAGE(OFFSET($H$3,0,0,'Données projet'!$E$12+1,1))</f>
        <v>0</v>
      </c>
      <c r="CE41" s="59">
        <f t="shared" si="40"/>
        <v>0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0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>
        <f>CT41*VLOOKUP('Données projet'!$B$13,Paramètres!$A$1:$I$89,3,0)*VLOOKUP('Données projet'!$B$13,Paramètres!$A$1:$I$89,5,0)</f>
        <v>0</v>
      </c>
      <c r="CV41" s="13" t="e">
        <f t="shared" si="41"/>
        <v>#NUM!</v>
      </c>
      <c r="CW41" s="20" t="e">
        <f t="shared" si="13"/>
        <v>#NUM!</v>
      </c>
      <c r="CX41" s="59" t="e">
        <f t="shared" si="14"/>
        <v>#NUM!</v>
      </c>
      <c r="CY41" s="59">
        <f ca="1">AVERAGE(OFFSET($CX$3,0,0,'Données projet'!$E$13+1,1))-AVERAGE(OFFSET($H$3,0,0,'Données projet'!$E$13+1,1))</f>
        <v>0</v>
      </c>
      <c r="CZ41" s="59">
        <f t="shared" si="42"/>
        <v>0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0</v>
      </c>
      <c r="DG41" s="21">
        <f>EXP(-LN(2)/25)*DG40+(1-EXP(-LN(2)/25))/(LN(2)/25)*Calculateur!DB41*Calculateur!DD41*VLOOKUP('Données projet'!$B$13,Paramètres!$A$1:$I$89,3,0)*0.475*44/12</f>
        <v>0</v>
      </c>
      <c r="DH41" s="21">
        <f>EXP(-LN(2)/2)*DH40+(1-EXP(-LN(2)/2))/(LN(2)/2)*DB41*DE41*VLOOKUP('Données projet'!$B$13,Paramètres!$A$1:$I$89,3,0)*0.475*44/12</f>
        <v>0</v>
      </c>
      <c r="DI41" s="22">
        <f t="shared" si="15"/>
        <v>0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-2.2737367544323206E-13</v>
      </c>
      <c r="O42" s="13">
        <f>N42*VLOOKUP('Données projet'!$B$9,Paramètres!$A$1:$I$89,3,0)*VLOOKUP('Données projet'!$B$9,Paramètres!$A$1:$I$89,5,0)</f>
        <v>-1.3596945791505279E-13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181.92766225683107</v>
      </c>
      <c r="T42" s="59">
        <f t="shared" si="34"/>
        <v>370.52917139565756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54.998354536815775</v>
      </c>
      <c r="AA42" s="21">
        <f>EXP(-LN(2)/25)*AA41+(1-EXP(-LN(2)/25))/(LN(2)/25)*Calculateur!V42*Calculateur!X42*VLOOKUP('Données projet'!$B$9,Paramètres!$A$1:$I$89,3,0)*0.475*44/12</f>
        <v>45.867551807850631</v>
      </c>
      <c r="AB42" s="21">
        <f>EXP(-LN(2)/2)*AB41+(1-EXP(-LN(2)/2))/(LN(2)/2)*V42*Y42*VLOOKUP('Données projet'!$B$9,Paramètres!$A$1:$I$89,3,0)*0.475*44/12</f>
        <v>20.082516309667518</v>
      </c>
      <c r="AC42" s="22">
        <f t="shared" si="3"/>
        <v>120.94842265433391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10.199999999999999</v>
      </c>
      <c r="AI42" s="13">
        <f>IF('Données projet'!$A$62&gt;35,AI41+AH42-AQ41,IF(A42&lt;'Données projet'!$A$62,$AF$205^A42,IF(A42='Données projet'!$A$62,'Données projet'!$B$62,AI41+AH42-AQ41)))</f>
        <v>209.79999999999987</v>
      </c>
      <c r="AJ42" s="13">
        <f>AI42*VLOOKUP('Données projet'!$B$10,Paramètres!$A$1:$I$89,3,0)*VLOOKUP('Données projet'!$B$10,Paramètres!$A$1:$I$89,5,0)</f>
        <v>170.18975999999989</v>
      </c>
      <c r="AK42" s="13">
        <f t="shared" si="35"/>
        <v>43.132520752965824</v>
      </c>
      <c r="AL42" s="20">
        <f t="shared" si="4"/>
        <v>371.53630564474861</v>
      </c>
      <c r="AM42" s="59">
        <f t="shared" si="5"/>
        <v>664.86963897808187</v>
      </c>
      <c r="AN42" s="59">
        <f ca="1">AVERAGE(OFFSET($AM$3,0,0,'Données projet'!$E$10+1,1))-AVERAGE(OFFSET($H$3,0,0,'Données projet'!$E$10+1,1))</f>
        <v>235.31102883830971</v>
      </c>
      <c r="AO42" s="59">
        <f t="shared" si="36"/>
        <v>271.48630853790422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6.6278671853384701</v>
      </c>
      <c r="AW42" s="21">
        <f>EXP(-LN(2)/2)*AW41+(1-EXP(-LN(2)/2))/(LN(2)/2)*AQ42*AT42*VLOOKUP('Données projet'!$B$10,Paramètres!$A$1:$I$89,3,0)*0.475*44/12</f>
        <v>0.48492363680271194</v>
      </c>
      <c r="AX42" s="21">
        <f t="shared" si="6"/>
        <v>7.1127908221411822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5.2</v>
      </c>
      <c r="BD42" s="12">
        <f>IF('Données projet'!$A$88&gt;35,BD41+BC42-BL41,IF(A42&lt;'Données projet'!$A$88,$BA$205^A42,IF(A42='Données projet'!$A$88,'Données projet'!$B$88,BD41+BC42-BL41)))</f>
        <v>100.80000000000001</v>
      </c>
      <c r="BE42" s="13">
        <f>BD42*VLOOKUP('Données projet'!$B$11,Paramètres!$A$1:$I$89,3,0)*VLOOKUP('Données projet'!$B$11,Paramètres!$A$1:$I$89,5,0)</f>
        <v>114.79104000000001</v>
      </c>
      <c r="BF42" s="13">
        <f t="shared" si="37"/>
        <v>30.456974896543485</v>
      </c>
      <c r="BG42" s="20">
        <f t="shared" si="7"/>
        <v>252.97362594481328</v>
      </c>
      <c r="BH42" s="59">
        <f t="shared" si="8"/>
        <v>546.30695927814656</v>
      </c>
      <c r="BI42" s="59">
        <f ca="1">AVERAGE(OFFSET($BH$3,0,0,'Données projet'!$E$11+1,1))-AVERAGE(OFFSET($H$3,0,0,'Données projet'!$E$11+1,1))</f>
        <v>249.01678065306629</v>
      </c>
      <c r="BJ42" s="59">
        <f t="shared" si="38"/>
        <v>99.639724892155641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0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>
        <f>BY42*VLOOKUP('Données projet'!$B$12,Paramètres!$A$1:$I$89,3,0)*VLOOKUP('Données projet'!$B$12,Paramètres!$A$1:$I$89,5,0)</f>
        <v>0</v>
      </c>
      <c r="CA42" s="13" t="e">
        <f t="shared" si="39"/>
        <v>#NUM!</v>
      </c>
      <c r="CB42" s="20" t="e">
        <f t="shared" si="10"/>
        <v>#NUM!</v>
      </c>
      <c r="CC42" s="59" t="e">
        <f t="shared" si="11"/>
        <v>#NUM!</v>
      </c>
      <c r="CD42" s="59">
        <f ca="1">AVERAGE(OFFSET($CC$3,0,0,'Données projet'!$E$12+1,1))-AVERAGE(OFFSET($H$3,0,0,'Données projet'!$E$12+1,1))</f>
        <v>0</v>
      </c>
      <c r="CE42" s="59">
        <f t="shared" si="40"/>
        <v>0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0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>
        <f>CT42*VLOOKUP('Données projet'!$B$13,Paramètres!$A$1:$I$89,3,0)*VLOOKUP('Données projet'!$B$13,Paramètres!$A$1:$I$89,5,0)</f>
        <v>0</v>
      </c>
      <c r="CV42" s="13" t="e">
        <f t="shared" si="41"/>
        <v>#NUM!</v>
      </c>
      <c r="CW42" s="20" t="e">
        <f t="shared" si="13"/>
        <v>#NUM!</v>
      </c>
      <c r="CX42" s="59" t="e">
        <f t="shared" si="14"/>
        <v>#NUM!</v>
      </c>
      <c r="CY42" s="59">
        <f ca="1">AVERAGE(OFFSET($CX$3,0,0,'Données projet'!$E$13+1,1))-AVERAGE(OFFSET($H$3,0,0,'Données projet'!$E$13+1,1))</f>
        <v>0</v>
      </c>
      <c r="CZ42" s="59">
        <f t="shared" si="42"/>
        <v>0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0</v>
      </c>
      <c r="DG42" s="21">
        <f>EXP(-LN(2)/25)*DG41+(1-EXP(-LN(2)/25))/(LN(2)/25)*Calculateur!DB42*Calculateur!DD42*VLOOKUP('Données projet'!$B$13,Paramètres!$A$1:$I$89,3,0)*0.475*44/12</f>
        <v>0</v>
      </c>
      <c r="DH42" s="21">
        <f>EXP(-LN(2)/2)*DH41+(1-EXP(-LN(2)/2))/(LN(2)/2)*DB42*DE42*VLOOKUP('Données projet'!$B$13,Paramètres!$A$1:$I$89,3,0)*0.475*44/12</f>
        <v>0</v>
      </c>
      <c r="DI42" s="22">
        <f t="shared" si="15"/>
        <v>0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-2.2737367544323206E-13</v>
      </c>
      <c r="O43" s="13">
        <f>N43*VLOOKUP('Données projet'!$B$9,Paramètres!$A$1:$I$89,3,0)*VLOOKUP('Données projet'!$B$9,Paramètres!$A$1:$I$89,5,0)</f>
        <v>-1.3596945791505279E-13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181.92766225683107</v>
      </c>
      <c r="T43" s="59">
        <f t="shared" si="34"/>
        <v>370.52917139565756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53.919870350032724</v>
      </c>
      <c r="AA43" s="21">
        <f>EXP(-LN(2)/25)*AA42+(1-EXP(-LN(2)/25))/(LN(2)/25)*Calculateur!V43*Calculateur!X43*VLOOKUP('Données projet'!$B$9,Paramètres!$A$1:$I$89,3,0)*0.475*44/12</f>
        <v>44.613301191595241</v>
      </c>
      <c r="AB43" s="21">
        <f>EXP(-LN(2)/2)*AB42+(1-EXP(-LN(2)/2))/(LN(2)/2)*V43*Y43*VLOOKUP('Données projet'!$B$9,Paramètres!$A$1:$I$89,3,0)*0.475*44/12</f>
        <v>14.200483465855342</v>
      </c>
      <c r="AC43" s="22">
        <f t="shared" si="3"/>
        <v>112.73365500748331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220</v>
      </c>
      <c r="AG43" s="12">
        <f>VLOOKUP(A43,'Données projet'!$A$61:$I$81,9,0)</f>
        <v>10.199999999999999</v>
      </c>
      <c r="AH43" s="12">
        <f t="array" ref="AH43">INDEX(AG:AG,MIN(IF(ISNUMBER(AG43:AG239),ROW(AG43:AG239),"")))</f>
        <v>10.199999999999999</v>
      </c>
      <c r="AI43" s="13">
        <f>IF('Données projet'!$A$62&gt;35,AI42+AH43-AQ42,IF(A43&lt;'Données projet'!$A$62,$AF$205^A43,IF(A43='Données projet'!$A$62,'Données projet'!$B$62,AI42+AH43-AQ42)))</f>
        <v>219.99999999999986</v>
      </c>
      <c r="AJ43" s="13">
        <f>AI43*VLOOKUP('Données projet'!$B$10,Paramètres!$A$1:$I$89,3,0)*VLOOKUP('Données projet'!$B$10,Paramètres!$A$1:$I$89,5,0)</f>
        <v>178.46399999999991</v>
      </c>
      <c r="AK43" s="13">
        <f t="shared" si="35"/>
        <v>44.980284206661821</v>
      </c>
      <c r="AL43" s="20">
        <f t="shared" si="4"/>
        <v>389.16546165993583</v>
      </c>
      <c r="AM43" s="59">
        <f t="shared" si="5"/>
        <v>682.49879499326914</v>
      </c>
      <c r="AN43" s="59">
        <f ca="1">AVERAGE(OFFSET($AM$3,0,0,'Données projet'!$E$10+1,1))-AVERAGE(OFFSET($H$3,0,0,'Données projet'!$E$10+1,1))</f>
        <v>235.31102883830971</v>
      </c>
      <c r="AO43" s="59">
        <f t="shared" si="36"/>
        <v>271.48630853790422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56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6.4466278086110025</v>
      </c>
      <c r="AW43" s="21">
        <f>EXP(-LN(2)/2)*AW42+(1-EXP(-LN(2)/2))/(LN(2)/2)*AQ43*AT43*VLOOKUP('Données projet'!$B$10,Paramètres!$A$1:$I$89,3,0)*0.475*44/12</f>
        <v>0.3428927919408401</v>
      </c>
      <c r="AX43" s="21">
        <f t="shared" si="6"/>
        <v>6.7895206005518425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106</v>
      </c>
      <c r="BB43" s="12">
        <f>VLOOKUP(A43,'Données projet'!$A$87:$I$107,9,0)</f>
        <v>5.2</v>
      </c>
      <c r="BC43" s="12">
        <f t="array" ref="BC43">INDEX(BB:BB,MIN(IF(ISNUMBER(BB43:BB239),ROW(BB43:BB239),"")))</f>
        <v>5.2</v>
      </c>
      <c r="BD43" s="12">
        <f>IF('Données projet'!$A$88&gt;35,BD42+BC43-BL42,IF(A43&lt;'Données projet'!$A$88,$BA$205^A43,IF(A43='Données projet'!$A$88,'Données projet'!$B$88,BD42+BC43-BL42)))</f>
        <v>106.00000000000001</v>
      </c>
      <c r="BE43" s="13">
        <f>BD43*VLOOKUP('Données projet'!$B$11,Paramètres!$A$1:$I$89,3,0)*VLOOKUP('Données projet'!$B$11,Paramètres!$A$1:$I$89,5,0)</f>
        <v>120.71280000000002</v>
      </c>
      <c r="BF43" s="13">
        <f t="shared" si="37"/>
        <v>31.841190841691311</v>
      </c>
      <c r="BG43" s="20">
        <f t="shared" si="7"/>
        <v>265.69820071594569</v>
      </c>
      <c r="BH43" s="59">
        <f t="shared" si="8"/>
        <v>559.031534049279</v>
      </c>
      <c r="BI43" s="59">
        <f ca="1">AVERAGE(OFFSET($BH$3,0,0,'Données projet'!$E$11+1,1))-AVERAGE(OFFSET($H$3,0,0,'Données projet'!$E$11+1,1))</f>
        <v>249.01678065306629</v>
      </c>
      <c r="BJ43" s="59">
        <f t="shared" si="38"/>
        <v>99.639724892155641</v>
      </c>
      <c r="BK43" s="15">
        <f>IF(ISNA(VLOOKUP(A43,'Données projet'!$A$87:$I$107,3,0)),0,VLOOKUP(A43,'Données projet'!$A$87:$I$107,3,0))</f>
        <v>1</v>
      </c>
      <c r="BL43" s="15">
        <f>IF(ISNA(VLOOKUP(A43,'Données projet'!$A$87:$I$107,4,0)),0,VLOOKUP(A43,'Données projet'!$A$87:$I$107,4,0))</f>
        <v>27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0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>
        <f>BY43*VLOOKUP('Données projet'!$B$12,Paramètres!$A$1:$I$89,3,0)*VLOOKUP('Données projet'!$B$12,Paramètres!$A$1:$I$89,5,0)</f>
        <v>0</v>
      </c>
      <c r="CA43" s="13" t="e">
        <f t="shared" si="39"/>
        <v>#NUM!</v>
      </c>
      <c r="CB43" s="20" t="e">
        <f t="shared" si="10"/>
        <v>#NUM!</v>
      </c>
      <c r="CC43" s="59" t="e">
        <f t="shared" si="11"/>
        <v>#NUM!</v>
      </c>
      <c r="CD43" s="59">
        <f ca="1">AVERAGE(OFFSET($CC$3,0,0,'Données projet'!$E$12+1,1))-AVERAGE(OFFSET($H$3,0,0,'Données projet'!$E$12+1,1))</f>
        <v>0</v>
      </c>
      <c r="CE43" s="59">
        <f t="shared" si="40"/>
        <v>0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0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>
        <f>CT43*VLOOKUP('Données projet'!$B$13,Paramètres!$A$1:$I$89,3,0)*VLOOKUP('Données projet'!$B$13,Paramètres!$A$1:$I$89,5,0)</f>
        <v>0</v>
      </c>
      <c r="CV43" s="13" t="e">
        <f t="shared" si="41"/>
        <v>#NUM!</v>
      </c>
      <c r="CW43" s="20" t="e">
        <f t="shared" si="13"/>
        <v>#NUM!</v>
      </c>
      <c r="CX43" s="59" t="e">
        <f t="shared" si="14"/>
        <v>#NUM!</v>
      </c>
      <c r="CY43" s="59">
        <f ca="1">AVERAGE(OFFSET($CX$3,0,0,'Données projet'!$E$13+1,1))-AVERAGE(OFFSET($H$3,0,0,'Données projet'!$E$13+1,1))</f>
        <v>0</v>
      </c>
      <c r="CZ43" s="59">
        <f t="shared" si="42"/>
        <v>0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0</v>
      </c>
      <c r="DG43" s="21">
        <f>EXP(-LN(2)/25)*DG42+(1-EXP(-LN(2)/25))/(LN(2)/25)*Calculateur!DB43*Calculateur!DD43*VLOOKUP('Données projet'!$B$13,Paramètres!$A$1:$I$89,3,0)*0.475*44/12</f>
        <v>0</v>
      </c>
      <c r="DH43" s="21">
        <f>EXP(-LN(2)/2)*DH42+(1-EXP(-LN(2)/2))/(LN(2)/2)*DB43*DE43*VLOOKUP('Données projet'!$B$13,Paramètres!$A$1:$I$89,3,0)*0.475*44/12</f>
        <v>0</v>
      </c>
      <c r="DI43" s="22">
        <f t="shared" si="15"/>
        <v>0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-2.2737367544323206E-13</v>
      </c>
      <c r="O44" s="13">
        <f>N44*VLOOKUP('Données projet'!$B$9,Paramètres!$A$1:$I$89,3,0)*VLOOKUP('Données projet'!$B$9,Paramètres!$A$1:$I$89,5,0)</f>
        <v>-1.3596945791505279E-13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181.92766225683107</v>
      </c>
      <c r="T44" s="59">
        <f t="shared" si="34"/>
        <v>370.52917139565756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52.862534580342086</v>
      </c>
      <c r="AA44" s="21">
        <f>EXP(-LN(2)/25)*AA43+(1-EXP(-LN(2)/25))/(LN(2)/25)*Calculateur!V44*Calculateur!X44*VLOOKUP('Données projet'!$B$9,Paramètres!$A$1:$I$89,3,0)*0.475*44/12</f>
        <v>43.393348124399523</v>
      </c>
      <c r="AB44" s="21">
        <f>EXP(-LN(2)/2)*AB43+(1-EXP(-LN(2)/2))/(LN(2)/2)*V44*Y44*VLOOKUP('Données projet'!$B$9,Paramètres!$A$1:$I$89,3,0)*0.475*44/12</f>
        <v>10.041258154833759</v>
      </c>
      <c r="AC44" s="22">
        <f t="shared" si="3"/>
        <v>106.29714085957536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7.7</v>
      </c>
      <c r="AI44" s="13">
        <f>IF('Données projet'!$A$62&gt;35,AI43+AH44-AQ43,IF(A44&lt;'Données projet'!$A$62,$AF$205^A44,IF(A44='Données projet'!$A$62,'Données projet'!$B$62,AI43+AH44-AQ43)))</f>
        <v>171.69999999999985</v>
      </c>
      <c r="AJ44" s="13">
        <f>AI44*VLOOKUP('Données projet'!$B$10,Paramètres!$A$1:$I$89,3,0)*VLOOKUP('Données projet'!$B$10,Paramètres!$A$1:$I$89,5,0)</f>
        <v>139.28303999999989</v>
      </c>
      <c r="AK44" s="13">
        <f t="shared" si="35"/>
        <v>36.132710979898413</v>
      </c>
      <c r="AL44" s="20">
        <f t="shared" si="4"/>
        <v>305.51576628998953</v>
      </c>
      <c r="AM44" s="59">
        <f t="shared" si="5"/>
        <v>598.8490996233229</v>
      </c>
      <c r="AN44" s="59">
        <f ca="1">AVERAGE(OFFSET($AM$3,0,0,'Données projet'!$E$10+1,1))-AVERAGE(OFFSET($H$3,0,0,'Données projet'!$E$10+1,1))</f>
        <v>235.31102883830971</v>
      </c>
      <c r="AO44" s="59">
        <f t="shared" si="36"/>
        <v>271.48630853790422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6.2703444321711119</v>
      </c>
      <c r="AW44" s="21">
        <f>EXP(-LN(2)/2)*AW43+(1-EXP(-LN(2)/2))/(LN(2)/2)*AQ44*AT44*VLOOKUP('Données projet'!$B$10,Paramètres!$A$1:$I$89,3,0)*0.475*44/12</f>
        <v>0.242461818401356</v>
      </c>
      <c r="AX44" s="21">
        <f t="shared" si="6"/>
        <v>6.512806250572468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5.6</v>
      </c>
      <c r="BD44" s="12">
        <f>IF('Données projet'!$A$88&gt;35,BD43+BC44-BL43,IF(A44&lt;'Données projet'!$A$88,$BA$205^A44,IF(A44='Données projet'!$A$88,'Données projet'!$B$88,BD43+BC44-BL43)))</f>
        <v>84.600000000000009</v>
      </c>
      <c r="BE44" s="13">
        <f>BD44*VLOOKUP('Données projet'!$B$11,Paramètres!$A$1:$I$89,3,0)*VLOOKUP('Données projet'!$B$11,Paramètres!$A$1:$I$89,5,0)</f>
        <v>96.342480000000009</v>
      </c>
      <c r="BF44" s="13">
        <f t="shared" si="37"/>
        <v>26.088763268244669</v>
      </c>
      <c r="BG44" s="20">
        <f t="shared" si="7"/>
        <v>213.23441535885948</v>
      </c>
      <c r="BH44" s="59">
        <f t="shared" si="8"/>
        <v>506.56774869219282</v>
      </c>
      <c r="BI44" s="59">
        <f ca="1">AVERAGE(OFFSET($BH$3,0,0,'Données projet'!$E$11+1,1))-AVERAGE(OFFSET($H$3,0,0,'Données projet'!$E$11+1,1))</f>
        <v>249.01678065306629</v>
      </c>
      <c r="BJ44" s="59">
        <f t="shared" si="38"/>
        <v>99.639724892155641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0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>
        <f>BY44*VLOOKUP('Données projet'!$B$12,Paramètres!$A$1:$I$89,3,0)*VLOOKUP('Données projet'!$B$12,Paramètres!$A$1:$I$89,5,0)</f>
        <v>0</v>
      </c>
      <c r="CA44" s="13" t="e">
        <f t="shared" si="39"/>
        <v>#NUM!</v>
      </c>
      <c r="CB44" s="20" t="e">
        <f t="shared" si="10"/>
        <v>#NUM!</v>
      </c>
      <c r="CC44" s="59" t="e">
        <f t="shared" si="11"/>
        <v>#NUM!</v>
      </c>
      <c r="CD44" s="59">
        <f ca="1">AVERAGE(OFFSET($CC$3,0,0,'Données projet'!$E$12+1,1))-AVERAGE(OFFSET($H$3,0,0,'Données projet'!$E$12+1,1))</f>
        <v>0</v>
      </c>
      <c r="CE44" s="59">
        <f t="shared" si="40"/>
        <v>0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0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>
        <f>CT44*VLOOKUP('Données projet'!$B$13,Paramètres!$A$1:$I$89,3,0)*VLOOKUP('Données projet'!$B$13,Paramètres!$A$1:$I$89,5,0)</f>
        <v>0</v>
      </c>
      <c r="CV44" s="13" t="e">
        <f t="shared" si="41"/>
        <v>#NUM!</v>
      </c>
      <c r="CW44" s="20" t="e">
        <f t="shared" si="13"/>
        <v>#NUM!</v>
      </c>
      <c r="CX44" s="59" t="e">
        <f t="shared" si="14"/>
        <v>#NUM!</v>
      </c>
      <c r="CY44" s="59">
        <f ca="1">AVERAGE(OFFSET($CX$3,0,0,'Données projet'!$E$13+1,1))-AVERAGE(OFFSET($H$3,0,0,'Données projet'!$E$13+1,1))</f>
        <v>0</v>
      </c>
      <c r="CZ44" s="59">
        <f t="shared" si="42"/>
        <v>0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0</v>
      </c>
      <c r="DG44" s="21">
        <f>EXP(-LN(2)/25)*DG43+(1-EXP(-LN(2)/25))/(LN(2)/25)*Calculateur!DB44*Calculateur!DD44*VLOOKUP('Données projet'!$B$13,Paramètres!$A$1:$I$89,3,0)*0.475*44/12</f>
        <v>0</v>
      </c>
      <c r="DH44" s="21">
        <f>EXP(-LN(2)/2)*DH43+(1-EXP(-LN(2)/2))/(LN(2)/2)*DB44*DE44*VLOOKUP('Données projet'!$B$13,Paramètres!$A$1:$I$89,3,0)*0.475*44/12</f>
        <v>0</v>
      </c>
      <c r="DI44" s="22">
        <f t="shared" si="15"/>
        <v>0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-2.2737367544323206E-13</v>
      </c>
      <c r="O45" s="13">
        <f>N45*VLOOKUP('Données projet'!$B$9,Paramètres!$A$1:$I$89,3,0)*VLOOKUP('Données projet'!$B$9,Paramètres!$A$1:$I$89,5,0)</f>
        <v>-1.3596945791505279E-13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181.92766225683107</v>
      </c>
      <c r="T45" s="59">
        <f t="shared" si="34"/>
        <v>370.52917139565756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51.82593252018394</v>
      </c>
      <c r="AA45" s="21">
        <f>EXP(-LN(2)/25)*AA44+(1-EXP(-LN(2)/25))/(LN(2)/25)*Calculateur!V45*Calculateur!X45*VLOOKUP('Données projet'!$B$9,Paramètres!$A$1:$I$89,3,0)*0.475*44/12</f>
        <v>42.206754737980816</v>
      </c>
      <c r="AB45" s="21">
        <f>EXP(-LN(2)/2)*AB44+(1-EXP(-LN(2)/2))/(LN(2)/2)*V45*Y45*VLOOKUP('Données projet'!$B$9,Paramètres!$A$1:$I$89,3,0)*0.475*44/12</f>
        <v>7.100241732927671</v>
      </c>
      <c r="AC45" s="22">
        <f t="shared" si="3"/>
        <v>101.13292899109243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7.7</v>
      </c>
      <c r="AI45" s="13">
        <f>IF('Données projet'!$A$62&gt;35,AI44+AH45-AQ44,IF(A45&lt;'Données projet'!$A$62,$AF$205^A45,IF(A45='Données projet'!$A$62,'Données projet'!$B$62,AI44+AH45-AQ44)))</f>
        <v>179.39999999999984</v>
      </c>
      <c r="AJ45" s="13">
        <f>AI45*VLOOKUP('Données projet'!$B$10,Paramètres!$A$1:$I$89,3,0)*VLOOKUP('Données projet'!$B$10,Paramètres!$A$1:$I$89,5,0)</f>
        <v>145.52927999999986</v>
      </c>
      <c r="AK45" s="13">
        <f t="shared" si="35"/>
        <v>37.560816225769642</v>
      </c>
      <c r="AL45" s="20">
        <f t="shared" si="4"/>
        <v>318.88191759321518</v>
      </c>
      <c r="AM45" s="59">
        <f t="shared" si="5"/>
        <v>612.21525092654849</v>
      </c>
      <c r="AN45" s="59">
        <f ca="1">AVERAGE(OFFSET($AM$3,0,0,'Données projet'!$E$10+1,1))-AVERAGE(OFFSET($H$3,0,0,'Données projet'!$E$10+1,1))</f>
        <v>235.31102883830971</v>
      </c>
      <c r="AO45" s="59">
        <f t="shared" si="36"/>
        <v>271.48630853790422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6.0988815339303102</v>
      </c>
      <c r="AW45" s="21">
        <f>EXP(-LN(2)/2)*AW44+(1-EXP(-LN(2)/2))/(LN(2)/2)*AQ45*AT45*VLOOKUP('Données projet'!$B$10,Paramètres!$A$1:$I$89,3,0)*0.475*44/12</f>
        <v>0.17144639597042008</v>
      </c>
      <c r="AX45" s="21">
        <f t="shared" si="6"/>
        <v>6.2703279299007306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5.6</v>
      </c>
      <c r="BD45" s="12">
        <f>IF('Données projet'!$A$88&gt;35,BD44+BC45-BL44,IF(A45&lt;'Données projet'!$A$88,$BA$205^A45,IF(A45='Données projet'!$A$88,'Données projet'!$B$88,BD44+BC45-BL44)))</f>
        <v>90.2</v>
      </c>
      <c r="BE45" s="13">
        <f>BD45*VLOOKUP('Données projet'!$B$11,Paramètres!$A$1:$I$89,3,0)*VLOOKUP('Données projet'!$B$11,Paramètres!$A$1:$I$89,5,0)</f>
        <v>102.71976000000001</v>
      </c>
      <c r="BF45" s="13">
        <f t="shared" si="37"/>
        <v>27.608927464604609</v>
      </c>
      <c r="BG45" s="20">
        <f t="shared" si="7"/>
        <v>226.9891306675197</v>
      </c>
      <c r="BH45" s="59">
        <f t="shared" si="8"/>
        <v>520.32246400085296</v>
      </c>
      <c r="BI45" s="59">
        <f ca="1">AVERAGE(OFFSET($BH$3,0,0,'Données projet'!$E$11+1,1))-AVERAGE(OFFSET($H$3,0,0,'Données projet'!$E$11+1,1))</f>
        <v>249.01678065306629</v>
      </c>
      <c r="BJ45" s="59">
        <f t="shared" si="38"/>
        <v>99.639724892155641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0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>
        <f>BY45*VLOOKUP('Données projet'!$B$12,Paramètres!$A$1:$I$89,3,0)*VLOOKUP('Données projet'!$B$12,Paramètres!$A$1:$I$89,5,0)</f>
        <v>0</v>
      </c>
      <c r="CA45" s="13" t="e">
        <f t="shared" si="39"/>
        <v>#NUM!</v>
      </c>
      <c r="CB45" s="20" t="e">
        <f t="shared" si="10"/>
        <v>#NUM!</v>
      </c>
      <c r="CC45" s="59" t="e">
        <f t="shared" si="11"/>
        <v>#NUM!</v>
      </c>
      <c r="CD45" s="59">
        <f ca="1">AVERAGE(OFFSET($CC$3,0,0,'Données projet'!$E$12+1,1))-AVERAGE(OFFSET($H$3,0,0,'Données projet'!$E$12+1,1))</f>
        <v>0</v>
      </c>
      <c r="CE45" s="59">
        <f t="shared" si="40"/>
        <v>0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0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0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>
        <f>CT45*VLOOKUP('Données projet'!$B$13,Paramètres!$A$1:$I$89,3,0)*VLOOKUP('Données projet'!$B$13,Paramètres!$A$1:$I$89,5,0)</f>
        <v>0</v>
      </c>
      <c r="CV45" s="13" t="e">
        <f t="shared" si="41"/>
        <v>#NUM!</v>
      </c>
      <c r="CW45" s="20" t="e">
        <f t="shared" si="13"/>
        <v>#NUM!</v>
      </c>
      <c r="CX45" s="59" t="e">
        <f t="shared" si="14"/>
        <v>#NUM!</v>
      </c>
      <c r="CY45" s="59">
        <f ca="1">AVERAGE(OFFSET($CX$3,0,0,'Données projet'!$E$13+1,1))-AVERAGE(OFFSET($H$3,0,0,'Données projet'!$E$13+1,1))</f>
        <v>0</v>
      </c>
      <c r="CZ45" s="59">
        <f t="shared" si="42"/>
        <v>0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0</v>
      </c>
      <c r="DG45" s="21">
        <f>EXP(-LN(2)/25)*DG44+(1-EXP(-LN(2)/25))/(LN(2)/25)*Calculateur!DB45*Calculateur!DD45*VLOOKUP('Données projet'!$B$13,Paramètres!$A$1:$I$89,3,0)*0.475*44/12</f>
        <v>0</v>
      </c>
      <c r="DH45" s="21">
        <f>EXP(-LN(2)/2)*DH44+(1-EXP(-LN(2)/2))/(LN(2)/2)*DB45*DE45*VLOOKUP('Données projet'!$B$13,Paramètres!$A$1:$I$89,3,0)*0.475*44/12</f>
        <v>0</v>
      </c>
      <c r="DI45" s="22">
        <f t="shared" si="15"/>
        <v>0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-2.2737367544323206E-13</v>
      </c>
      <c r="O46" s="13">
        <f>N46*VLOOKUP('Données projet'!$B$9,Paramètres!$A$1:$I$89,3,0)*VLOOKUP('Données projet'!$B$9,Paramètres!$A$1:$I$89,5,0)</f>
        <v>-1.3596945791505279E-13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181.92766225683107</v>
      </c>
      <c r="T46" s="59">
        <f t="shared" si="34"/>
        <v>370.52917139565756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50.809657594160676</v>
      </c>
      <c r="AA46" s="21">
        <f>EXP(-LN(2)/25)*AA45+(1-EXP(-LN(2)/25))/(LN(2)/25)*Calculateur!V46*Calculateur!X46*VLOOKUP('Données projet'!$B$9,Paramètres!$A$1:$I$89,3,0)*0.475*44/12</f>
        <v>41.052608810113966</v>
      </c>
      <c r="AB46" s="21">
        <f>EXP(-LN(2)/2)*AB45+(1-EXP(-LN(2)/2))/(LN(2)/2)*V46*Y46*VLOOKUP('Données projet'!$B$9,Paramètres!$A$1:$I$89,3,0)*0.475*44/12</f>
        <v>5.0206290774168796</v>
      </c>
      <c r="AC46" s="22">
        <f t="shared" si="3"/>
        <v>96.88289548169152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7.7</v>
      </c>
      <c r="AI46" s="13">
        <f>IF('Données projet'!$A$62&gt;35,AI45+AH46-AQ45,IF(A46&lt;'Données projet'!$A$62,$AF$205^A46,IF(A46='Données projet'!$A$62,'Données projet'!$B$62,AI45+AH46-AQ45)))</f>
        <v>187.09999999999982</v>
      </c>
      <c r="AJ46" s="13">
        <f>AI46*VLOOKUP('Données projet'!$B$10,Paramètres!$A$1:$I$89,3,0)*VLOOKUP('Données projet'!$B$10,Paramètres!$A$1:$I$89,5,0)</f>
        <v>151.77551999999989</v>
      </c>
      <c r="AK46" s="13">
        <f t="shared" si="35"/>
        <v>38.98180216162384</v>
      </c>
      <c r="AL46" s="20">
        <f t="shared" si="4"/>
        <v>332.23566943149461</v>
      </c>
      <c r="AM46" s="59">
        <f t="shared" si="5"/>
        <v>625.56900276482793</v>
      </c>
      <c r="AN46" s="59">
        <f ca="1">AVERAGE(OFFSET($AM$3,0,0,'Données projet'!$E$10+1,1))-AVERAGE(OFFSET($H$3,0,0,'Données projet'!$E$10+1,1))</f>
        <v>235.31102883830971</v>
      </c>
      <c r="AO46" s="59">
        <f t="shared" si="36"/>
        <v>271.48630853790422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5.932107297658745</v>
      </c>
      <c r="AW46" s="21">
        <f>EXP(-LN(2)/2)*AW45+(1-EXP(-LN(2)/2))/(LN(2)/2)*AQ46*AT46*VLOOKUP('Données projet'!$B$10,Paramètres!$A$1:$I$89,3,0)*0.475*44/12</f>
        <v>0.12123090920067803</v>
      </c>
      <c r="AX46" s="21">
        <f t="shared" si="6"/>
        <v>6.053338206859423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5.6</v>
      </c>
      <c r="BD46" s="12">
        <f>IF('Données projet'!$A$88&gt;35,BD45+BC46-BL45,IF(A46&lt;'Données projet'!$A$88,$BA$205^A46,IF(A46='Données projet'!$A$88,'Données projet'!$B$88,BD45+BC46-BL45)))</f>
        <v>95.8</v>
      </c>
      <c r="BE46" s="13">
        <f>BD46*VLOOKUP('Données projet'!$B$11,Paramètres!$A$1:$I$89,3,0)*VLOOKUP('Données projet'!$B$11,Paramètres!$A$1:$I$89,5,0)</f>
        <v>109.09704000000001</v>
      </c>
      <c r="BF46" s="13">
        <f t="shared" si="37"/>
        <v>29.118138203692205</v>
      </c>
      <c r="BG46" s="20">
        <f t="shared" si="7"/>
        <v>240.72476870476387</v>
      </c>
      <c r="BH46" s="59">
        <f t="shared" si="8"/>
        <v>534.05810203809722</v>
      </c>
      <c r="BI46" s="59">
        <f ca="1">AVERAGE(OFFSET($BH$3,0,0,'Données projet'!$E$11+1,1))-AVERAGE(OFFSET($H$3,0,0,'Données projet'!$E$11+1,1))</f>
        <v>249.01678065306629</v>
      </c>
      <c r="BJ46" s="59">
        <f t="shared" si="38"/>
        <v>99.639724892155641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0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>
        <f>BY46*VLOOKUP('Données projet'!$B$12,Paramètres!$A$1:$I$89,3,0)*VLOOKUP('Données projet'!$B$12,Paramètres!$A$1:$I$89,5,0)</f>
        <v>0</v>
      </c>
      <c r="CA46" s="13" t="e">
        <f t="shared" si="39"/>
        <v>#NUM!</v>
      </c>
      <c r="CB46" s="20" t="e">
        <f t="shared" si="10"/>
        <v>#NUM!</v>
      </c>
      <c r="CC46" s="59" t="e">
        <f t="shared" si="11"/>
        <v>#NUM!</v>
      </c>
      <c r="CD46" s="59">
        <f ca="1">AVERAGE(OFFSET($CC$3,0,0,'Données projet'!$E$12+1,1))-AVERAGE(OFFSET($H$3,0,0,'Données projet'!$E$12+1,1))</f>
        <v>0</v>
      </c>
      <c r="CE46" s="59">
        <f t="shared" si="40"/>
        <v>0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0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0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>
        <f>CT46*VLOOKUP('Données projet'!$B$13,Paramètres!$A$1:$I$89,3,0)*VLOOKUP('Données projet'!$B$13,Paramètres!$A$1:$I$89,5,0)</f>
        <v>0</v>
      </c>
      <c r="CV46" s="13" t="e">
        <f t="shared" si="41"/>
        <v>#NUM!</v>
      </c>
      <c r="CW46" s="20" t="e">
        <f t="shared" si="13"/>
        <v>#NUM!</v>
      </c>
      <c r="CX46" s="59" t="e">
        <f t="shared" si="14"/>
        <v>#NUM!</v>
      </c>
      <c r="CY46" s="59">
        <f ca="1">AVERAGE(OFFSET($CX$3,0,0,'Données projet'!$E$13+1,1))-AVERAGE(OFFSET($H$3,0,0,'Données projet'!$E$13+1,1))</f>
        <v>0</v>
      </c>
      <c r="CZ46" s="59">
        <f t="shared" si="42"/>
        <v>0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0</v>
      </c>
      <c r="DG46" s="21">
        <f>EXP(-LN(2)/25)*DG45+(1-EXP(-LN(2)/25))/(LN(2)/25)*Calculateur!DB46*Calculateur!DD46*VLOOKUP('Données projet'!$B$13,Paramètres!$A$1:$I$89,3,0)*0.475*44/12</f>
        <v>0</v>
      </c>
      <c r="DH46" s="21">
        <f>EXP(-LN(2)/2)*DH45+(1-EXP(-LN(2)/2))/(LN(2)/2)*DB46*DE46*VLOOKUP('Données projet'!$B$13,Paramètres!$A$1:$I$89,3,0)*0.475*44/12</f>
        <v>0</v>
      </c>
      <c r="DI46" s="22">
        <f t="shared" si="15"/>
        <v>0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-2.2737367544323206E-13</v>
      </c>
      <c r="O47" s="13">
        <f>N47*VLOOKUP('Données projet'!$B$9,Paramètres!$A$1:$I$89,3,0)*VLOOKUP('Données projet'!$B$9,Paramètres!$A$1:$I$89,5,0)</f>
        <v>-1.3596945791505279E-13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181.92766225683107</v>
      </c>
      <c r="T47" s="59">
        <f t="shared" si="34"/>
        <v>370.52917139565756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49.813311199570229</v>
      </c>
      <c r="AA47" s="21">
        <f>EXP(-LN(2)/25)*AA46+(1-EXP(-LN(2)/25))/(LN(2)/25)*Calculateur!V47*Calculateur!X47*VLOOKUP('Données projet'!$B$9,Paramètres!$A$1:$I$89,3,0)*0.475*44/12</f>
        <v>39.930023063338531</v>
      </c>
      <c r="AB47" s="21">
        <f>EXP(-LN(2)/2)*AB46+(1-EXP(-LN(2)/2))/(LN(2)/2)*V47*Y47*VLOOKUP('Données projet'!$B$9,Paramètres!$A$1:$I$89,3,0)*0.475*44/12</f>
        <v>3.5501208664638355</v>
      </c>
      <c r="AC47" s="22">
        <f t="shared" si="3"/>
        <v>93.293455129372603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7.7</v>
      </c>
      <c r="AI47" s="13">
        <f>IF('Données projet'!$A$62&gt;35,AI46+AH47-AQ46,IF(A47&lt;'Données projet'!$A$62,$AF$205^A47,IF(A47='Données projet'!$A$62,'Données projet'!$B$62,AI46+AH47-AQ46)))</f>
        <v>194.79999999999981</v>
      </c>
      <c r="AJ47" s="13">
        <f>AI47*VLOOKUP('Données projet'!$B$10,Paramètres!$A$1:$I$89,3,0)*VLOOKUP('Données projet'!$B$10,Paramètres!$A$1:$I$89,5,0)</f>
        <v>158.02175999999986</v>
      </c>
      <c r="AK47" s="13">
        <f t="shared" si="35"/>
        <v>40.395995288758058</v>
      </c>
      <c r="AL47" s="20">
        <f t="shared" si="4"/>
        <v>345.57759046125335</v>
      </c>
      <c r="AM47" s="59">
        <f t="shared" si="5"/>
        <v>638.91092379458667</v>
      </c>
      <c r="AN47" s="59">
        <f ca="1">AVERAGE(OFFSET($AM$3,0,0,'Données projet'!$E$10+1,1))-AVERAGE(OFFSET($H$3,0,0,'Données projet'!$E$10+1,1))</f>
        <v>235.31102883830971</v>
      </c>
      <c r="AO47" s="59">
        <f t="shared" si="36"/>
        <v>271.48630853790422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5.7698935116483021</v>
      </c>
      <c r="AW47" s="21">
        <f>EXP(-LN(2)/2)*AW46+(1-EXP(-LN(2)/2))/(LN(2)/2)*AQ47*AT47*VLOOKUP('Données projet'!$B$10,Paramètres!$A$1:$I$89,3,0)*0.475*44/12</f>
        <v>8.5723197985210053E-2</v>
      </c>
      <c r="AX47" s="21">
        <f t="shared" si="6"/>
        <v>5.8556167096335123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5.6</v>
      </c>
      <c r="BD47" s="12">
        <f>IF('Données projet'!$A$88&gt;35,BD46+BC47-BL46,IF(A47&lt;'Données projet'!$A$88,$BA$205^A47,IF(A47='Données projet'!$A$88,'Données projet'!$B$88,BD46+BC47-BL46)))</f>
        <v>101.39999999999999</v>
      </c>
      <c r="BE47" s="13">
        <f>BD47*VLOOKUP('Données projet'!$B$11,Paramètres!$A$1:$I$89,3,0)*VLOOKUP('Données projet'!$B$11,Paramètres!$A$1:$I$89,5,0)</f>
        <v>115.47431999999999</v>
      </c>
      <c r="BF47" s="13">
        <f t="shared" si="37"/>
        <v>30.617108709605674</v>
      </c>
      <c r="BG47" s="20">
        <f t="shared" si="7"/>
        <v>254.44257166922989</v>
      </c>
      <c r="BH47" s="59">
        <f t="shared" si="8"/>
        <v>547.77590500256315</v>
      </c>
      <c r="BI47" s="59">
        <f ca="1">AVERAGE(OFFSET($BH$3,0,0,'Données projet'!$E$11+1,1))-AVERAGE(OFFSET($H$3,0,0,'Données projet'!$E$11+1,1))</f>
        <v>249.01678065306629</v>
      </c>
      <c r="BJ47" s="59">
        <f t="shared" si="38"/>
        <v>99.639724892155641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0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>
        <f>BY47*VLOOKUP('Données projet'!$B$12,Paramètres!$A$1:$I$89,3,0)*VLOOKUP('Données projet'!$B$12,Paramètres!$A$1:$I$89,5,0)</f>
        <v>0</v>
      </c>
      <c r="CA47" s="13" t="e">
        <f t="shared" si="39"/>
        <v>#NUM!</v>
      </c>
      <c r="CB47" s="20" t="e">
        <f t="shared" si="10"/>
        <v>#NUM!</v>
      </c>
      <c r="CC47" s="59" t="e">
        <f t="shared" si="11"/>
        <v>#NUM!</v>
      </c>
      <c r="CD47" s="59">
        <f ca="1">AVERAGE(OFFSET($CC$3,0,0,'Données projet'!$E$12+1,1))-AVERAGE(OFFSET($H$3,0,0,'Données projet'!$E$12+1,1))</f>
        <v>0</v>
      </c>
      <c r="CE47" s="59">
        <f t="shared" si="40"/>
        <v>0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0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0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>
        <f>CT47*VLOOKUP('Données projet'!$B$13,Paramètres!$A$1:$I$89,3,0)*VLOOKUP('Données projet'!$B$13,Paramètres!$A$1:$I$89,5,0)</f>
        <v>0</v>
      </c>
      <c r="CV47" s="13" t="e">
        <f t="shared" si="41"/>
        <v>#NUM!</v>
      </c>
      <c r="CW47" s="20" t="e">
        <f t="shared" si="13"/>
        <v>#NUM!</v>
      </c>
      <c r="CX47" s="59" t="e">
        <f t="shared" si="14"/>
        <v>#NUM!</v>
      </c>
      <c r="CY47" s="59">
        <f ca="1">AVERAGE(OFFSET($CX$3,0,0,'Données projet'!$E$13+1,1))-AVERAGE(OFFSET($H$3,0,0,'Données projet'!$E$13+1,1))</f>
        <v>0</v>
      </c>
      <c r="CZ47" s="59">
        <f t="shared" si="42"/>
        <v>0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0</v>
      </c>
      <c r="DG47" s="21">
        <f>EXP(-LN(2)/25)*DG46+(1-EXP(-LN(2)/25))/(LN(2)/25)*Calculateur!DB47*Calculateur!DD47*VLOOKUP('Données projet'!$B$13,Paramètres!$A$1:$I$89,3,0)*0.475*44/12</f>
        <v>0</v>
      </c>
      <c r="DH47" s="21">
        <f>EXP(-LN(2)/2)*DH46+(1-EXP(-LN(2)/2))/(LN(2)/2)*DB47*DE47*VLOOKUP('Données projet'!$B$13,Paramètres!$A$1:$I$89,3,0)*0.475*44/12</f>
        <v>0</v>
      </c>
      <c r="DI47" s="22">
        <f t="shared" si="15"/>
        <v>0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-2.2737367544323206E-13</v>
      </c>
      <c r="O48" s="13">
        <f>N48*VLOOKUP('Données projet'!$B$9,Paramètres!$A$1:$I$89,3,0)*VLOOKUP('Données projet'!$B$9,Paramètres!$A$1:$I$89,5,0)</f>
        <v>-1.3596945791505279E-13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181.92766225683107</v>
      </c>
      <c r="T48" s="59">
        <f t="shared" si="34"/>
        <v>370.52917139565756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48.836502550066406</v>
      </c>
      <c r="AA48" s="21">
        <f>EXP(-LN(2)/25)*AA47+(1-EXP(-LN(2)/25))/(LN(2)/25)*Calculateur!V48*Calculateur!X48*VLOOKUP('Données projet'!$B$9,Paramètres!$A$1:$I$89,3,0)*0.475*44/12</f>
        <v>38.838134482842889</v>
      </c>
      <c r="AB48" s="21">
        <f>EXP(-LN(2)/2)*AB47+(1-EXP(-LN(2)/2))/(LN(2)/2)*V48*Y48*VLOOKUP('Données projet'!$B$9,Paramètres!$A$1:$I$89,3,0)*0.475*44/12</f>
        <v>2.5103145387084398</v>
      </c>
      <c r="AC48" s="22">
        <f t="shared" si="3"/>
        <v>90.184951571617731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7.7</v>
      </c>
      <c r="AI48" s="13">
        <f>IF('Données projet'!$A$62&gt;35,AI47+AH48-AQ47,IF(A48&lt;'Données projet'!$A$62,$AF$205^A48,IF(A48='Données projet'!$A$62,'Données projet'!$B$62,AI47+AH48-AQ47)))</f>
        <v>202.4999999999998</v>
      </c>
      <c r="AJ48" s="13">
        <f>AI48*VLOOKUP('Données projet'!$B$10,Paramètres!$A$1:$I$89,3,0)*VLOOKUP('Données projet'!$B$10,Paramètres!$A$1:$I$89,5,0)</f>
        <v>164.26799999999986</v>
      </c>
      <c r="AK48" s="13">
        <f t="shared" si="35"/>
        <v>41.803694835525619</v>
      </c>
      <c r="AL48" s="20">
        <f t="shared" si="4"/>
        <v>358.90820183854021</v>
      </c>
      <c r="AM48" s="59">
        <f t="shared" si="5"/>
        <v>652.24153517187347</v>
      </c>
      <c r="AN48" s="59">
        <f ca="1">AVERAGE(OFFSET($AM$3,0,0,'Données projet'!$E$10+1,1))-AVERAGE(OFFSET($H$3,0,0,'Données projet'!$E$10+1,1))</f>
        <v>235.31102883830971</v>
      </c>
      <c r="AO48" s="59">
        <f t="shared" si="36"/>
        <v>271.48630853790422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5.612115470146767</v>
      </c>
      <c r="AW48" s="21">
        <f>EXP(-LN(2)/2)*AW47+(1-EXP(-LN(2)/2))/(LN(2)/2)*AQ48*AT48*VLOOKUP('Données projet'!$B$10,Paramètres!$A$1:$I$89,3,0)*0.475*44/12</f>
        <v>6.0615454600339021E-2</v>
      </c>
      <c r="AX48" s="21">
        <f t="shared" si="6"/>
        <v>5.6727309247471061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5.6</v>
      </c>
      <c r="BD48" s="12">
        <f>IF('Données projet'!$A$88&gt;35,BD47+BC48-BL47,IF(A48&lt;'Données projet'!$A$88,$BA$205^A48,IF(A48='Données projet'!$A$88,'Données projet'!$B$88,BD47+BC48-BL47)))</f>
        <v>106.99999999999999</v>
      </c>
      <c r="BE48" s="13">
        <f>BD48*VLOOKUP('Données projet'!$B$11,Paramètres!$A$1:$I$89,3,0)*VLOOKUP('Données projet'!$B$11,Paramètres!$A$1:$I$89,5,0)</f>
        <v>121.85159999999998</v>
      </c>
      <c r="BF48" s="13">
        <f t="shared" si="37"/>
        <v>32.106468978964038</v>
      </c>
      <c r="BG48" s="20">
        <f t="shared" si="7"/>
        <v>268.14363680502896</v>
      </c>
      <c r="BH48" s="59">
        <f t="shared" si="8"/>
        <v>561.47697013836228</v>
      </c>
      <c r="BI48" s="59">
        <f ca="1">AVERAGE(OFFSET($BH$3,0,0,'Données projet'!$E$11+1,1))-AVERAGE(OFFSET($H$3,0,0,'Données projet'!$E$11+1,1))</f>
        <v>249.01678065306629</v>
      </c>
      <c r="BJ48" s="59">
        <f t="shared" si="38"/>
        <v>99.639724892155641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0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>
        <f>BY48*VLOOKUP('Données projet'!$B$12,Paramètres!$A$1:$I$89,3,0)*VLOOKUP('Données projet'!$B$12,Paramètres!$A$1:$I$89,5,0)</f>
        <v>0</v>
      </c>
      <c r="CA48" s="13" t="e">
        <f t="shared" si="39"/>
        <v>#NUM!</v>
      </c>
      <c r="CB48" s="20" t="e">
        <f t="shared" si="10"/>
        <v>#NUM!</v>
      </c>
      <c r="CC48" s="59" t="e">
        <f t="shared" si="11"/>
        <v>#NUM!</v>
      </c>
      <c r="CD48" s="59">
        <f ca="1">AVERAGE(OFFSET($CC$3,0,0,'Données projet'!$E$12+1,1))-AVERAGE(OFFSET($H$3,0,0,'Données projet'!$E$12+1,1))</f>
        <v>0</v>
      </c>
      <c r="CE48" s="59">
        <f t="shared" si="40"/>
        <v>0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0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0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>
        <f>CT48*VLOOKUP('Données projet'!$B$13,Paramètres!$A$1:$I$89,3,0)*VLOOKUP('Données projet'!$B$13,Paramètres!$A$1:$I$89,5,0)</f>
        <v>0</v>
      </c>
      <c r="CV48" s="13" t="e">
        <f t="shared" si="41"/>
        <v>#NUM!</v>
      </c>
      <c r="CW48" s="20" t="e">
        <f t="shared" si="13"/>
        <v>#NUM!</v>
      </c>
      <c r="CX48" s="59" t="e">
        <f t="shared" si="14"/>
        <v>#NUM!</v>
      </c>
      <c r="CY48" s="59">
        <f ca="1">AVERAGE(OFFSET($CX$3,0,0,'Données projet'!$E$13+1,1))-AVERAGE(OFFSET($H$3,0,0,'Données projet'!$E$13+1,1))</f>
        <v>0</v>
      </c>
      <c r="CZ48" s="59">
        <f t="shared" si="42"/>
        <v>0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0</v>
      </c>
      <c r="DG48" s="21">
        <f>EXP(-LN(2)/25)*DG47+(1-EXP(-LN(2)/25))/(LN(2)/25)*Calculateur!DB48*Calculateur!DD48*VLOOKUP('Données projet'!$B$13,Paramètres!$A$1:$I$89,3,0)*0.475*44/12</f>
        <v>0</v>
      </c>
      <c r="DH48" s="21">
        <f>EXP(-LN(2)/2)*DH47+(1-EXP(-LN(2)/2))/(LN(2)/2)*DB48*DE48*VLOOKUP('Données projet'!$B$13,Paramètres!$A$1:$I$89,3,0)*0.475*44/12</f>
        <v>0</v>
      </c>
      <c r="DI48" s="22">
        <f t="shared" si="15"/>
        <v>0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-2.2737367544323206E-13</v>
      </c>
      <c r="O49" s="13">
        <f>N49*VLOOKUP('Données projet'!$B$9,Paramètres!$A$1:$I$89,3,0)*VLOOKUP('Données projet'!$B$9,Paramètres!$A$1:$I$89,5,0)</f>
        <v>-1.3596945791505279E-13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181.92766225683107</v>
      </c>
      <c r="T49" s="59">
        <f t="shared" si="34"/>
        <v>370.52917139565756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47.878848522384907</v>
      </c>
      <c r="AA49" s="21">
        <f>EXP(-LN(2)/25)*AA48+(1-EXP(-LN(2)/25))/(LN(2)/25)*Calculateur!V49*Calculateur!X49*VLOOKUP('Données projet'!$B$9,Paramètres!$A$1:$I$89,3,0)*0.475*44/12</f>
        <v>37.776103653000824</v>
      </c>
      <c r="AB49" s="21">
        <f>EXP(-LN(2)/2)*AB48+(1-EXP(-LN(2)/2))/(LN(2)/2)*V49*Y49*VLOOKUP('Données projet'!$B$9,Paramètres!$A$1:$I$89,3,0)*0.475*44/12</f>
        <v>1.7750604332319178</v>
      </c>
      <c r="AC49" s="22">
        <f t="shared" si="3"/>
        <v>87.430012608617645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7.7</v>
      </c>
      <c r="AI49" s="13">
        <f>IF('Données projet'!$A$62&gt;35,AI48+AH49-AQ48,IF(A49&lt;'Données projet'!$A$62,$AF$205^A49,IF(A49='Données projet'!$A$62,'Données projet'!$B$62,AI48+AH49-AQ48)))</f>
        <v>210.19999999999979</v>
      </c>
      <c r="AJ49" s="13">
        <f>AI49*VLOOKUP('Données projet'!$B$10,Paramètres!$A$1:$I$89,3,0)*VLOOKUP('Données projet'!$B$10,Paramètres!$A$1:$I$89,5,0)</f>
        <v>170.51423999999983</v>
      </c>
      <c r="AK49" s="13">
        <f t="shared" si="35"/>
        <v>43.20517598524669</v>
      </c>
      <c r="AL49" s="20">
        <f t="shared" si="4"/>
        <v>372.22798284097098</v>
      </c>
      <c r="AM49" s="59">
        <f t="shared" si="5"/>
        <v>665.56131617430424</v>
      </c>
      <c r="AN49" s="59">
        <f ca="1">AVERAGE(OFFSET($AM$3,0,0,'Données projet'!$E$10+1,1))-AVERAGE(OFFSET($H$3,0,0,'Données projet'!$E$10+1,1))</f>
        <v>235.31102883830971</v>
      </c>
      <c r="AO49" s="59">
        <f t="shared" si="36"/>
        <v>271.48630853790422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5.4586518774872781</v>
      </c>
      <c r="AW49" s="21">
        <f>EXP(-LN(2)/2)*AW48+(1-EXP(-LN(2)/2))/(LN(2)/2)*AQ49*AT49*VLOOKUP('Données projet'!$B$10,Paramètres!$A$1:$I$89,3,0)*0.475*44/12</f>
        <v>4.2861598992605034E-2</v>
      </c>
      <c r="AX49" s="21">
        <f t="shared" si="6"/>
        <v>5.5015134764798832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5.6</v>
      </c>
      <c r="BD49" s="12">
        <f>IF('Données projet'!$A$88&gt;35,BD48+BC49-BL48,IF(A49&lt;'Données projet'!$A$88,$BA$205^A49,IF(A49='Données projet'!$A$88,'Données projet'!$B$88,BD48+BC49-BL48)))</f>
        <v>112.59999999999998</v>
      </c>
      <c r="BE49" s="13">
        <f>BD49*VLOOKUP('Données projet'!$B$11,Paramètres!$A$1:$I$89,3,0)*VLOOKUP('Données projet'!$B$11,Paramètres!$A$1:$I$89,5,0)</f>
        <v>128.22887999999998</v>
      </c>
      <c r="BF49" s="13">
        <f t="shared" si="37"/>
        <v>33.586779340295337</v>
      </c>
      <c r="BG49" s="20">
        <f t="shared" si="7"/>
        <v>281.82894001768102</v>
      </c>
      <c r="BH49" s="59">
        <f t="shared" si="8"/>
        <v>575.16227335101439</v>
      </c>
      <c r="BI49" s="59">
        <f ca="1">AVERAGE(OFFSET($BH$3,0,0,'Données projet'!$E$11+1,1))-AVERAGE(OFFSET($H$3,0,0,'Données projet'!$E$11+1,1))</f>
        <v>249.01678065306629</v>
      </c>
      <c r="BJ49" s="59">
        <f t="shared" si="38"/>
        <v>99.639724892155641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0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>
        <f>BY49*VLOOKUP('Données projet'!$B$12,Paramètres!$A$1:$I$89,3,0)*VLOOKUP('Données projet'!$B$12,Paramètres!$A$1:$I$89,5,0)</f>
        <v>0</v>
      </c>
      <c r="CA49" s="13" t="e">
        <f t="shared" si="39"/>
        <v>#NUM!</v>
      </c>
      <c r="CB49" s="20" t="e">
        <f t="shared" si="10"/>
        <v>#NUM!</v>
      </c>
      <c r="CC49" s="59" t="e">
        <f t="shared" si="11"/>
        <v>#NUM!</v>
      </c>
      <c r="CD49" s="59">
        <f ca="1">AVERAGE(OFFSET($CC$3,0,0,'Données projet'!$E$12+1,1))-AVERAGE(OFFSET($H$3,0,0,'Données projet'!$E$12+1,1))</f>
        <v>0</v>
      </c>
      <c r="CE49" s="59">
        <f t="shared" si="40"/>
        <v>0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0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0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>
        <f>CT49*VLOOKUP('Données projet'!$B$13,Paramètres!$A$1:$I$89,3,0)*VLOOKUP('Données projet'!$B$13,Paramètres!$A$1:$I$89,5,0)</f>
        <v>0</v>
      </c>
      <c r="CV49" s="13" t="e">
        <f t="shared" si="41"/>
        <v>#NUM!</v>
      </c>
      <c r="CW49" s="20" t="e">
        <f t="shared" si="13"/>
        <v>#NUM!</v>
      </c>
      <c r="CX49" s="59" t="e">
        <f t="shared" si="14"/>
        <v>#NUM!</v>
      </c>
      <c r="CY49" s="59">
        <f ca="1">AVERAGE(OFFSET($CX$3,0,0,'Données projet'!$E$13+1,1))-AVERAGE(OFFSET($H$3,0,0,'Données projet'!$E$13+1,1))</f>
        <v>0</v>
      </c>
      <c r="CZ49" s="59">
        <f t="shared" si="42"/>
        <v>0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0</v>
      </c>
      <c r="DG49" s="21">
        <f>EXP(-LN(2)/25)*DG48+(1-EXP(-LN(2)/25))/(LN(2)/25)*Calculateur!DB49*Calculateur!DD49*VLOOKUP('Données projet'!$B$13,Paramètres!$A$1:$I$89,3,0)*0.475*44/12</f>
        <v>0</v>
      </c>
      <c r="DH49" s="21">
        <f>EXP(-LN(2)/2)*DH48+(1-EXP(-LN(2)/2))/(LN(2)/2)*DB49*DE49*VLOOKUP('Données projet'!$B$13,Paramètres!$A$1:$I$89,3,0)*0.475*44/12</f>
        <v>0</v>
      </c>
      <c r="DI49" s="22">
        <f t="shared" si="15"/>
        <v>0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-2.2737367544323206E-13</v>
      </c>
      <c r="O50" s="13">
        <f>N50*VLOOKUP('Données projet'!$B$9,Paramètres!$A$1:$I$89,3,0)*VLOOKUP('Données projet'!$B$9,Paramètres!$A$1:$I$89,5,0)</f>
        <v>-1.3596945791505279E-13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181.92766225683107</v>
      </c>
      <c r="T50" s="59">
        <f t="shared" si="34"/>
        <v>370.52917139565756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46.939973506074956</v>
      </c>
      <c r="AA50" s="21">
        <f>EXP(-LN(2)/25)*AA49+(1-EXP(-LN(2)/25))/(LN(2)/25)*Calculateur!V50*Calculateur!X50*VLOOKUP('Données projet'!$B$9,Paramètres!$A$1:$I$89,3,0)*0.475*44/12</f>
        <v>36.743114112050563</v>
      </c>
      <c r="AB50" s="21">
        <f>EXP(-LN(2)/2)*AB49+(1-EXP(-LN(2)/2))/(LN(2)/2)*V50*Y50*VLOOKUP('Données projet'!$B$9,Paramètres!$A$1:$I$89,3,0)*0.475*44/12</f>
        <v>1.2551572693542199</v>
      </c>
      <c r="AC50" s="22">
        <f t="shared" si="3"/>
        <v>84.938244887479726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7.7</v>
      </c>
      <c r="AI50" s="13">
        <f>IF('Données projet'!$A$62&gt;35,AI49+AH50-AQ49,IF(A50&lt;'Données projet'!$A$62,$AF$205^A50,IF(A50='Données projet'!$A$62,'Données projet'!$B$62,AI49+AH50-AQ49)))</f>
        <v>217.89999999999978</v>
      </c>
      <c r="AJ50" s="13">
        <f>AI50*VLOOKUP('Données projet'!$B$10,Paramètres!$A$1:$I$89,3,0)*VLOOKUP('Données projet'!$B$10,Paramètres!$A$1:$I$89,5,0)</f>
        <v>176.76047999999983</v>
      </c>
      <c r="AK50" s="13">
        <f t="shared" si="35"/>
        <v>44.600692617848637</v>
      </c>
      <c r="AL50" s="20">
        <f t="shared" si="4"/>
        <v>385.53737564275275</v>
      </c>
      <c r="AM50" s="59">
        <f t="shared" si="5"/>
        <v>678.87070897608601</v>
      </c>
      <c r="AN50" s="59">
        <f ca="1">AVERAGE(OFFSET($AM$3,0,0,'Données projet'!$E$10+1,1))-AVERAGE(OFFSET($H$3,0,0,'Données projet'!$E$10+1,1))</f>
        <v>235.31102883830971</v>
      </c>
      <c r="AO50" s="59">
        <f t="shared" si="36"/>
        <v>271.48630853790422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5.3093847548393622</v>
      </c>
      <c r="AW50" s="21">
        <f>EXP(-LN(2)/2)*AW49+(1-EXP(-LN(2)/2))/(LN(2)/2)*AQ50*AT50*VLOOKUP('Données projet'!$B$10,Paramètres!$A$1:$I$89,3,0)*0.475*44/12</f>
        <v>3.0307727300169514E-2</v>
      </c>
      <c r="AX50" s="21">
        <f t="shared" si="6"/>
        <v>5.3396924821395322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5.6</v>
      </c>
      <c r="BD50" s="12">
        <f>IF('Données projet'!$A$88&gt;35,BD49+BC50-BL49,IF(A50&lt;'Données projet'!$A$88,$BA$205^A50,IF(A50='Données projet'!$A$88,'Données projet'!$B$88,BD49+BC50-BL49)))</f>
        <v>118.19999999999997</v>
      </c>
      <c r="BE50" s="13">
        <f>BD50*VLOOKUP('Données projet'!$B$11,Paramètres!$A$1:$I$89,3,0)*VLOOKUP('Données projet'!$B$11,Paramètres!$A$1:$I$89,5,0)</f>
        <v>134.60615999999996</v>
      </c>
      <c r="BF50" s="13">
        <f t="shared" si="37"/>
        <v>35.05854123936858</v>
      </c>
      <c r="BG50" s="20">
        <f t="shared" si="7"/>
        <v>295.49935465856686</v>
      </c>
      <c r="BH50" s="59">
        <f t="shared" si="8"/>
        <v>588.83268799190023</v>
      </c>
      <c r="BI50" s="59">
        <f ca="1">AVERAGE(OFFSET($BH$3,0,0,'Données projet'!$E$11+1,1))-AVERAGE(OFFSET($H$3,0,0,'Données projet'!$E$11+1,1))</f>
        <v>249.01678065306629</v>
      </c>
      <c r="BJ50" s="59">
        <f t="shared" si="38"/>
        <v>99.639724892155641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0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>
        <f>BY50*VLOOKUP('Données projet'!$B$12,Paramètres!$A$1:$I$89,3,0)*VLOOKUP('Données projet'!$B$12,Paramètres!$A$1:$I$89,5,0)</f>
        <v>0</v>
      </c>
      <c r="CA50" s="13" t="e">
        <f t="shared" si="39"/>
        <v>#NUM!</v>
      </c>
      <c r="CB50" s="20" t="e">
        <f t="shared" si="10"/>
        <v>#NUM!</v>
      </c>
      <c r="CC50" s="59" t="e">
        <f t="shared" si="11"/>
        <v>#NUM!</v>
      </c>
      <c r="CD50" s="59">
        <f ca="1">AVERAGE(OFFSET($CC$3,0,0,'Données projet'!$E$12+1,1))-AVERAGE(OFFSET($H$3,0,0,'Données projet'!$E$12+1,1))</f>
        <v>0</v>
      </c>
      <c r="CE50" s="59">
        <f t="shared" si="40"/>
        <v>0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0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0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>
        <f>CT50*VLOOKUP('Données projet'!$B$13,Paramètres!$A$1:$I$89,3,0)*VLOOKUP('Données projet'!$B$13,Paramètres!$A$1:$I$89,5,0)</f>
        <v>0</v>
      </c>
      <c r="CV50" s="13" t="e">
        <f t="shared" si="41"/>
        <v>#NUM!</v>
      </c>
      <c r="CW50" s="20" t="e">
        <f t="shared" si="13"/>
        <v>#NUM!</v>
      </c>
      <c r="CX50" s="59" t="e">
        <f t="shared" si="14"/>
        <v>#NUM!</v>
      </c>
      <c r="CY50" s="59">
        <f ca="1">AVERAGE(OFFSET($CX$3,0,0,'Données projet'!$E$13+1,1))-AVERAGE(OFFSET($H$3,0,0,'Données projet'!$E$13+1,1))</f>
        <v>0</v>
      </c>
      <c r="CZ50" s="59">
        <f t="shared" si="42"/>
        <v>0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0</v>
      </c>
      <c r="DG50" s="21">
        <f>EXP(-LN(2)/25)*DG49+(1-EXP(-LN(2)/25))/(LN(2)/25)*Calculateur!DB50*Calculateur!DD50*VLOOKUP('Données projet'!$B$13,Paramètres!$A$1:$I$89,3,0)*0.475*44/12</f>
        <v>0</v>
      </c>
      <c r="DH50" s="21">
        <f>EXP(-LN(2)/2)*DH49+(1-EXP(-LN(2)/2))/(LN(2)/2)*DB50*DE50*VLOOKUP('Données projet'!$B$13,Paramètres!$A$1:$I$89,3,0)*0.475*44/12</f>
        <v>0</v>
      </c>
      <c r="DI50" s="22">
        <f t="shared" si="15"/>
        <v>0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-2.2737367544323206E-13</v>
      </c>
      <c r="O51" s="13">
        <f>N51*VLOOKUP('Données projet'!$B$9,Paramètres!$A$1:$I$89,3,0)*VLOOKUP('Données projet'!$B$9,Paramètres!$A$1:$I$89,5,0)</f>
        <v>-1.3596945791505279E-13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181.92766225683107</v>
      </c>
      <c r="T51" s="59">
        <f t="shared" si="34"/>
        <v>370.52917139565756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46.019509256177635</v>
      </c>
      <c r="AA51" s="21">
        <f>EXP(-LN(2)/25)*AA50+(1-EXP(-LN(2)/25))/(LN(2)/25)*Calculateur!V51*Calculateur!X51*VLOOKUP('Données projet'!$B$9,Paramètres!$A$1:$I$89,3,0)*0.475*44/12</f>
        <v>35.738371724420148</v>
      </c>
      <c r="AB51" s="21">
        <f>EXP(-LN(2)/2)*AB50+(1-EXP(-LN(2)/2))/(LN(2)/2)*V51*Y51*VLOOKUP('Données projet'!$B$9,Paramètres!$A$1:$I$89,3,0)*0.475*44/12</f>
        <v>0.88753021661595888</v>
      </c>
      <c r="AC51" s="22">
        <f t="shared" si="3"/>
        <v>82.645411197213733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7.7</v>
      </c>
      <c r="AI51" s="13">
        <f>IF('Données projet'!$A$62&gt;35,AI50+AH51-AQ50,IF(A51&lt;'Données projet'!$A$62,$AF$205^A51,IF(A51='Données projet'!$A$62,'Données projet'!$B$62,AI50+AH51-AQ50)))</f>
        <v>225.59999999999977</v>
      </c>
      <c r="AJ51" s="13">
        <f>AI51*VLOOKUP('Données projet'!$B$10,Paramètres!$A$1:$I$89,3,0)*VLOOKUP('Données projet'!$B$10,Paramètres!$A$1:$I$89,5,0)</f>
        <v>183.00671999999983</v>
      </c>
      <c r="AK51" s="13">
        <f t="shared" si="35"/>
        <v>45.990479653087661</v>
      </c>
      <c r="AL51" s="20">
        <f t="shared" si="4"/>
        <v>398.83678939579403</v>
      </c>
      <c r="AM51" s="59">
        <f t="shared" si="5"/>
        <v>692.17012272912734</v>
      </c>
      <c r="AN51" s="59">
        <f ca="1">AVERAGE(OFFSET($AM$3,0,0,'Données projet'!$E$10+1,1))-AVERAGE(OFFSET($H$3,0,0,'Données projet'!$E$10+1,1))</f>
        <v>235.31102883830971</v>
      </c>
      <c r="AO51" s="59">
        <f t="shared" si="36"/>
        <v>271.48630853790422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5.1641993495098708</v>
      </c>
      <c r="AW51" s="21">
        <f>EXP(-LN(2)/2)*AW50+(1-EXP(-LN(2)/2))/(LN(2)/2)*AQ51*AT51*VLOOKUP('Données projet'!$B$10,Paramètres!$A$1:$I$89,3,0)*0.475*44/12</f>
        <v>2.143079949630252E-2</v>
      </c>
      <c r="AX51" s="21">
        <f t="shared" si="6"/>
        <v>5.1856301490061734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5.6</v>
      </c>
      <c r="BD51" s="12">
        <f>IF('Données projet'!$A$88&gt;35,BD50+BC51-BL50,IF(A51&lt;'Données projet'!$A$88,$BA$205^A51,IF(A51='Données projet'!$A$88,'Données projet'!$B$88,BD50+BC51-BL50)))</f>
        <v>123.79999999999997</v>
      </c>
      <c r="BE51" s="13">
        <f>BD51*VLOOKUP('Données projet'!$B$11,Paramètres!$A$1:$I$89,3,0)*VLOOKUP('Données projet'!$B$11,Paramètres!$A$1:$I$89,5,0)</f>
        <v>140.98343999999997</v>
      </c>
      <c r="BF51" s="13">
        <f t="shared" si="37"/>
        <v>36.522205922710093</v>
      </c>
      <c r="BG51" s="20">
        <f t="shared" si="7"/>
        <v>309.15566664872</v>
      </c>
      <c r="BH51" s="59">
        <f t="shared" si="8"/>
        <v>602.48899998205331</v>
      </c>
      <c r="BI51" s="59">
        <f ca="1">AVERAGE(OFFSET($BH$3,0,0,'Données projet'!$E$11+1,1))-AVERAGE(OFFSET($H$3,0,0,'Données projet'!$E$11+1,1))</f>
        <v>249.01678065306629</v>
      </c>
      <c r="BJ51" s="59">
        <f t="shared" si="38"/>
        <v>99.639724892155641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0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>
        <f>BY51*VLOOKUP('Données projet'!$B$12,Paramètres!$A$1:$I$89,3,0)*VLOOKUP('Données projet'!$B$12,Paramètres!$A$1:$I$89,5,0)</f>
        <v>0</v>
      </c>
      <c r="CA51" s="13" t="e">
        <f t="shared" si="39"/>
        <v>#NUM!</v>
      </c>
      <c r="CB51" s="20" t="e">
        <f t="shared" si="10"/>
        <v>#NUM!</v>
      </c>
      <c r="CC51" s="59" t="e">
        <f t="shared" si="11"/>
        <v>#NUM!</v>
      </c>
      <c r="CD51" s="59">
        <f ca="1">AVERAGE(OFFSET($CC$3,0,0,'Données projet'!$E$12+1,1))-AVERAGE(OFFSET($H$3,0,0,'Données projet'!$E$12+1,1))</f>
        <v>0</v>
      </c>
      <c r="CE51" s="59">
        <f t="shared" si="40"/>
        <v>0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0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0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>
        <f>CT51*VLOOKUP('Données projet'!$B$13,Paramètres!$A$1:$I$89,3,0)*VLOOKUP('Données projet'!$B$13,Paramètres!$A$1:$I$89,5,0)</f>
        <v>0</v>
      </c>
      <c r="CV51" s="13" t="e">
        <f t="shared" si="41"/>
        <v>#NUM!</v>
      </c>
      <c r="CW51" s="20" t="e">
        <f t="shared" si="13"/>
        <v>#NUM!</v>
      </c>
      <c r="CX51" s="59" t="e">
        <f t="shared" si="14"/>
        <v>#NUM!</v>
      </c>
      <c r="CY51" s="59">
        <f ca="1">AVERAGE(OFFSET($CX$3,0,0,'Données projet'!$E$13+1,1))-AVERAGE(OFFSET($H$3,0,0,'Données projet'!$E$13+1,1))</f>
        <v>0</v>
      </c>
      <c r="CZ51" s="59">
        <f t="shared" si="42"/>
        <v>0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0</v>
      </c>
      <c r="DG51" s="21">
        <f>EXP(-LN(2)/25)*DG50+(1-EXP(-LN(2)/25))/(LN(2)/25)*Calculateur!DB51*Calculateur!DD51*VLOOKUP('Données projet'!$B$13,Paramètres!$A$1:$I$89,3,0)*0.475*44/12</f>
        <v>0</v>
      </c>
      <c r="DH51" s="21">
        <f>EXP(-LN(2)/2)*DH50+(1-EXP(-LN(2)/2))/(LN(2)/2)*DB51*DE51*VLOOKUP('Données projet'!$B$13,Paramètres!$A$1:$I$89,3,0)*0.475*44/12</f>
        <v>0</v>
      </c>
      <c r="DI51" s="22">
        <f t="shared" si="15"/>
        <v>0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-2.2737367544323206E-13</v>
      </c>
      <c r="O52" s="13">
        <f>N52*VLOOKUP('Données projet'!$B$9,Paramètres!$A$1:$I$89,3,0)*VLOOKUP('Données projet'!$B$9,Paramètres!$A$1:$I$89,5,0)</f>
        <v>-1.3596945791505279E-13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181.92766225683107</v>
      </c>
      <c r="T52" s="59">
        <f t="shared" si="34"/>
        <v>370.52917139565756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45.117094748793043</v>
      </c>
      <c r="AA52" s="21">
        <f>EXP(-LN(2)/25)*AA51+(1-EXP(-LN(2)/25))/(LN(2)/25)*Calculateur!V52*Calculateur!X52*VLOOKUP('Données projet'!$B$9,Paramètres!$A$1:$I$89,3,0)*0.475*44/12</f>
        <v>34.761104070216589</v>
      </c>
      <c r="AB52" s="21">
        <f>EXP(-LN(2)/2)*AB51+(1-EXP(-LN(2)/2))/(LN(2)/2)*V52*Y52*VLOOKUP('Données projet'!$B$9,Paramètres!$A$1:$I$89,3,0)*0.475*44/12</f>
        <v>0.62757863467710995</v>
      </c>
      <c r="AC52" s="22">
        <f t="shared" si="3"/>
        <v>80.505777453686747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7.7</v>
      </c>
      <c r="AI52" s="13">
        <f>IF('Données projet'!$A$62&gt;35,AI51+AH52-AQ51,IF(A52&lt;'Données projet'!$A$62,$AF$205^A52,IF(A52='Données projet'!$A$62,'Données projet'!$B$62,AI51+AH52-AQ51)))</f>
        <v>233.29999999999976</v>
      </c>
      <c r="AJ52" s="13">
        <f>AI52*VLOOKUP('Données projet'!$B$10,Paramètres!$A$1:$I$89,3,0)*VLOOKUP('Données projet'!$B$10,Paramètres!$A$1:$I$89,5,0)</f>
        <v>189.2529599999998</v>
      </c>
      <c r="AK52" s="13">
        <f t="shared" si="35"/>
        <v>47.374755064875977</v>
      </c>
      <c r="AL52" s="20">
        <f t="shared" si="4"/>
        <v>412.12660373799196</v>
      </c>
      <c r="AM52" s="59">
        <f t="shared" si="5"/>
        <v>705.45993707132527</v>
      </c>
      <c r="AN52" s="59">
        <f ca="1">AVERAGE(OFFSET($AM$3,0,0,'Données projet'!$E$10+1,1))-AVERAGE(OFFSET($H$3,0,0,'Données projet'!$E$10+1,1))</f>
        <v>235.31102883830971</v>
      </c>
      <c r="AO52" s="59">
        <f t="shared" si="36"/>
        <v>271.48630853790422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5.0229840467240825</v>
      </c>
      <c r="AW52" s="21">
        <f>EXP(-LN(2)/2)*AW51+(1-EXP(-LN(2)/2))/(LN(2)/2)*AQ52*AT52*VLOOKUP('Données projet'!$B$10,Paramètres!$A$1:$I$89,3,0)*0.475*44/12</f>
        <v>1.515386365008476E-2</v>
      </c>
      <c r="AX52" s="21">
        <f t="shared" si="6"/>
        <v>5.038137910374167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5.6</v>
      </c>
      <c r="BD52" s="12">
        <f>IF('Données projet'!$A$88&gt;35,BD51+BC52-BL51,IF(A52&lt;'Données projet'!$A$88,$BA$205^A52,IF(A52='Données projet'!$A$88,'Données projet'!$B$88,BD51+BC52-BL51)))</f>
        <v>129.39999999999998</v>
      </c>
      <c r="BE52" s="13">
        <f>BD52*VLOOKUP('Données projet'!$B$11,Paramètres!$A$1:$I$89,3,0)*VLOOKUP('Données projet'!$B$11,Paramètres!$A$1:$I$89,5,0)</f>
        <v>147.36071999999996</v>
      </c>
      <c r="BF52" s="13">
        <f t="shared" si="37"/>
        <v>37.978181505546587</v>
      </c>
      <c r="BG52" s="20">
        <f t="shared" si="7"/>
        <v>322.79858678882687</v>
      </c>
      <c r="BH52" s="59">
        <f t="shared" si="8"/>
        <v>616.13192012216018</v>
      </c>
      <c r="BI52" s="59">
        <f ca="1">AVERAGE(OFFSET($BH$3,0,0,'Données projet'!$E$11+1,1))-AVERAGE(OFFSET($H$3,0,0,'Données projet'!$E$11+1,1))</f>
        <v>249.01678065306629</v>
      </c>
      <c r="BJ52" s="59">
        <f t="shared" si="38"/>
        <v>99.639724892155641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0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>
        <f>BY52*VLOOKUP('Données projet'!$B$12,Paramètres!$A$1:$I$89,3,0)*VLOOKUP('Données projet'!$B$12,Paramètres!$A$1:$I$89,5,0)</f>
        <v>0</v>
      </c>
      <c r="CA52" s="13" t="e">
        <f t="shared" si="39"/>
        <v>#NUM!</v>
      </c>
      <c r="CB52" s="20" t="e">
        <f t="shared" si="10"/>
        <v>#NUM!</v>
      </c>
      <c r="CC52" s="59" t="e">
        <f t="shared" si="11"/>
        <v>#NUM!</v>
      </c>
      <c r="CD52" s="59">
        <f ca="1">AVERAGE(OFFSET($CC$3,0,0,'Données projet'!$E$12+1,1))-AVERAGE(OFFSET($H$3,0,0,'Données projet'!$E$12+1,1))</f>
        <v>0</v>
      </c>
      <c r="CE52" s="59">
        <f t="shared" si="40"/>
        <v>0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0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0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>
        <f>CT52*VLOOKUP('Données projet'!$B$13,Paramètres!$A$1:$I$89,3,0)*VLOOKUP('Données projet'!$B$13,Paramètres!$A$1:$I$89,5,0)</f>
        <v>0</v>
      </c>
      <c r="CV52" s="13" t="e">
        <f t="shared" si="41"/>
        <v>#NUM!</v>
      </c>
      <c r="CW52" s="20" t="e">
        <f t="shared" si="13"/>
        <v>#NUM!</v>
      </c>
      <c r="CX52" s="59" t="e">
        <f t="shared" si="14"/>
        <v>#NUM!</v>
      </c>
      <c r="CY52" s="59">
        <f ca="1">AVERAGE(OFFSET($CX$3,0,0,'Données projet'!$E$13+1,1))-AVERAGE(OFFSET($H$3,0,0,'Données projet'!$E$13+1,1))</f>
        <v>0</v>
      </c>
      <c r="CZ52" s="59">
        <f t="shared" si="42"/>
        <v>0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0</v>
      </c>
      <c r="DG52" s="21">
        <f>EXP(-LN(2)/25)*DG51+(1-EXP(-LN(2)/25))/(LN(2)/25)*Calculateur!DB52*Calculateur!DD52*VLOOKUP('Données projet'!$B$13,Paramètres!$A$1:$I$89,3,0)*0.475*44/12</f>
        <v>0</v>
      </c>
      <c r="DH52" s="21">
        <f>EXP(-LN(2)/2)*DH51+(1-EXP(-LN(2)/2))/(LN(2)/2)*DB52*DE52*VLOOKUP('Données projet'!$B$13,Paramètres!$A$1:$I$89,3,0)*0.475*44/12</f>
        <v>0</v>
      </c>
      <c r="DI52" s="22">
        <f t="shared" si="15"/>
        <v>0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-2.2737367544323206E-13</v>
      </c>
      <c r="O53" s="13">
        <f>N53*VLOOKUP('Données projet'!$B$9,Paramètres!$A$1:$I$89,3,0)*VLOOKUP('Données projet'!$B$9,Paramètres!$A$1:$I$89,5,0)</f>
        <v>-1.3596945791505279E-13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181.92766225683107</v>
      </c>
      <c r="T53" s="59">
        <f t="shared" si="34"/>
        <v>370.52917139565756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44.23237603947976</v>
      </c>
      <c r="AA53" s="21">
        <f>EXP(-LN(2)/25)*AA52+(1-EXP(-LN(2)/25))/(LN(2)/25)*Calculateur!V53*Calculateur!X53*VLOOKUP('Données projet'!$B$9,Paramètres!$A$1:$I$89,3,0)*0.475*44/12</f>
        <v>33.810559851409501</v>
      </c>
      <c r="AB53" s="21">
        <f>EXP(-LN(2)/2)*AB52+(1-EXP(-LN(2)/2))/(LN(2)/2)*V53*Y53*VLOOKUP('Données projet'!$B$9,Paramètres!$A$1:$I$89,3,0)*0.475*44/12</f>
        <v>0.44376510830797944</v>
      </c>
      <c r="AC53" s="22">
        <f t="shared" si="3"/>
        <v>78.48670099919724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241</v>
      </c>
      <c r="AG53" s="12">
        <f>VLOOKUP(A53,'Données projet'!$A$61:$I$81,9,0)</f>
        <v>7.7</v>
      </c>
      <c r="AH53" s="12">
        <f t="array" ref="AH53">INDEX(AG:AG,MIN(IF(ISNUMBER(AG53:AG249),ROW(AG53:AG249),"")))</f>
        <v>7.7</v>
      </c>
      <c r="AI53" s="13">
        <f>IF('Données projet'!$A$62&gt;35,AI52+AH53-AQ52,IF(A53&lt;'Données projet'!$A$62,$AF$205^A53,IF(A53='Données projet'!$A$62,'Données projet'!$B$62,AI52+AH53-AQ52)))</f>
        <v>240.99999999999974</v>
      </c>
      <c r="AJ53" s="13">
        <f>AI53*VLOOKUP('Données projet'!$B$10,Paramètres!$A$1:$I$89,3,0)*VLOOKUP('Données projet'!$B$10,Paramètres!$A$1:$I$89,5,0)</f>
        <v>195.4991999999998</v>
      </c>
      <c r="AK53" s="13">
        <f t="shared" si="35"/>
        <v>48.75372162220922</v>
      </c>
      <c r="AL53" s="20">
        <f t="shared" si="4"/>
        <v>425.4071718253474</v>
      </c>
      <c r="AM53" s="59">
        <f t="shared" si="5"/>
        <v>718.74050515868066</v>
      </c>
      <c r="AN53" s="59">
        <f ca="1">AVERAGE(OFFSET($AM$3,0,0,'Données projet'!$E$10+1,1))-AVERAGE(OFFSET($H$3,0,0,'Données projet'!$E$10+1,1))</f>
        <v>235.31102883830971</v>
      </c>
      <c r="AO53" s="59">
        <f t="shared" si="36"/>
        <v>271.48630853790422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39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0</v>
      </c>
      <c r="AV53" s="21">
        <f>EXP(-LN(2)/25)*AV52+(1-EXP(-LN(2)/25))/(LN(2)/25)*Calculateur!AQ53*Calculateur!AS53*VLOOKUP('Données projet'!$B$10,Paramètres!$A$1:$I$89,3,0)*0.475*44/12</f>
        <v>4.8856302838191619</v>
      </c>
      <c r="AW53" s="21">
        <f>EXP(-LN(2)/2)*AW52+(1-EXP(-LN(2)/2))/(LN(2)/2)*AQ53*AT53*VLOOKUP('Données projet'!$B$10,Paramètres!$A$1:$I$89,3,0)*0.475*44/12</f>
        <v>1.0715399748151262E-2</v>
      </c>
      <c r="AX53" s="21">
        <f t="shared" si="6"/>
        <v>4.8963456835673131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135</v>
      </c>
      <c r="BB53" s="12">
        <f>VLOOKUP(A53,'Données projet'!$A$87:$I$107,9,0)</f>
        <v>5.6</v>
      </c>
      <c r="BC53" s="12">
        <f t="array" ref="BC53">INDEX(BB:BB,MIN(IF(ISNUMBER(BB53:BB249),ROW(BB53:BB249),"")))</f>
        <v>5.6</v>
      </c>
      <c r="BD53" s="12">
        <f>IF('Données projet'!$A$88&gt;35,BD52+BC53-BL52,IF(A53&lt;'Données projet'!$A$88,$BA$205^A53,IF(A53='Données projet'!$A$88,'Données projet'!$B$88,BD52+BC53-BL52)))</f>
        <v>134.99999999999997</v>
      </c>
      <c r="BE53" s="13">
        <f>BD53*VLOOKUP('Données projet'!$B$11,Paramètres!$A$1:$I$89,3,0)*VLOOKUP('Données projet'!$B$11,Paramètres!$A$1:$I$89,5,0)</f>
        <v>153.73799999999997</v>
      </c>
      <c r="BF53" s="13">
        <f t="shared" si="37"/>
        <v>39.426838781722438</v>
      </c>
      <c r="BG53" s="20">
        <f t="shared" si="7"/>
        <v>336.42876087816649</v>
      </c>
      <c r="BH53" s="59">
        <f t="shared" si="8"/>
        <v>629.76209421149974</v>
      </c>
      <c r="BI53" s="59">
        <f ca="1">AVERAGE(OFFSET($BH$3,0,0,'Données projet'!$E$11+1,1))-AVERAGE(OFFSET($H$3,0,0,'Données projet'!$E$11+1,1))</f>
        <v>249.01678065306629</v>
      </c>
      <c r="BJ53" s="59">
        <f t="shared" si="38"/>
        <v>99.639724892155641</v>
      </c>
      <c r="BK53" s="15">
        <f>IF(ISNA(VLOOKUP(A53,'Données projet'!$A$87:$I$107,3,0)),0,VLOOKUP(A53,'Données projet'!$A$87:$I$107,3,0))</f>
        <v>2</v>
      </c>
      <c r="BL53" s="15">
        <f>IF(ISNA(VLOOKUP(A53,'Données projet'!$A$87:$I$107,4,0)),0,VLOOKUP(A53,'Données projet'!$A$87:$I$107,4,0))</f>
        <v>28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0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>
        <f>BY53*VLOOKUP('Données projet'!$B$12,Paramètres!$A$1:$I$89,3,0)*VLOOKUP('Données projet'!$B$12,Paramètres!$A$1:$I$89,5,0)</f>
        <v>0</v>
      </c>
      <c r="CA53" s="13" t="e">
        <f t="shared" si="39"/>
        <v>#NUM!</v>
      </c>
      <c r="CB53" s="20" t="e">
        <f t="shared" si="10"/>
        <v>#NUM!</v>
      </c>
      <c r="CC53" s="59" t="e">
        <f t="shared" si="11"/>
        <v>#NUM!</v>
      </c>
      <c r="CD53" s="59">
        <f ca="1">AVERAGE(OFFSET($CC$3,0,0,'Données projet'!$E$12+1,1))-AVERAGE(OFFSET($H$3,0,0,'Données projet'!$E$12+1,1))</f>
        <v>0</v>
      </c>
      <c r="CE53" s="59">
        <f t="shared" si="40"/>
        <v>0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0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0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>
        <f>CT53*VLOOKUP('Données projet'!$B$13,Paramètres!$A$1:$I$89,3,0)*VLOOKUP('Données projet'!$B$13,Paramètres!$A$1:$I$89,5,0)</f>
        <v>0</v>
      </c>
      <c r="CV53" s="13" t="e">
        <f t="shared" si="41"/>
        <v>#NUM!</v>
      </c>
      <c r="CW53" s="20" t="e">
        <f t="shared" si="13"/>
        <v>#NUM!</v>
      </c>
      <c r="CX53" s="59" t="e">
        <f t="shared" si="14"/>
        <v>#NUM!</v>
      </c>
      <c r="CY53" s="59">
        <f ca="1">AVERAGE(OFFSET($CX$3,0,0,'Données projet'!$E$13+1,1))-AVERAGE(OFFSET($H$3,0,0,'Données projet'!$E$13+1,1))</f>
        <v>0</v>
      </c>
      <c r="CZ53" s="59">
        <f t="shared" si="42"/>
        <v>0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0</v>
      </c>
      <c r="DG53" s="21">
        <f>EXP(-LN(2)/25)*DG52+(1-EXP(-LN(2)/25))/(LN(2)/25)*Calculateur!DB53*Calculateur!DD53*VLOOKUP('Données projet'!$B$13,Paramètres!$A$1:$I$89,3,0)*0.475*44/12</f>
        <v>0</v>
      </c>
      <c r="DH53" s="21">
        <f>EXP(-LN(2)/2)*DH52+(1-EXP(-LN(2)/2))/(LN(2)/2)*DB53*DE53*VLOOKUP('Données projet'!$B$13,Paramètres!$A$1:$I$89,3,0)*0.475*44/12</f>
        <v>0</v>
      </c>
      <c r="DI53" s="22">
        <f t="shared" si="15"/>
        <v>0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-2.2737367544323206E-13</v>
      </c>
      <c r="O54" s="13">
        <f>N54*VLOOKUP('Données projet'!$B$9,Paramètres!$A$1:$I$89,3,0)*VLOOKUP('Données projet'!$B$9,Paramètres!$A$1:$I$89,5,0)</f>
        <v>-1.3596945791505279E-13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181.92766225683107</v>
      </c>
      <c r="T54" s="59">
        <f t="shared" si="34"/>
        <v>370.52917139565756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43.365006124430984</v>
      </c>
      <c r="AA54" s="21">
        <f>EXP(-LN(2)/25)*AA53+(1-EXP(-LN(2)/25))/(LN(2)/25)*Calculateur!V54*Calculateur!X54*VLOOKUP('Données projet'!$B$9,Paramètres!$A$1:$I$89,3,0)*0.475*44/12</f>
        <v>32.886008314252642</v>
      </c>
      <c r="AB54" s="21">
        <f>EXP(-LN(2)/2)*AB53+(1-EXP(-LN(2)/2))/(LN(2)/2)*V54*Y54*VLOOKUP('Données projet'!$B$9,Paramètres!$A$1:$I$89,3,0)*0.475*44/12</f>
        <v>0.31378931733855497</v>
      </c>
      <c r="AC54" s="22">
        <f t="shared" si="3"/>
        <v>76.564803756022187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5.6</v>
      </c>
      <c r="AI54" s="13">
        <f>IF('Données projet'!$A$62&gt;35,AI53+AH54-AQ53,IF(A54&lt;'Données projet'!$A$62,$AF$205^A54,IF(A54='Données projet'!$A$62,'Données projet'!$B$62,AI53+AH54-AQ53)))</f>
        <v>207.59999999999974</v>
      </c>
      <c r="AJ54" s="13">
        <f>AI54*VLOOKUP('Données projet'!$B$10,Paramètres!$A$1:$I$89,3,0)*VLOOKUP('Données projet'!$B$10,Paramètres!$A$1:$I$89,5,0)</f>
        <v>168.40511999999981</v>
      </c>
      <c r="AK54" s="13">
        <f t="shared" si="35"/>
        <v>42.732627800243563</v>
      </c>
      <c r="AL54" s="20">
        <f t="shared" si="4"/>
        <v>367.73157741875724</v>
      </c>
      <c r="AM54" s="59">
        <f t="shared" si="5"/>
        <v>661.06491075209055</v>
      </c>
      <c r="AN54" s="59">
        <f ca="1">AVERAGE(OFFSET($AM$3,0,0,'Données projet'!$E$10+1,1))-AVERAGE(OFFSET($H$3,0,0,'Données projet'!$E$10+1,1))</f>
        <v>235.31102883830971</v>
      </c>
      <c r="AO54" s="59">
        <f t="shared" si="36"/>
        <v>271.48630853790422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0</v>
      </c>
      <c r="AV54" s="21">
        <f>EXP(-LN(2)/25)*AV53+(1-EXP(-LN(2)/25))/(LN(2)/25)*Calculateur!AQ54*Calculateur!AS54*VLOOKUP('Données projet'!$B$10,Paramètres!$A$1:$I$89,3,0)*0.475*44/12</f>
        <v>4.7520324667839962</v>
      </c>
      <c r="AW54" s="21">
        <f>EXP(-LN(2)/2)*AW53+(1-EXP(-LN(2)/2))/(LN(2)/2)*AQ54*AT54*VLOOKUP('Données projet'!$B$10,Paramètres!$A$1:$I$89,3,0)*0.475*44/12</f>
        <v>7.5769318250423811E-3</v>
      </c>
      <c r="AX54" s="21">
        <f t="shared" si="6"/>
        <v>4.7596093986090384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5.5</v>
      </c>
      <c r="BD54" s="12">
        <f>IF('Données projet'!$A$88&gt;35,BD53+BC54-BL53,IF(A54&lt;'Données projet'!$A$88,$BA$205^A54,IF(A54='Données projet'!$A$88,'Données projet'!$B$88,BD53+BC54-BL53)))</f>
        <v>112.49999999999997</v>
      </c>
      <c r="BE54" s="13">
        <f>BD54*VLOOKUP('Données projet'!$B$11,Paramètres!$A$1:$I$89,3,0)*VLOOKUP('Données projet'!$B$11,Paramètres!$A$1:$I$89,5,0)</f>
        <v>128.11499999999995</v>
      </c>
      <c r="BF54" s="13">
        <f t="shared" si="37"/>
        <v>33.560421602574799</v>
      </c>
      <c r="BG54" s="20">
        <f t="shared" si="7"/>
        <v>281.58469262448438</v>
      </c>
      <c r="BH54" s="59">
        <f t="shared" si="8"/>
        <v>574.91802595781769</v>
      </c>
      <c r="BI54" s="59">
        <f ca="1">AVERAGE(OFFSET($BH$3,0,0,'Données projet'!$E$11+1,1))-AVERAGE(OFFSET($H$3,0,0,'Données projet'!$E$11+1,1))</f>
        <v>249.01678065306629</v>
      </c>
      <c r="BJ54" s="59">
        <f t="shared" si="38"/>
        <v>99.639724892155641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0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>
        <f>BY54*VLOOKUP('Données projet'!$B$12,Paramètres!$A$1:$I$89,3,0)*VLOOKUP('Données projet'!$B$12,Paramètres!$A$1:$I$89,5,0)</f>
        <v>0</v>
      </c>
      <c r="CA54" s="13" t="e">
        <f t="shared" si="39"/>
        <v>#NUM!</v>
      </c>
      <c r="CB54" s="20" t="e">
        <f t="shared" si="10"/>
        <v>#NUM!</v>
      </c>
      <c r="CC54" s="59" t="e">
        <f t="shared" si="11"/>
        <v>#NUM!</v>
      </c>
      <c r="CD54" s="59">
        <f ca="1">AVERAGE(OFFSET($CC$3,0,0,'Données projet'!$E$12+1,1))-AVERAGE(OFFSET($H$3,0,0,'Données projet'!$E$12+1,1))</f>
        <v>0</v>
      </c>
      <c r="CE54" s="59">
        <f t="shared" si="40"/>
        <v>0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0</v>
      </c>
      <c r="CL54" s="21">
        <f>EXP(-LN(2)/25)*CL53+(1-EXP(-LN(2)/25))/(LN(2)/25)*Calculateur!CG54*Calculateur!CI54*VLOOKUP('Données projet'!$B$12,Paramètres!$A$1:$I$89,3,0)*0.475*44/12</f>
        <v>0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0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>
        <f>CT54*VLOOKUP('Données projet'!$B$13,Paramètres!$A$1:$I$89,3,0)*VLOOKUP('Données projet'!$B$13,Paramètres!$A$1:$I$89,5,0)</f>
        <v>0</v>
      </c>
      <c r="CV54" s="13" t="e">
        <f t="shared" si="41"/>
        <v>#NUM!</v>
      </c>
      <c r="CW54" s="20" t="e">
        <f t="shared" si="13"/>
        <v>#NUM!</v>
      </c>
      <c r="CX54" s="59" t="e">
        <f t="shared" si="14"/>
        <v>#NUM!</v>
      </c>
      <c r="CY54" s="59">
        <f ca="1">AVERAGE(OFFSET($CX$3,0,0,'Données projet'!$E$13+1,1))-AVERAGE(OFFSET($H$3,0,0,'Données projet'!$E$13+1,1))</f>
        <v>0</v>
      </c>
      <c r="CZ54" s="59">
        <f t="shared" si="42"/>
        <v>0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0</v>
      </c>
      <c r="DG54" s="21">
        <f>EXP(-LN(2)/25)*DG53+(1-EXP(-LN(2)/25))/(LN(2)/25)*Calculateur!DB54*Calculateur!DD54*VLOOKUP('Données projet'!$B$13,Paramètres!$A$1:$I$89,3,0)*0.475*44/12</f>
        <v>0</v>
      </c>
      <c r="DH54" s="21">
        <f>EXP(-LN(2)/2)*DH53+(1-EXP(-LN(2)/2))/(LN(2)/2)*DB54*DE54*VLOOKUP('Données projet'!$B$13,Paramètres!$A$1:$I$89,3,0)*0.475*44/12</f>
        <v>0</v>
      </c>
      <c r="DI54" s="22">
        <f t="shared" si="15"/>
        <v>0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-2.2737367544323206E-13</v>
      </c>
      <c r="O55" s="13">
        <f>N55*VLOOKUP('Données projet'!$B$9,Paramètres!$A$1:$I$89,3,0)*VLOOKUP('Données projet'!$B$9,Paramètres!$A$1:$I$89,5,0)</f>
        <v>-1.3596945791505279E-13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181.92766225683107</v>
      </c>
      <c r="T55" s="59">
        <f t="shared" si="34"/>
        <v>370.52917139565756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42.514644804372907</v>
      </c>
      <c r="AA55" s="21">
        <f>EXP(-LN(2)/25)*AA54+(1-EXP(-LN(2)/25))/(LN(2)/25)*Calculateur!V55*Calculateur!X55*VLOOKUP('Données projet'!$B$9,Paramètres!$A$1:$I$89,3,0)*0.475*44/12</f>
        <v>31.98673868749939</v>
      </c>
      <c r="AB55" s="21">
        <f>EXP(-LN(2)/2)*AB54+(1-EXP(-LN(2)/2))/(LN(2)/2)*V55*Y55*VLOOKUP('Données projet'!$B$9,Paramètres!$A$1:$I$89,3,0)*0.475*44/12</f>
        <v>0.22188255415398972</v>
      </c>
      <c r="AC55" s="22">
        <f t="shared" si="3"/>
        <v>74.723266046026296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5.6</v>
      </c>
      <c r="AI55" s="13">
        <f>IF('Données projet'!$A$62&gt;35,AI54+AH55-AQ54,IF(A55&lt;'Données projet'!$A$62,$AF$205^A55,IF(A55='Données projet'!$A$62,'Données projet'!$B$62,AI54+AH55-AQ54)))</f>
        <v>213.19999999999973</v>
      </c>
      <c r="AJ55" s="13">
        <f>AI55*VLOOKUP('Données projet'!$B$10,Paramètres!$A$1:$I$89,3,0)*VLOOKUP('Données projet'!$B$10,Paramètres!$A$1:$I$89,5,0)</f>
        <v>172.94783999999979</v>
      </c>
      <c r="AK55" s="13">
        <f t="shared" si="35"/>
        <v>43.749579650767998</v>
      </c>
      <c r="AL55" s="20">
        <f t="shared" si="4"/>
        <v>377.41467255842053</v>
      </c>
      <c r="AM55" s="59">
        <f t="shared" si="5"/>
        <v>670.74800589175379</v>
      </c>
      <c r="AN55" s="59">
        <f ca="1">AVERAGE(OFFSET($AM$3,0,0,'Données projet'!$E$10+1,1))-AVERAGE(OFFSET($H$3,0,0,'Données projet'!$E$10+1,1))</f>
        <v>235.31102883830971</v>
      </c>
      <c r="AO55" s="59">
        <f t="shared" si="36"/>
        <v>271.48630853790422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0</v>
      </c>
      <c r="AV55" s="21">
        <f>EXP(-LN(2)/25)*AV54+(1-EXP(-LN(2)/25))/(LN(2)/25)*Calculateur!AQ55*Calculateur!AS55*VLOOKUP('Données projet'!$B$10,Paramètres!$A$1:$I$89,3,0)*0.475*44/12</f>
        <v>4.6220878890812616</v>
      </c>
      <c r="AW55" s="21">
        <f>EXP(-LN(2)/2)*AW54+(1-EXP(-LN(2)/2))/(LN(2)/2)*AQ55*AT55*VLOOKUP('Données projet'!$B$10,Paramètres!$A$1:$I$89,3,0)*0.475*44/12</f>
        <v>5.3576998740756318E-3</v>
      </c>
      <c r="AX55" s="21">
        <f t="shared" si="6"/>
        <v>4.6274455889553368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5.5</v>
      </c>
      <c r="BD55" s="12">
        <f>IF('Données projet'!$A$88&gt;35,BD54+BC55-BL54,IF(A55&lt;'Données projet'!$A$88,$BA$205^A55,IF(A55='Données projet'!$A$88,'Données projet'!$B$88,BD54+BC55-BL54)))</f>
        <v>117.99999999999997</v>
      </c>
      <c r="BE55" s="13">
        <f>BD55*VLOOKUP('Données projet'!$B$11,Paramètres!$A$1:$I$89,3,0)*VLOOKUP('Données projet'!$B$11,Paramètres!$A$1:$I$89,5,0)</f>
        <v>134.37839999999997</v>
      </c>
      <c r="BF55" s="13">
        <f t="shared" si="37"/>
        <v>35.00612029256618</v>
      </c>
      <c r="BG55" s="20">
        <f t="shared" si="7"/>
        <v>295.01137284288603</v>
      </c>
      <c r="BH55" s="59">
        <f t="shared" si="8"/>
        <v>588.34470617621935</v>
      </c>
      <c r="BI55" s="59">
        <f ca="1">AVERAGE(OFFSET($BH$3,0,0,'Données projet'!$E$11+1,1))-AVERAGE(OFFSET($H$3,0,0,'Données projet'!$E$11+1,1))</f>
        <v>249.01678065306629</v>
      </c>
      <c r="BJ55" s="59">
        <f t="shared" si="38"/>
        <v>99.639724892155641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0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>
        <f>BY55*VLOOKUP('Données projet'!$B$12,Paramètres!$A$1:$I$89,3,0)*VLOOKUP('Données projet'!$B$12,Paramètres!$A$1:$I$89,5,0)</f>
        <v>0</v>
      </c>
      <c r="CA55" s="13" t="e">
        <f t="shared" si="39"/>
        <v>#NUM!</v>
      </c>
      <c r="CB55" s="20" t="e">
        <f t="shared" si="10"/>
        <v>#NUM!</v>
      </c>
      <c r="CC55" s="59" t="e">
        <f t="shared" si="11"/>
        <v>#NUM!</v>
      </c>
      <c r="CD55" s="59">
        <f ca="1">AVERAGE(OFFSET($CC$3,0,0,'Données projet'!$E$12+1,1))-AVERAGE(OFFSET($H$3,0,0,'Données projet'!$E$12+1,1))</f>
        <v>0</v>
      </c>
      <c r="CE55" s="59">
        <f t="shared" si="40"/>
        <v>0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0</v>
      </c>
      <c r="CL55" s="21">
        <f>EXP(-LN(2)/25)*CL54+(1-EXP(-LN(2)/25))/(LN(2)/25)*Calculateur!CG55*Calculateur!CI55*VLOOKUP('Données projet'!$B$12,Paramètres!$A$1:$I$89,3,0)*0.475*44/12</f>
        <v>0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0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>
        <f>CT55*VLOOKUP('Données projet'!$B$13,Paramètres!$A$1:$I$89,3,0)*VLOOKUP('Données projet'!$B$13,Paramètres!$A$1:$I$89,5,0)</f>
        <v>0</v>
      </c>
      <c r="CV55" s="13" t="e">
        <f t="shared" si="41"/>
        <v>#NUM!</v>
      </c>
      <c r="CW55" s="20" t="e">
        <f t="shared" si="13"/>
        <v>#NUM!</v>
      </c>
      <c r="CX55" s="59" t="e">
        <f t="shared" si="14"/>
        <v>#NUM!</v>
      </c>
      <c r="CY55" s="59">
        <f ca="1">AVERAGE(OFFSET($CX$3,0,0,'Données projet'!$E$13+1,1))-AVERAGE(OFFSET($H$3,0,0,'Données projet'!$E$13+1,1))</f>
        <v>0</v>
      </c>
      <c r="CZ55" s="59">
        <f t="shared" si="42"/>
        <v>0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0</v>
      </c>
      <c r="DG55" s="21">
        <f>EXP(-LN(2)/25)*DG54+(1-EXP(-LN(2)/25))/(LN(2)/25)*Calculateur!DB55*Calculateur!DD55*VLOOKUP('Données projet'!$B$13,Paramètres!$A$1:$I$89,3,0)*0.475*44/12</f>
        <v>0</v>
      </c>
      <c r="DH55" s="21">
        <f>EXP(-LN(2)/2)*DH54+(1-EXP(-LN(2)/2))/(LN(2)/2)*DB55*DE55*VLOOKUP('Données projet'!$B$13,Paramètres!$A$1:$I$89,3,0)*0.475*44/12</f>
        <v>0</v>
      </c>
      <c r="DI55" s="22">
        <f t="shared" si="15"/>
        <v>0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-2.2737367544323206E-13</v>
      </c>
      <c r="O56" s="13">
        <f>N56*VLOOKUP('Données projet'!$B$9,Paramètres!$A$1:$I$89,3,0)*VLOOKUP('Données projet'!$B$9,Paramètres!$A$1:$I$89,5,0)</f>
        <v>-1.3596945791505279E-13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181.92766225683107</v>
      </c>
      <c r="T56" s="59">
        <f t="shared" si="34"/>
        <v>370.52917139565756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41.680958551131972</v>
      </c>
      <c r="AA56" s="21">
        <f>EXP(-LN(2)/25)*AA55+(1-EXP(-LN(2)/25))/(LN(2)/25)*Calculateur!V56*Calculateur!X56*VLOOKUP('Données projet'!$B$9,Paramètres!$A$1:$I$89,3,0)*0.475*44/12</f>
        <v>31.112059635980238</v>
      </c>
      <c r="AB56" s="21">
        <f>EXP(-LN(2)/2)*AB55+(1-EXP(-LN(2)/2))/(LN(2)/2)*V56*Y56*VLOOKUP('Données projet'!$B$9,Paramètres!$A$1:$I$89,3,0)*0.475*44/12</f>
        <v>0.15689465866927749</v>
      </c>
      <c r="AC56" s="22">
        <f t="shared" si="3"/>
        <v>72.949912845781483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5.6</v>
      </c>
      <c r="AI56" s="13">
        <f>IF('Données projet'!$A$62&gt;35,AI55+AH56-AQ55,IF(A56&lt;'Données projet'!$A$62,$AF$205^A56,IF(A56='Données projet'!$A$62,'Données projet'!$B$62,AI55+AH56-AQ55)))</f>
        <v>218.79999999999973</v>
      </c>
      <c r="AJ56" s="13">
        <f>AI56*VLOOKUP('Données projet'!$B$10,Paramètres!$A$1:$I$89,3,0)*VLOOKUP('Données projet'!$B$10,Paramètres!$A$1:$I$89,5,0)</f>
        <v>177.49055999999979</v>
      </c>
      <c r="AK56" s="13">
        <f t="shared" si="35"/>
        <v>44.763426632624252</v>
      </c>
      <c r="AL56" s="20">
        <f t="shared" si="4"/>
        <v>387.09236005182021</v>
      </c>
      <c r="AM56" s="59">
        <f t="shared" si="5"/>
        <v>680.42569338515352</v>
      </c>
      <c r="AN56" s="59">
        <f ca="1">AVERAGE(OFFSET($AM$3,0,0,'Données projet'!$E$10+1,1))-AVERAGE(OFFSET($H$3,0,0,'Données projet'!$E$10+1,1))</f>
        <v>235.31102883830971</v>
      </c>
      <c r="AO56" s="59">
        <f t="shared" si="36"/>
        <v>271.48630853790422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0</v>
      </c>
      <c r="AV56" s="21">
        <f>EXP(-LN(2)/25)*AV55+(1-EXP(-LN(2)/25))/(LN(2)/25)*Calculateur!AQ56*Calculateur!AS56*VLOOKUP('Données projet'!$B$10,Paramètres!$A$1:$I$89,3,0)*0.475*44/12</f>
        <v>4.4956966526892961</v>
      </c>
      <c r="AW56" s="21">
        <f>EXP(-LN(2)/2)*AW55+(1-EXP(-LN(2)/2))/(LN(2)/2)*AQ56*AT56*VLOOKUP('Données projet'!$B$10,Paramètres!$A$1:$I$89,3,0)*0.475*44/12</f>
        <v>3.7884659125211914E-3</v>
      </c>
      <c r="AX56" s="21">
        <f t="shared" si="6"/>
        <v>4.4994851186018172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5.5</v>
      </c>
      <c r="BD56" s="12">
        <f>IF('Données projet'!$A$88&gt;35,BD55+BC56-BL55,IF(A56&lt;'Données projet'!$A$88,$BA$205^A56,IF(A56='Données projet'!$A$88,'Données projet'!$B$88,BD55+BC56-BL55)))</f>
        <v>123.49999999999997</v>
      </c>
      <c r="BE56" s="13">
        <f>BD56*VLOOKUP('Données projet'!$B$11,Paramètres!$A$1:$I$89,3,0)*VLOOKUP('Données projet'!$B$11,Paramètres!$A$1:$I$89,5,0)</f>
        <v>140.64179999999996</v>
      </c>
      <c r="BF56" s="13">
        <f t="shared" si="37"/>
        <v>36.443993701615646</v>
      </c>
      <c r="BG56" s="20">
        <f t="shared" si="7"/>
        <v>308.42442403031379</v>
      </c>
      <c r="BH56" s="59">
        <f t="shared" si="8"/>
        <v>601.7577573636471</v>
      </c>
      <c r="BI56" s="59">
        <f ca="1">AVERAGE(OFFSET($BH$3,0,0,'Données projet'!$E$11+1,1))-AVERAGE(OFFSET($H$3,0,0,'Données projet'!$E$11+1,1))</f>
        <v>249.01678065306629</v>
      </c>
      <c r="BJ56" s="59">
        <f t="shared" si="38"/>
        <v>99.639724892155641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0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>
        <f>BY56*VLOOKUP('Données projet'!$B$12,Paramètres!$A$1:$I$89,3,0)*VLOOKUP('Données projet'!$B$12,Paramètres!$A$1:$I$89,5,0)</f>
        <v>0</v>
      </c>
      <c r="CA56" s="13" t="e">
        <f t="shared" si="39"/>
        <v>#NUM!</v>
      </c>
      <c r="CB56" s="20" t="e">
        <f t="shared" si="10"/>
        <v>#NUM!</v>
      </c>
      <c r="CC56" s="59" t="e">
        <f t="shared" si="11"/>
        <v>#NUM!</v>
      </c>
      <c r="CD56" s="59">
        <f ca="1">AVERAGE(OFFSET($CC$3,0,0,'Données projet'!$E$12+1,1))-AVERAGE(OFFSET($H$3,0,0,'Données projet'!$E$12+1,1))</f>
        <v>0</v>
      </c>
      <c r="CE56" s="59">
        <f t="shared" si="40"/>
        <v>0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0</v>
      </c>
      <c r="CL56" s="21">
        <f>EXP(-LN(2)/25)*CL55+(1-EXP(-LN(2)/25))/(LN(2)/25)*Calculateur!CG56*Calculateur!CI56*VLOOKUP('Données projet'!$B$12,Paramètres!$A$1:$I$89,3,0)*0.475*44/12</f>
        <v>0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0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>
        <f>CT56*VLOOKUP('Données projet'!$B$13,Paramètres!$A$1:$I$89,3,0)*VLOOKUP('Données projet'!$B$13,Paramètres!$A$1:$I$89,5,0)</f>
        <v>0</v>
      </c>
      <c r="CV56" s="13" t="e">
        <f t="shared" si="41"/>
        <v>#NUM!</v>
      </c>
      <c r="CW56" s="20" t="e">
        <f t="shared" si="13"/>
        <v>#NUM!</v>
      </c>
      <c r="CX56" s="59" t="e">
        <f t="shared" si="14"/>
        <v>#NUM!</v>
      </c>
      <c r="CY56" s="59">
        <f ca="1">AVERAGE(OFFSET($CX$3,0,0,'Données projet'!$E$13+1,1))-AVERAGE(OFFSET($H$3,0,0,'Données projet'!$E$13+1,1))</f>
        <v>0</v>
      </c>
      <c r="CZ56" s="59">
        <f t="shared" si="42"/>
        <v>0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0</v>
      </c>
      <c r="DG56" s="21">
        <f>EXP(-LN(2)/25)*DG55+(1-EXP(-LN(2)/25))/(LN(2)/25)*Calculateur!DB56*Calculateur!DD56*VLOOKUP('Données projet'!$B$13,Paramètres!$A$1:$I$89,3,0)*0.475*44/12</f>
        <v>0</v>
      </c>
      <c r="DH56" s="21">
        <f>EXP(-LN(2)/2)*DH55+(1-EXP(-LN(2)/2))/(LN(2)/2)*DB56*DE56*VLOOKUP('Données projet'!$B$13,Paramètres!$A$1:$I$89,3,0)*0.475*44/12</f>
        <v>0</v>
      </c>
      <c r="DI56" s="22">
        <f t="shared" si="15"/>
        <v>0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-2.2737367544323206E-13</v>
      </c>
      <c r="O57" s="13">
        <f>N57*VLOOKUP('Données projet'!$B$9,Paramètres!$A$1:$I$89,3,0)*VLOOKUP('Données projet'!$B$9,Paramètres!$A$1:$I$89,5,0)</f>
        <v>-1.3596945791505279E-13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181.92766225683107</v>
      </c>
      <c r="T57" s="59">
        <f t="shared" si="34"/>
        <v>370.52917139565756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40.863620376818687</v>
      </c>
      <c r="AA57" s="21">
        <f>EXP(-LN(2)/25)*AA56+(1-EXP(-LN(2)/25))/(LN(2)/25)*Calculateur!V57*Calculateur!X57*VLOOKUP('Données projet'!$B$9,Paramètres!$A$1:$I$89,3,0)*0.475*44/12</f>
        <v>30.261298729122249</v>
      </c>
      <c r="AB57" s="21">
        <f>EXP(-LN(2)/2)*AB56+(1-EXP(-LN(2)/2))/(LN(2)/2)*V57*Y57*VLOOKUP('Données projet'!$B$9,Paramètres!$A$1:$I$89,3,0)*0.475*44/12</f>
        <v>0.11094127707699486</v>
      </c>
      <c r="AC57" s="22">
        <f t="shared" si="3"/>
        <v>71.235860383017922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5.6</v>
      </c>
      <c r="AI57" s="13">
        <f>IF('Données projet'!$A$62&gt;35,AI56+AH57-AQ56,IF(A57&lt;'Données projet'!$A$62,$AF$205^A57,IF(A57='Données projet'!$A$62,'Données projet'!$B$62,AI56+AH57-AQ56)))</f>
        <v>224.39999999999972</v>
      </c>
      <c r="AJ57" s="13">
        <f>AI57*VLOOKUP('Données projet'!$B$10,Paramètres!$A$1:$I$89,3,0)*VLOOKUP('Données projet'!$B$10,Paramètres!$A$1:$I$89,5,0)</f>
        <v>182.03327999999979</v>
      </c>
      <c r="AK57" s="13">
        <f t="shared" si="35"/>
        <v>45.774257349740196</v>
      </c>
      <c r="AL57" s="20">
        <f t="shared" si="4"/>
        <v>396.76479421746376</v>
      </c>
      <c r="AM57" s="59">
        <f t="shared" si="5"/>
        <v>690.09812755079702</v>
      </c>
      <c r="AN57" s="59">
        <f ca="1">AVERAGE(OFFSET($AM$3,0,0,'Données projet'!$E$10+1,1))-AVERAGE(OFFSET($H$3,0,0,'Données projet'!$E$10+1,1))</f>
        <v>235.31102883830971</v>
      </c>
      <c r="AO57" s="59">
        <f t="shared" si="36"/>
        <v>271.48630853790422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0</v>
      </c>
      <c r="AV57" s="21">
        <f>EXP(-LN(2)/25)*AV56+(1-EXP(-LN(2)/25))/(LN(2)/25)*Calculateur!AQ57*Calculateur!AS57*VLOOKUP('Données projet'!$B$10,Paramètres!$A$1:$I$89,3,0)*0.475*44/12</f>
        <v>4.3727615913030951</v>
      </c>
      <c r="AW57" s="21">
        <f>EXP(-LN(2)/2)*AW56+(1-EXP(-LN(2)/2))/(LN(2)/2)*AQ57*AT57*VLOOKUP('Données projet'!$B$10,Paramètres!$A$1:$I$89,3,0)*0.475*44/12</f>
        <v>2.6788499370378163E-3</v>
      </c>
      <c r="AX57" s="21">
        <f t="shared" si="6"/>
        <v>4.3754404412401326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5.5</v>
      </c>
      <c r="BD57" s="12">
        <f>IF('Données projet'!$A$88&gt;35,BD56+BC57-BL56,IF(A57&lt;'Données projet'!$A$88,$BA$205^A57,IF(A57='Données projet'!$A$88,'Données projet'!$B$88,BD56+BC57-BL56)))</f>
        <v>128.99999999999997</v>
      </c>
      <c r="BE57" s="13">
        <f>BD57*VLOOKUP('Données projet'!$B$11,Paramètres!$A$1:$I$89,3,0)*VLOOKUP('Données projet'!$B$11,Paramètres!$A$1:$I$89,5,0)</f>
        <v>146.90519999999995</v>
      </c>
      <c r="BF57" s="13">
        <f t="shared" si="37"/>
        <v>37.874430144259527</v>
      </c>
      <c r="BG57" s="20">
        <f t="shared" si="7"/>
        <v>321.82452250125192</v>
      </c>
      <c r="BH57" s="59">
        <f t="shared" si="8"/>
        <v>615.15785583458523</v>
      </c>
      <c r="BI57" s="59">
        <f ca="1">AVERAGE(OFFSET($BH$3,0,0,'Données projet'!$E$11+1,1))-AVERAGE(OFFSET($H$3,0,0,'Données projet'!$E$11+1,1))</f>
        <v>249.01678065306629</v>
      </c>
      <c r="BJ57" s="59">
        <f t="shared" si="38"/>
        <v>99.639724892155641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0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>
        <f>BY57*VLOOKUP('Données projet'!$B$12,Paramètres!$A$1:$I$89,3,0)*VLOOKUP('Données projet'!$B$12,Paramètres!$A$1:$I$89,5,0)</f>
        <v>0</v>
      </c>
      <c r="CA57" s="13" t="e">
        <f t="shared" si="39"/>
        <v>#NUM!</v>
      </c>
      <c r="CB57" s="20" t="e">
        <f t="shared" si="10"/>
        <v>#NUM!</v>
      </c>
      <c r="CC57" s="59" t="e">
        <f t="shared" si="11"/>
        <v>#NUM!</v>
      </c>
      <c r="CD57" s="59">
        <f ca="1">AVERAGE(OFFSET($CC$3,0,0,'Données projet'!$E$12+1,1))-AVERAGE(OFFSET($H$3,0,0,'Données projet'!$E$12+1,1))</f>
        <v>0</v>
      </c>
      <c r="CE57" s="59">
        <f t="shared" si="40"/>
        <v>0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0</v>
      </c>
      <c r="CL57" s="21">
        <f>EXP(-LN(2)/25)*CL56+(1-EXP(-LN(2)/25))/(LN(2)/25)*Calculateur!CG57*Calculateur!CI57*VLOOKUP('Données projet'!$B$12,Paramètres!$A$1:$I$89,3,0)*0.475*44/12</f>
        <v>0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0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>
        <f>CT57*VLOOKUP('Données projet'!$B$13,Paramètres!$A$1:$I$89,3,0)*VLOOKUP('Données projet'!$B$13,Paramètres!$A$1:$I$89,5,0)</f>
        <v>0</v>
      </c>
      <c r="CV57" s="13" t="e">
        <f t="shared" si="41"/>
        <v>#NUM!</v>
      </c>
      <c r="CW57" s="20" t="e">
        <f t="shared" si="13"/>
        <v>#NUM!</v>
      </c>
      <c r="CX57" s="59" t="e">
        <f t="shared" si="14"/>
        <v>#NUM!</v>
      </c>
      <c r="CY57" s="59">
        <f ca="1">AVERAGE(OFFSET($CX$3,0,0,'Données projet'!$E$13+1,1))-AVERAGE(OFFSET($H$3,0,0,'Données projet'!$E$13+1,1))</f>
        <v>0</v>
      </c>
      <c r="CZ57" s="59">
        <f t="shared" si="42"/>
        <v>0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0</v>
      </c>
      <c r="DG57" s="21">
        <f>EXP(-LN(2)/25)*DG56+(1-EXP(-LN(2)/25))/(LN(2)/25)*Calculateur!DB57*Calculateur!DD57*VLOOKUP('Données projet'!$B$13,Paramètres!$A$1:$I$89,3,0)*0.475*44/12</f>
        <v>0</v>
      </c>
      <c r="DH57" s="21">
        <f>EXP(-LN(2)/2)*DH56+(1-EXP(-LN(2)/2))/(LN(2)/2)*DB57*DE57*VLOOKUP('Données projet'!$B$13,Paramètres!$A$1:$I$89,3,0)*0.475*44/12</f>
        <v>0</v>
      </c>
      <c r="DI57" s="22">
        <f t="shared" si="15"/>
        <v>0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-2.2737367544323206E-13</v>
      </c>
      <c r="O58" s="13">
        <f>N58*VLOOKUP('Données projet'!$B$9,Paramètres!$A$1:$I$89,3,0)*VLOOKUP('Données projet'!$B$9,Paramètres!$A$1:$I$89,5,0)</f>
        <v>-1.3596945791505279E-13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181.92766225683107</v>
      </c>
      <c r="T58" s="59">
        <f t="shared" si="34"/>
        <v>370.52917139565756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40.062309705576631</v>
      </c>
      <c r="AA58" s="21">
        <f>EXP(-LN(2)/25)*AA57+(1-EXP(-LN(2)/25))/(LN(2)/25)*Calculateur!V58*Calculateur!X58*VLOOKUP('Données projet'!$B$9,Paramètres!$A$1:$I$89,3,0)*0.475*44/12</f>
        <v>29.433801924001862</v>
      </c>
      <c r="AB58" s="21">
        <f>EXP(-LN(2)/2)*AB57+(1-EXP(-LN(2)/2))/(LN(2)/2)*V58*Y58*VLOOKUP('Données projet'!$B$9,Paramètres!$A$1:$I$89,3,0)*0.475*44/12</f>
        <v>7.8447329334638743E-2</v>
      </c>
      <c r="AC58" s="22">
        <f t="shared" si="3"/>
        <v>69.57455895891313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5.6</v>
      </c>
      <c r="AI58" s="13">
        <f>IF('Données projet'!$A$62&gt;35,AI57+AH58-AQ57,IF(A58&lt;'Données projet'!$A$62,$AF$205^A58,IF(A58='Données projet'!$A$62,'Données projet'!$B$62,AI57+AH58-AQ57)))</f>
        <v>229.99999999999972</v>
      </c>
      <c r="AJ58" s="13">
        <f>AI58*VLOOKUP('Données projet'!$B$10,Paramètres!$A$1:$I$89,3,0)*VLOOKUP('Données projet'!$B$10,Paramètres!$A$1:$I$89,5,0)</f>
        <v>186.57599999999977</v>
      </c>
      <c r="AK58" s="13">
        <f t="shared" si="35"/>
        <v>46.782155731694232</v>
      </c>
      <c r="AL58" s="20">
        <f t="shared" si="4"/>
        <v>406.43212123270035</v>
      </c>
      <c r="AM58" s="59">
        <f t="shared" si="5"/>
        <v>699.76545456603367</v>
      </c>
      <c r="AN58" s="59">
        <f ca="1">AVERAGE(OFFSET($AM$3,0,0,'Données projet'!$E$10+1,1))-AVERAGE(OFFSET($H$3,0,0,'Données projet'!$E$10+1,1))</f>
        <v>235.31102883830971</v>
      </c>
      <c r="AO58" s="59">
        <f t="shared" si="36"/>
        <v>271.48630853790422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0</v>
      </c>
      <c r="AV58" s="21">
        <f>EXP(-LN(2)/25)*AV57+(1-EXP(-LN(2)/25))/(LN(2)/25)*Calculateur!AQ58*Calculateur!AS58*VLOOKUP('Données projet'!$B$10,Paramètres!$A$1:$I$89,3,0)*0.475*44/12</f>
        <v>4.2531881956353743</v>
      </c>
      <c r="AW58" s="21">
        <f>EXP(-LN(2)/2)*AW57+(1-EXP(-LN(2)/2))/(LN(2)/2)*AQ58*AT58*VLOOKUP('Données projet'!$B$10,Paramètres!$A$1:$I$89,3,0)*0.475*44/12</f>
        <v>1.8942329562605959E-3</v>
      </c>
      <c r="AX58" s="21">
        <f t="shared" si="6"/>
        <v>4.2550824285916349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5.5</v>
      </c>
      <c r="BD58" s="12">
        <f>IF('Données projet'!$A$88&gt;35,BD57+BC58-BL57,IF(A58&lt;'Données projet'!$A$88,$BA$205^A58,IF(A58='Données projet'!$A$88,'Données projet'!$B$88,BD57+BC58-BL57)))</f>
        <v>134.49999999999997</v>
      </c>
      <c r="BE58" s="13">
        <f>BD58*VLOOKUP('Données projet'!$B$11,Paramètres!$A$1:$I$89,3,0)*VLOOKUP('Données projet'!$B$11,Paramètres!$A$1:$I$89,5,0)</f>
        <v>153.16859999999997</v>
      </c>
      <c r="BF58" s="13">
        <f t="shared" si="37"/>
        <v>39.297782950069234</v>
      </c>
      <c r="BG58" s="20">
        <f t="shared" si="7"/>
        <v>335.21228363803715</v>
      </c>
      <c r="BH58" s="59">
        <f t="shared" si="8"/>
        <v>628.54561697137046</v>
      </c>
      <c r="BI58" s="59">
        <f ca="1">AVERAGE(OFFSET($BH$3,0,0,'Données projet'!$E$11+1,1))-AVERAGE(OFFSET($H$3,0,0,'Données projet'!$E$11+1,1))</f>
        <v>249.01678065306629</v>
      </c>
      <c r="BJ58" s="59">
        <f t="shared" si="38"/>
        <v>99.639724892155641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0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>
        <f>BY58*VLOOKUP('Données projet'!$B$12,Paramètres!$A$1:$I$89,3,0)*VLOOKUP('Données projet'!$B$12,Paramètres!$A$1:$I$89,5,0)</f>
        <v>0</v>
      </c>
      <c r="CA58" s="13" t="e">
        <f t="shared" si="39"/>
        <v>#NUM!</v>
      </c>
      <c r="CB58" s="20" t="e">
        <f t="shared" si="10"/>
        <v>#NUM!</v>
      </c>
      <c r="CC58" s="59" t="e">
        <f t="shared" si="11"/>
        <v>#NUM!</v>
      </c>
      <c r="CD58" s="59">
        <f ca="1">AVERAGE(OFFSET($CC$3,0,0,'Données projet'!$E$12+1,1))-AVERAGE(OFFSET($H$3,0,0,'Données projet'!$E$12+1,1))</f>
        <v>0</v>
      </c>
      <c r="CE58" s="59">
        <f t="shared" si="40"/>
        <v>0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0</v>
      </c>
      <c r="CL58" s="21">
        <f>EXP(-LN(2)/25)*CL57+(1-EXP(-LN(2)/25))/(LN(2)/25)*Calculateur!CG58*Calculateur!CI58*VLOOKUP('Données projet'!$B$12,Paramètres!$A$1:$I$89,3,0)*0.475*44/12</f>
        <v>0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0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>
        <f>CT58*VLOOKUP('Données projet'!$B$13,Paramètres!$A$1:$I$89,3,0)*VLOOKUP('Données projet'!$B$13,Paramètres!$A$1:$I$89,5,0)</f>
        <v>0</v>
      </c>
      <c r="CV58" s="13" t="e">
        <f t="shared" si="41"/>
        <v>#NUM!</v>
      </c>
      <c r="CW58" s="20" t="e">
        <f t="shared" si="13"/>
        <v>#NUM!</v>
      </c>
      <c r="CX58" s="59" t="e">
        <f t="shared" si="14"/>
        <v>#NUM!</v>
      </c>
      <c r="CY58" s="59">
        <f ca="1">AVERAGE(OFFSET($CX$3,0,0,'Données projet'!$E$13+1,1))-AVERAGE(OFFSET($H$3,0,0,'Données projet'!$E$13+1,1))</f>
        <v>0</v>
      </c>
      <c r="CZ58" s="59">
        <f t="shared" si="42"/>
        <v>0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0</v>
      </c>
      <c r="DG58" s="21">
        <f>EXP(-LN(2)/25)*DG57+(1-EXP(-LN(2)/25))/(LN(2)/25)*Calculateur!DB58*Calculateur!DD58*VLOOKUP('Données projet'!$B$13,Paramètres!$A$1:$I$89,3,0)*0.475*44/12</f>
        <v>0</v>
      </c>
      <c r="DH58" s="21">
        <f>EXP(-LN(2)/2)*DH57+(1-EXP(-LN(2)/2))/(LN(2)/2)*DB58*DE58*VLOOKUP('Données projet'!$B$13,Paramètres!$A$1:$I$89,3,0)*0.475*44/12</f>
        <v>0</v>
      </c>
      <c r="DI58" s="22">
        <f t="shared" si="15"/>
        <v>0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-2.2737367544323206E-13</v>
      </c>
      <c r="O59" s="13">
        <f>N59*VLOOKUP('Données projet'!$B$9,Paramètres!$A$1:$I$89,3,0)*VLOOKUP('Données projet'!$B$9,Paramètres!$A$1:$I$89,5,0)</f>
        <v>-1.3596945791505279E-13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181.92766225683107</v>
      </c>
      <c r="T59" s="59">
        <f t="shared" si="34"/>
        <v>370.52917139565756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39.276712247846376</v>
      </c>
      <c r="AA59" s="21">
        <f>EXP(-LN(2)/25)*AA58+(1-EXP(-LN(2)/25))/(LN(2)/25)*Calculateur!V59*Calculateur!X59*VLOOKUP('Données projet'!$B$9,Paramètres!$A$1:$I$89,3,0)*0.475*44/12</f>
        <v>28.628933062533662</v>
      </c>
      <c r="AB59" s="21">
        <f>EXP(-LN(2)/2)*AB58+(1-EXP(-LN(2)/2))/(LN(2)/2)*V59*Y59*VLOOKUP('Données projet'!$B$9,Paramètres!$A$1:$I$89,3,0)*0.475*44/12</f>
        <v>5.547063853849743E-2</v>
      </c>
      <c r="AC59" s="22">
        <f t="shared" si="3"/>
        <v>67.961115948918533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5.6</v>
      </c>
      <c r="AI59" s="13">
        <f>IF('Données projet'!$A$62&gt;35,AI58+AH59-AQ58,IF(A59&lt;'Données projet'!$A$62,$AF$205^A59,IF(A59='Données projet'!$A$62,'Données projet'!$B$62,AI58+AH59-AQ58)))</f>
        <v>235.59999999999971</v>
      </c>
      <c r="AJ59" s="13">
        <f>AI59*VLOOKUP('Données projet'!$B$10,Paramètres!$A$1:$I$89,3,0)*VLOOKUP('Données projet'!$B$10,Paramètres!$A$1:$I$89,5,0)</f>
        <v>191.1187199999998</v>
      </c>
      <c r="AK59" s="13">
        <f t="shared" si="35"/>
        <v>47.787201388032102</v>
      </c>
      <c r="AL59" s="20">
        <f t="shared" si="4"/>
        <v>416.09447975082225</v>
      </c>
      <c r="AM59" s="59">
        <f t="shared" si="5"/>
        <v>709.42781308415556</v>
      </c>
      <c r="AN59" s="59">
        <f ca="1">AVERAGE(OFFSET($AM$3,0,0,'Données projet'!$E$10+1,1))-AVERAGE(OFFSET($H$3,0,0,'Données projet'!$E$10+1,1))</f>
        <v>235.31102883830971</v>
      </c>
      <c r="AO59" s="59">
        <f t="shared" si="36"/>
        <v>271.48630853790422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0</v>
      </c>
      <c r="AV59" s="21">
        <f>EXP(-LN(2)/25)*AV58+(1-EXP(-LN(2)/25))/(LN(2)/25)*Calculateur!AQ59*Calculateur!AS59*VLOOKUP('Données projet'!$B$10,Paramètres!$A$1:$I$89,3,0)*0.475*44/12</f>
        <v>4.1368845407602786</v>
      </c>
      <c r="AW59" s="21">
        <f>EXP(-LN(2)/2)*AW58+(1-EXP(-LN(2)/2))/(LN(2)/2)*AQ59*AT59*VLOOKUP('Données projet'!$B$10,Paramètres!$A$1:$I$89,3,0)*0.475*44/12</f>
        <v>1.3394249685189084E-3</v>
      </c>
      <c r="AX59" s="21">
        <f t="shared" si="6"/>
        <v>4.1382239657287974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5.5</v>
      </c>
      <c r="BD59" s="12">
        <f>IF('Données projet'!$A$88&gt;35,BD58+BC59-BL58,IF(A59&lt;'Données projet'!$A$88,$BA$205^A59,IF(A59='Données projet'!$A$88,'Données projet'!$B$88,BD58+BC59-BL58)))</f>
        <v>139.99999999999997</v>
      </c>
      <c r="BE59" s="13">
        <f>BD59*VLOOKUP('Données projet'!$B$11,Paramètres!$A$1:$I$89,3,0)*VLOOKUP('Données projet'!$B$11,Paramètres!$A$1:$I$89,5,0)</f>
        <v>159.43199999999996</v>
      </c>
      <c r="BF59" s="13">
        <f t="shared" si="37"/>
        <v>40.714374916553687</v>
      </c>
      <c r="BG59" s="20">
        <f t="shared" si="7"/>
        <v>348.5882696463309</v>
      </c>
      <c r="BH59" s="59">
        <f t="shared" si="8"/>
        <v>641.92160297966416</v>
      </c>
      <c r="BI59" s="59">
        <f ca="1">AVERAGE(OFFSET($BH$3,0,0,'Données projet'!$E$11+1,1))-AVERAGE(OFFSET($H$3,0,0,'Données projet'!$E$11+1,1))</f>
        <v>249.01678065306629</v>
      </c>
      <c r="BJ59" s="59">
        <f t="shared" si="38"/>
        <v>99.639724892155641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0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>
        <f>BY59*VLOOKUP('Données projet'!$B$12,Paramètres!$A$1:$I$89,3,0)*VLOOKUP('Données projet'!$B$12,Paramètres!$A$1:$I$89,5,0)</f>
        <v>0</v>
      </c>
      <c r="CA59" s="13" t="e">
        <f t="shared" si="39"/>
        <v>#NUM!</v>
      </c>
      <c r="CB59" s="20" t="e">
        <f t="shared" si="10"/>
        <v>#NUM!</v>
      </c>
      <c r="CC59" s="59" t="e">
        <f t="shared" si="11"/>
        <v>#NUM!</v>
      </c>
      <c r="CD59" s="59">
        <f ca="1">AVERAGE(OFFSET($CC$3,0,0,'Données projet'!$E$12+1,1))-AVERAGE(OFFSET($H$3,0,0,'Données projet'!$E$12+1,1))</f>
        <v>0</v>
      </c>
      <c r="CE59" s="59">
        <f t="shared" si="40"/>
        <v>0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0</v>
      </c>
      <c r="CL59" s="21">
        <f>EXP(-LN(2)/25)*CL58+(1-EXP(-LN(2)/25))/(LN(2)/25)*Calculateur!CG59*Calculateur!CI59*VLOOKUP('Données projet'!$B$12,Paramètres!$A$1:$I$89,3,0)*0.475*44/12</f>
        <v>0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0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>
        <f>CT59*VLOOKUP('Données projet'!$B$13,Paramètres!$A$1:$I$89,3,0)*VLOOKUP('Données projet'!$B$13,Paramètres!$A$1:$I$89,5,0)</f>
        <v>0</v>
      </c>
      <c r="CV59" s="13" t="e">
        <f t="shared" si="41"/>
        <v>#NUM!</v>
      </c>
      <c r="CW59" s="20" t="e">
        <f t="shared" si="13"/>
        <v>#NUM!</v>
      </c>
      <c r="CX59" s="59" t="e">
        <f t="shared" si="14"/>
        <v>#NUM!</v>
      </c>
      <c r="CY59" s="59">
        <f ca="1">AVERAGE(OFFSET($CX$3,0,0,'Données projet'!$E$13+1,1))-AVERAGE(OFFSET($H$3,0,0,'Données projet'!$E$13+1,1))</f>
        <v>0</v>
      </c>
      <c r="CZ59" s="59">
        <f t="shared" si="42"/>
        <v>0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0</v>
      </c>
      <c r="DG59" s="21">
        <f>EXP(-LN(2)/25)*DG58+(1-EXP(-LN(2)/25))/(LN(2)/25)*Calculateur!DB59*Calculateur!DD59*VLOOKUP('Données projet'!$B$13,Paramètres!$A$1:$I$89,3,0)*0.475*44/12</f>
        <v>0</v>
      </c>
      <c r="DH59" s="21">
        <f>EXP(-LN(2)/2)*DH58+(1-EXP(-LN(2)/2))/(LN(2)/2)*DB59*DE59*VLOOKUP('Données projet'!$B$13,Paramètres!$A$1:$I$89,3,0)*0.475*44/12</f>
        <v>0</v>
      </c>
      <c r="DI59" s="22">
        <f t="shared" si="15"/>
        <v>0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-2.2737367544323206E-13</v>
      </c>
      <c r="O60" s="13">
        <f>N60*VLOOKUP('Données projet'!$B$9,Paramètres!$A$1:$I$89,3,0)*VLOOKUP('Données projet'!$B$9,Paramètres!$A$1:$I$89,5,0)</f>
        <v>-1.3596945791505279E-13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181.92766225683107</v>
      </c>
      <c r="T60" s="59">
        <f t="shared" si="34"/>
        <v>370.52917139565756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38.50651987709508</v>
      </c>
      <c r="AA60" s="21">
        <f>EXP(-LN(2)/25)*AA59+(1-EXP(-LN(2)/25))/(LN(2)/25)*Calculateur!V60*Calculateur!X60*VLOOKUP('Données projet'!$B$9,Paramètres!$A$1:$I$89,3,0)*0.475*44/12</f>
        <v>27.84607338240852</v>
      </c>
      <c r="AB60" s="21">
        <f>EXP(-LN(2)/2)*AB59+(1-EXP(-LN(2)/2))/(LN(2)/2)*V60*Y60*VLOOKUP('Données projet'!$B$9,Paramètres!$A$1:$I$89,3,0)*0.475*44/12</f>
        <v>3.9223664667319372E-2</v>
      </c>
      <c r="AC60" s="22">
        <f t="shared" si="3"/>
        <v>66.391816924170925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5.6</v>
      </c>
      <c r="AI60" s="13">
        <f>IF('Données projet'!$A$62&gt;35,AI59+AH60-AQ59,IF(A60&lt;'Données projet'!$A$62,$AF$205^A60,IF(A60='Données projet'!$A$62,'Données projet'!$B$62,AI59+AH60-AQ59)))</f>
        <v>241.1999999999997</v>
      </c>
      <c r="AJ60" s="13">
        <f>AI60*VLOOKUP('Données projet'!$B$10,Paramètres!$A$1:$I$89,3,0)*VLOOKUP('Données projet'!$B$10,Paramètres!$A$1:$I$89,5,0)</f>
        <v>195.66143999999977</v>
      </c>
      <c r="AK60" s="13">
        <f t="shared" si="35"/>
        <v>48.789469927948474</v>
      </c>
      <c r="AL60" s="20">
        <f t="shared" si="4"/>
        <v>425.75200145784316</v>
      </c>
      <c r="AM60" s="59">
        <f t="shared" si="5"/>
        <v>719.08533479117648</v>
      </c>
      <c r="AN60" s="59">
        <f ca="1">AVERAGE(OFFSET($AM$3,0,0,'Données projet'!$E$10+1,1))-AVERAGE(OFFSET($H$3,0,0,'Données projet'!$E$10+1,1))</f>
        <v>235.31102883830971</v>
      </c>
      <c r="AO60" s="59">
        <f t="shared" si="36"/>
        <v>271.48630853790422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0</v>
      </c>
      <c r="AV60" s="21">
        <f>EXP(-LN(2)/25)*AV59+(1-EXP(-LN(2)/25))/(LN(2)/25)*Calculateur!AQ60*Calculateur!AS60*VLOOKUP('Données projet'!$B$10,Paramètres!$A$1:$I$89,3,0)*0.475*44/12</f>
        <v>4.0237612154438853</v>
      </c>
      <c r="AW60" s="21">
        <f>EXP(-LN(2)/2)*AW59+(1-EXP(-LN(2)/2))/(LN(2)/2)*AQ60*AT60*VLOOKUP('Données projet'!$B$10,Paramètres!$A$1:$I$89,3,0)*0.475*44/12</f>
        <v>9.4711647813029817E-4</v>
      </c>
      <c r="AX60" s="21">
        <f t="shared" si="6"/>
        <v>4.0247083319220156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5.5</v>
      </c>
      <c r="BD60" s="12">
        <f>IF('Données projet'!$A$88&gt;35,BD59+BC60-BL59,IF(A60&lt;'Données projet'!$A$88,$BA$205^A60,IF(A60='Données projet'!$A$88,'Données projet'!$B$88,BD59+BC60-BL59)))</f>
        <v>145.49999999999997</v>
      </c>
      <c r="BE60" s="13">
        <f>BD60*VLOOKUP('Données projet'!$B$11,Paramètres!$A$1:$I$89,3,0)*VLOOKUP('Données projet'!$B$11,Paramètres!$A$1:$I$89,5,0)</f>
        <v>165.69539999999998</v>
      </c>
      <c r="BF60" s="13">
        <f t="shared" si="37"/>
        <v>42.124502042631192</v>
      </c>
      <c r="BG60" s="20">
        <f t="shared" si="7"/>
        <v>361.9529960575826</v>
      </c>
      <c r="BH60" s="59">
        <f t="shared" si="8"/>
        <v>655.28632939091585</v>
      </c>
      <c r="BI60" s="59">
        <f ca="1">AVERAGE(OFFSET($BH$3,0,0,'Données projet'!$E$11+1,1))-AVERAGE(OFFSET($H$3,0,0,'Données projet'!$E$11+1,1))</f>
        <v>249.01678065306629</v>
      </c>
      <c r="BJ60" s="59">
        <f t="shared" si="38"/>
        <v>99.639724892155641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0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>
        <f>BY60*VLOOKUP('Données projet'!$B$12,Paramètres!$A$1:$I$89,3,0)*VLOOKUP('Données projet'!$B$12,Paramètres!$A$1:$I$89,5,0)</f>
        <v>0</v>
      </c>
      <c r="CA60" s="13" t="e">
        <f t="shared" si="39"/>
        <v>#NUM!</v>
      </c>
      <c r="CB60" s="20" t="e">
        <f t="shared" si="10"/>
        <v>#NUM!</v>
      </c>
      <c r="CC60" s="59" t="e">
        <f t="shared" si="11"/>
        <v>#NUM!</v>
      </c>
      <c r="CD60" s="59">
        <f ca="1">AVERAGE(OFFSET($CC$3,0,0,'Données projet'!$E$12+1,1))-AVERAGE(OFFSET($H$3,0,0,'Données projet'!$E$12+1,1))</f>
        <v>0</v>
      </c>
      <c r="CE60" s="59">
        <f t="shared" si="40"/>
        <v>0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0</v>
      </c>
      <c r="CL60" s="21">
        <f>EXP(-LN(2)/25)*CL59+(1-EXP(-LN(2)/25))/(LN(2)/25)*Calculateur!CG60*Calculateur!CI60*VLOOKUP('Données projet'!$B$12,Paramètres!$A$1:$I$89,3,0)*0.475*44/12</f>
        <v>0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0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>
        <f>CT60*VLOOKUP('Données projet'!$B$13,Paramètres!$A$1:$I$89,3,0)*VLOOKUP('Données projet'!$B$13,Paramètres!$A$1:$I$89,5,0)</f>
        <v>0</v>
      </c>
      <c r="CV60" s="13" t="e">
        <f t="shared" si="41"/>
        <v>#NUM!</v>
      </c>
      <c r="CW60" s="20" t="e">
        <f t="shared" si="13"/>
        <v>#NUM!</v>
      </c>
      <c r="CX60" s="59" t="e">
        <f t="shared" si="14"/>
        <v>#NUM!</v>
      </c>
      <c r="CY60" s="59">
        <f ca="1">AVERAGE(OFFSET($CX$3,0,0,'Données projet'!$E$13+1,1))-AVERAGE(OFFSET($H$3,0,0,'Données projet'!$E$13+1,1))</f>
        <v>0</v>
      </c>
      <c r="CZ60" s="59">
        <f t="shared" si="42"/>
        <v>0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0</v>
      </c>
      <c r="DG60" s="21">
        <f>EXP(-LN(2)/25)*DG59+(1-EXP(-LN(2)/25))/(LN(2)/25)*Calculateur!DB60*Calculateur!DD60*VLOOKUP('Données projet'!$B$13,Paramètres!$A$1:$I$89,3,0)*0.475*44/12</f>
        <v>0</v>
      </c>
      <c r="DH60" s="21">
        <f>EXP(-LN(2)/2)*DH59+(1-EXP(-LN(2)/2))/(LN(2)/2)*DB60*DE60*VLOOKUP('Données projet'!$B$13,Paramètres!$A$1:$I$89,3,0)*0.475*44/12</f>
        <v>0</v>
      </c>
      <c r="DI60" s="22">
        <f t="shared" si="15"/>
        <v>0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-2.2737367544323206E-13</v>
      </c>
      <c r="O61" s="13">
        <f>N61*VLOOKUP('Données projet'!$B$9,Paramètres!$A$1:$I$89,3,0)*VLOOKUP('Données projet'!$B$9,Paramètres!$A$1:$I$89,5,0)</f>
        <v>-1.3596945791505279E-13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181.92766225683107</v>
      </c>
      <c r="T61" s="59">
        <f t="shared" si="34"/>
        <v>370.52917139565756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37.751430508963253</v>
      </c>
      <c r="AA61" s="21">
        <f>EXP(-LN(2)/25)*AA60+(1-EXP(-LN(2)/25))/(LN(2)/25)*Calculateur!V61*Calculateur!X61*VLOOKUP('Données projet'!$B$9,Paramètres!$A$1:$I$89,3,0)*0.475*44/12</f>
        <v>27.084621041405203</v>
      </c>
      <c r="AB61" s="21">
        <f>EXP(-LN(2)/2)*AB60+(1-EXP(-LN(2)/2))/(LN(2)/2)*V61*Y61*VLOOKUP('Données projet'!$B$9,Paramètres!$A$1:$I$89,3,0)*0.475*44/12</f>
        <v>2.7735319269248715E-2</v>
      </c>
      <c r="AC61" s="22">
        <f t="shared" si="3"/>
        <v>64.863786869637707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5.6</v>
      </c>
      <c r="AI61" s="13">
        <f>IF('Données projet'!$A$62&gt;35,AI60+AH61-AQ60,IF(A61&lt;'Données projet'!$A$62,$AF$205^A61,IF(A61='Données projet'!$A$62,'Données projet'!$B$62,AI60+AH61-AQ60)))</f>
        <v>246.7999999999997</v>
      </c>
      <c r="AJ61" s="13">
        <f>AI61*VLOOKUP('Données projet'!$B$10,Paramètres!$A$1:$I$89,3,0)*VLOOKUP('Données projet'!$B$10,Paramètres!$A$1:$I$89,5,0)</f>
        <v>200.20415999999977</v>
      </c>
      <c r="AK61" s="13">
        <f t="shared" si="35"/>
        <v>49.789033249442454</v>
      </c>
      <c r="AL61" s="20">
        <f t="shared" si="4"/>
        <v>435.40481157611185</v>
      </c>
      <c r="AM61" s="59">
        <f t="shared" si="5"/>
        <v>728.73814490944517</v>
      </c>
      <c r="AN61" s="59">
        <f ca="1">AVERAGE(OFFSET($AM$3,0,0,'Données projet'!$E$10+1,1))-AVERAGE(OFFSET($H$3,0,0,'Données projet'!$E$10+1,1))</f>
        <v>235.31102883830971</v>
      </c>
      <c r="AO61" s="59">
        <f t="shared" si="36"/>
        <v>271.48630853790422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0</v>
      </c>
      <c r="AV61" s="21">
        <f>EXP(-LN(2)/25)*AV60+(1-EXP(-LN(2)/25))/(LN(2)/25)*Calculateur!AQ61*Calculateur!AS61*VLOOKUP('Données projet'!$B$10,Paramètres!$A$1:$I$89,3,0)*0.475*44/12</f>
        <v>3.9137312534071662</v>
      </c>
      <c r="AW61" s="21">
        <f>EXP(-LN(2)/2)*AW60+(1-EXP(-LN(2)/2))/(LN(2)/2)*AQ61*AT61*VLOOKUP('Données projet'!$B$10,Paramètres!$A$1:$I$89,3,0)*0.475*44/12</f>
        <v>6.697124842594543E-4</v>
      </c>
      <c r="AX61" s="21">
        <f t="shared" si="6"/>
        <v>3.9144009658914256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5.5</v>
      </c>
      <c r="BD61" s="12">
        <f>IF('Données projet'!$A$88&gt;35,BD60+BC61-BL60,IF(A61&lt;'Données projet'!$A$88,$BA$205^A61,IF(A61='Données projet'!$A$88,'Données projet'!$B$88,BD60+BC61-BL60)))</f>
        <v>150.99999999999997</v>
      </c>
      <c r="BE61" s="13">
        <f>BD61*VLOOKUP('Données projet'!$B$11,Paramètres!$A$1:$I$89,3,0)*VLOOKUP('Données projet'!$B$11,Paramètres!$A$1:$I$89,5,0)</f>
        <v>171.95879999999997</v>
      </c>
      <c r="BF61" s="13">
        <f t="shared" si="37"/>
        <v>43.528436681715618</v>
      </c>
      <c r="BG61" s="20">
        <f t="shared" si="7"/>
        <v>375.30693722065462</v>
      </c>
      <c r="BH61" s="59">
        <f t="shared" si="8"/>
        <v>668.64027055398788</v>
      </c>
      <c r="BI61" s="59">
        <f ca="1">AVERAGE(OFFSET($BH$3,0,0,'Données projet'!$E$11+1,1))-AVERAGE(OFFSET($H$3,0,0,'Données projet'!$E$11+1,1))</f>
        <v>249.01678065306629</v>
      </c>
      <c r="BJ61" s="59">
        <f t="shared" si="38"/>
        <v>99.639724892155641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0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>
        <f>BY61*VLOOKUP('Données projet'!$B$12,Paramètres!$A$1:$I$89,3,0)*VLOOKUP('Données projet'!$B$12,Paramètres!$A$1:$I$89,5,0)</f>
        <v>0</v>
      </c>
      <c r="CA61" s="13" t="e">
        <f t="shared" si="39"/>
        <v>#NUM!</v>
      </c>
      <c r="CB61" s="20" t="e">
        <f t="shared" si="10"/>
        <v>#NUM!</v>
      </c>
      <c r="CC61" s="59" t="e">
        <f t="shared" si="11"/>
        <v>#NUM!</v>
      </c>
      <c r="CD61" s="59">
        <f ca="1">AVERAGE(OFFSET($CC$3,0,0,'Données projet'!$E$12+1,1))-AVERAGE(OFFSET($H$3,0,0,'Données projet'!$E$12+1,1))</f>
        <v>0</v>
      </c>
      <c r="CE61" s="59">
        <f t="shared" si="40"/>
        <v>0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0</v>
      </c>
      <c r="CL61" s="21">
        <f>EXP(-LN(2)/25)*CL60+(1-EXP(-LN(2)/25))/(LN(2)/25)*Calculateur!CG61*Calculateur!CI61*VLOOKUP('Données projet'!$B$12,Paramètres!$A$1:$I$89,3,0)*0.475*44/12</f>
        <v>0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0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>
        <f>CT61*VLOOKUP('Données projet'!$B$13,Paramètres!$A$1:$I$89,3,0)*VLOOKUP('Données projet'!$B$13,Paramètres!$A$1:$I$89,5,0)</f>
        <v>0</v>
      </c>
      <c r="CV61" s="13" t="e">
        <f t="shared" si="41"/>
        <v>#NUM!</v>
      </c>
      <c r="CW61" s="20" t="e">
        <f t="shared" si="13"/>
        <v>#NUM!</v>
      </c>
      <c r="CX61" s="59" t="e">
        <f t="shared" si="14"/>
        <v>#NUM!</v>
      </c>
      <c r="CY61" s="59">
        <f ca="1">AVERAGE(OFFSET($CX$3,0,0,'Données projet'!$E$13+1,1))-AVERAGE(OFFSET($H$3,0,0,'Données projet'!$E$13+1,1))</f>
        <v>0</v>
      </c>
      <c r="CZ61" s="59">
        <f t="shared" si="42"/>
        <v>0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0</v>
      </c>
      <c r="DG61" s="21">
        <f>EXP(-LN(2)/25)*DG60+(1-EXP(-LN(2)/25))/(LN(2)/25)*Calculateur!DB61*Calculateur!DD61*VLOOKUP('Données projet'!$B$13,Paramètres!$A$1:$I$89,3,0)*0.475*44/12</f>
        <v>0</v>
      </c>
      <c r="DH61" s="21">
        <f>EXP(-LN(2)/2)*DH60+(1-EXP(-LN(2)/2))/(LN(2)/2)*DB61*DE61*VLOOKUP('Données projet'!$B$13,Paramètres!$A$1:$I$89,3,0)*0.475*44/12</f>
        <v>0</v>
      </c>
      <c r="DI61" s="22">
        <f t="shared" si="15"/>
        <v>0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-2.2737367544323206E-13</v>
      </c>
      <c r="O62" s="13">
        <f>N62*VLOOKUP('Données projet'!$B$9,Paramètres!$A$1:$I$89,3,0)*VLOOKUP('Données projet'!$B$9,Paramètres!$A$1:$I$89,5,0)</f>
        <v>-1.3596945791505279E-13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181.92766225683107</v>
      </c>
      <c r="T62" s="59">
        <f t="shared" si="34"/>
        <v>370.52917139565756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37.011147982781452</v>
      </c>
      <c r="AA62" s="21">
        <f>EXP(-LN(2)/25)*AA61+(1-EXP(-LN(2)/25))/(LN(2)/25)*Calculateur!V62*Calculateur!X62*VLOOKUP('Données projet'!$B$9,Paramètres!$A$1:$I$89,3,0)*0.475*44/12</f>
        <v>26.343990654709661</v>
      </c>
      <c r="AB62" s="21">
        <f>EXP(-LN(2)/2)*AB61+(1-EXP(-LN(2)/2))/(LN(2)/2)*V62*Y62*VLOOKUP('Données projet'!$B$9,Paramètres!$A$1:$I$89,3,0)*0.475*44/12</f>
        <v>1.9611832333659686E-2</v>
      </c>
      <c r="AC62" s="22">
        <f t="shared" si="3"/>
        <v>63.374750469824768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5.6</v>
      </c>
      <c r="AI62" s="13">
        <f>IF('Données projet'!$A$62&gt;35,AI61+AH62-AQ61,IF(A62&lt;'Données projet'!$A$62,$AF$205^A62,IF(A62='Données projet'!$A$62,'Données projet'!$B$62,AI61+AH62-AQ61)))</f>
        <v>252.39999999999969</v>
      </c>
      <c r="AJ62" s="13">
        <f>AI62*VLOOKUP('Données projet'!$B$10,Paramètres!$A$1:$I$89,3,0)*VLOOKUP('Données projet'!$B$10,Paramètres!$A$1:$I$89,5,0)</f>
        <v>204.74687999999978</v>
      </c>
      <c r="AK62" s="13">
        <f t="shared" si="35"/>
        <v>50.785959801489938</v>
      </c>
      <c r="AL62" s="20">
        <f t="shared" si="4"/>
        <v>445.05302932092792</v>
      </c>
      <c r="AM62" s="59">
        <f t="shared" si="5"/>
        <v>738.38636265426123</v>
      </c>
      <c r="AN62" s="59">
        <f ca="1">AVERAGE(OFFSET($AM$3,0,0,'Données projet'!$E$10+1,1))-AVERAGE(OFFSET($H$3,0,0,'Données projet'!$E$10+1,1))</f>
        <v>235.31102883830971</v>
      </c>
      <c r="AO62" s="59">
        <f t="shared" si="36"/>
        <v>271.48630853790422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0</v>
      </c>
      <c r="AV62" s="21">
        <f>EXP(-LN(2)/25)*AV61+(1-EXP(-LN(2)/25))/(LN(2)/25)*Calculateur!AQ62*Calculateur!AS62*VLOOKUP('Données projet'!$B$10,Paramètres!$A$1:$I$89,3,0)*0.475*44/12</f>
        <v>3.8067100664685656</v>
      </c>
      <c r="AW62" s="21">
        <f>EXP(-LN(2)/2)*AW61+(1-EXP(-LN(2)/2))/(LN(2)/2)*AQ62*AT62*VLOOKUP('Données projet'!$B$10,Paramètres!$A$1:$I$89,3,0)*0.475*44/12</f>
        <v>4.7355823906514914E-4</v>
      </c>
      <c r="AX62" s="21">
        <f t="shared" si="6"/>
        <v>3.8071836247076307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5.5</v>
      </c>
      <c r="BD62" s="12">
        <f>IF('Données projet'!$A$88&gt;35,BD61+BC62-BL61,IF(A62&lt;'Données projet'!$A$88,$BA$205^A62,IF(A62='Données projet'!$A$88,'Données projet'!$B$88,BD61+BC62-BL61)))</f>
        <v>156.49999999999997</v>
      </c>
      <c r="BE62" s="13">
        <f>BD62*VLOOKUP('Données projet'!$B$11,Paramètres!$A$1:$I$89,3,0)*VLOOKUP('Données projet'!$B$11,Paramètres!$A$1:$I$89,5,0)</f>
        <v>178.22219999999996</v>
      </c>
      <c r="BF62" s="13">
        <f t="shared" si="37"/>
        <v>44.926430222501445</v>
      </c>
      <c r="BG62" s="20">
        <f t="shared" si="7"/>
        <v>388.65053097085661</v>
      </c>
      <c r="BH62" s="59">
        <f t="shared" si="8"/>
        <v>681.98386430418986</v>
      </c>
      <c r="BI62" s="59">
        <f ca="1">AVERAGE(OFFSET($BH$3,0,0,'Données projet'!$E$11+1,1))-AVERAGE(OFFSET($H$3,0,0,'Données projet'!$E$11+1,1))</f>
        <v>249.01678065306629</v>
      </c>
      <c r="BJ62" s="59">
        <f t="shared" si="38"/>
        <v>99.639724892155641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0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>
        <f>BY62*VLOOKUP('Données projet'!$B$12,Paramètres!$A$1:$I$89,3,0)*VLOOKUP('Données projet'!$B$12,Paramètres!$A$1:$I$89,5,0)</f>
        <v>0</v>
      </c>
      <c r="CA62" s="13" t="e">
        <f t="shared" si="39"/>
        <v>#NUM!</v>
      </c>
      <c r="CB62" s="20" t="e">
        <f t="shared" si="10"/>
        <v>#NUM!</v>
      </c>
      <c r="CC62" s="59" t="e">
        <f t="shared" si="11"/>
        <v>#NUM!</v>
      </c>
      <c r="CD62" s="59">
        <f ca="1">AVERAGE(OFFSET($CC$3,0,0,'Données projet'!$E$12+1,1))-AVERAGE(OFFSET($H$3,0,0,'Données projet'!$E$12+1,1))</f>
        <v>0</v>
      </c>
      <c r="CE62" s="59">
        <f t="shared" si="40"/>
        <v>0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0</v>
      </c>
      <c r="CL62" s="21">
        <f>EXP(-LN(2)/25)*CL61+(1-EXP(-LN(2)/25))/(LN(2)/25)*Calculateur!CG62*Calculateur!CI62*VLOOKUP('Données projet'!$B$12,Paramètres!$A$1:$I$89,3,0)*0.475*44/12</f>
        <v>0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0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>
        <f>CT62*VLOOKUP('Données projet'!$B$13,Paramètres!$A$1:$I$89,3,0)*VLOOKUP('Données projet'!$B$13,Paramètres!$A$1:$I$89,5,0)</f>
        <v>0</v>
      </c>
      <c r="CV62" s="13" t="e">
        <f t="shared" si="41"/>
        <v>#NUM!</v>
      </c>
      <c r="CW62" s="20" t="e">
        <f t="shared" si="13"/>
        <v>#NUM!</v>
      </c>
      <c r="CX62" s="59" t="e">
        <f t="shared" si="14"/>
        <v>#NUM!</v>
      </c>
      <c r="CY62" s="59">
        <f ca="1">AVERAGE(OFFSET($CX$3,0,0,'Données projet'!$E$13+1,1))-AVERAGE(OFFSET($H$3,0,0,'Données projet'!$E$13+1,1))</f>
        <v>0</v>
      </c>
      <c r="CZ62" s="59">
        <f t="shared" si="42"/>
        <v>0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0</v>
      </c>
      <c r="DG62" s="21">
        <f>EXP(-LN(2)/25)*DG61+(1-EXP(-LN(2)/25))/(LN(2)/25)*Calculateur!DB62*Calculateur!DD62*VLOOKUP('Données projet'!$B$13,Paramètres!$A$1:$I$89,3,0)*0.475*44/12</f>
        <v>0</v>
      </c>
      <c r="DH62" s="21">
        <f>EXP(-LN(2)/2)*DH61+(1-EXP(-LN(2)/2))/(LN(2)/2)*DB62*DE62*VLOOKUP('Données projet'!$B$13,Paramètres!$A$1:$I$89,3,0)*0.475*44/12</f>
        <v>0</v>
      </c>
      <c r="DI62" s="22">
        <f t="shared" si="15"/>
        <v>0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-2.2737367544323206E-13</v>
      </c>
      <c r="O63" s="13">
        <f>N63*VLOOKUP('Données projet'!$B$9,Paramètres!$A$1:$I$89,3,0)*VLOOKUP('Données projet'!$B$9,Paramètres!$A$1:$I$89,5,0)</f>
        <v>-1.3596945791505279E-13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181.92766225683107</v>
      </c>
      <c r="T63" s="59">
        <f t="shared" si="34"/>
        <v>370.52917139565756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36.285381945410322</v>
      </c>
      <c r="AA63" s="21">
        <f>EXP(-LN(2)/25)*AA62+(1-EXP(-LN(2)/25))/(LN(2)/25)*Calculateur!V63*Calculateur!X63*VLOOKUP('Données projet'!$B$9,Paramètres!$A$1:$I$89,3,0)*0.475*44/12</f>
        <v>25.623612844886367</v>
      </c>
      <c r="AB63" s="21">
        <f>EXP(-LN(2)/2)*AB62+(1-EXP(-LN(2)/2))/(LN(2)/2)*V63*Y63*VLOOKUP('Données projet'!$B$9,Paramètres!$A$1:$I$89,3,0)*0.475*44/12</f>
        <v>1.3867659634624357E-2</v>
      </c>
      <c r="AC63" s="22">
        <f t="shared" si="3"/>
        <v>61.922862449931316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258</v>
      </c>
      <c r="AG63" s="12">
        <f>VLOOKUP(A63,'Données projet'!$A$61:$I$81,9,0)</f>
        <v>5.6</v>
      </c>
      <c r="AH63" s="12">
        <f t="array" ref="AH63">INDEX(AG:AG,MIN(IF(ISNUMBER(AG63:AG259),ROW(AG63:AG259),"")))</f>
        <v>5.6</v>
      </c>
      <c r="AI63" s="13">
        <f>IF('Données projet'!$A$62&gt;35,AI62+AH63-AQ62,IF(A63&lt;'Données projet'!$A$62,$AF$205^A63,IF(A63='Données projet'!$A$62,'Données projet'!$B$62,AI62+AH63-AQ62)))</f>
        <v>257.99999999999972</v>
      </c>
      <c r="AJ63" s="13">
        <f>AI63*VLOOKUP('Données projet'!$B$10,Paramètres!$A$1:$I$89,3,0)*VLOOKUP('Données projet'!$B$10,Paramètres!$A$1:$I$89,5,0)</f>
        <v>209.28959999999978</v>
      </c>
      <c r="AK63" s="13">
        <f t="shared" si="35"/>
        <v>51.780314822292119</v>
      </c>
      <c r="AL63" s="20">
        <f t="shared" si="4"/>
        <v>454.69676831549168</v>
      </c>
      <c r="AM63" s="59">
        <f t="shared" si="5"/>
        <v>748.03010164882494</v>
      </c>
      <c r="AN63" s="59">
        <f ca="1">AVERAGE(OFFSET($AM$3,0,0,'Données projet'!$E$10+1,1))-AVERAGE(OFFSET($H$3,0,0,'Données projet'!$E$10+1,1))</f>
        <v>235.31102883830971</v>
      </c>
      <c r="AO63" s="59">
        <f t="shared" si="36"/>
        <v>271.48630853790422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25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0</v>
      </c>
      <c r="AV63" s="21">
        <f>EXP(-LN(2)/25)*AV62+(1-EXP(-LN(2)/25))/(LN(2)/25)*Calculateur!AQ63*Calculateur!AS63*VLOOKUP('Données projet'!$B$10,Paramètres!$A$1:$I$89,3,0)*0.475*44/12</f>
        <v>3.7026153795148007</v>
      </c>
      <c r="AW63" s="21">
        <f>EXP(-LN(2)/2)*AW62+(1-EXP(-LN(2)/2))/(LN(2)/2)*AQ63*AT63*VLOOKUP('Données projet'!$B$10,Paramètres!$A$1:$I$89,3,0)*0.475*44/12</f>
        <v>3.348562421297272E-4</v>
      </c>
      <c r="AX63" s="21">
        <f t="shared" si="6"/>
        <v>3.7029502357569304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162</v>
      </c>
      <c r="BB63" s="12">
        <f>VLOOKUP(A63,'Données projet'!$A$87:$I$107,9,0)</f>
        <v>5.5</v>
      </c>
      <c r="BC63" s="12">
        <f t="array" ref="BC63">INDEX(BB:BB,MIN(IF(ISNUMBER(BB63:BB259),ROW(BB63:BB259),"")))</f>
        <v>5.5</v>
      </c>
      <c r="BD63" s="12">
        <f>IF('Données projet'!$A$88&gt;35,BD62+BC63-BL62,IF(A63&lt;'Données projet'!$A$88,$BA$205^A63,IF(A63='Données projet'!$A$88,'Données projet'!$B$88,BD62+BC63-BL62)))</f>
        <v>161.99999999999997</v>
      </c>
      <c r="BE63" s="13">
        <f>BD63*VLOOKUP('Données projet'!$B$11,Paramètres!$A$1:$I$89,3,0)*VLOOKUP('Données projet'!$B$11,Paramètres!$A$1:$I$89,5,0)</f>
        <v>184.48559999999998</v>
      </c>
      <c r="BF63" s="13">
        <f t="shared" si="37"/>
        <v>46.318715382308191</v>
      </c>
      <c r="BG63" s="20">
        <f t="shared" si="7"/>
        <v>401.98418262418676</v>
      </c>
      <c r="BH63" s="59">
        <f t="shared" si="8"/>
        <v>695.31751595752007</v>
      </c>
      <c r="BI63" s="59">
        <f ca="1">AVERAGE(OFFSET($BH$3,0,0,'Données projet'!$E$11+1,1))-AVERAGE(OFFSET($H$3,0,0,'Données projet'!$E$11+1,1))</f>
        <v>249.01678065306629</v>
      </c>
      <c r="BJ63" s="59">
        <f t="shared" si="38"/>
        <v>99.639724892155641</v>
      </c>
      <c r="BK63" s="15">
        <f>IF(ISNA(VLOOKUP(A63,'Données projet'!$A$87:$I$107,3,0)),0,VLOOKUP(A63,'Données projet'!$A$87:$I$107,3,0))</f>
        <v>3</v>
      </c>
      <c r="BL63" s="15">
        <f>IF(ISNA(VLOOKUP(A63,'Données projet'!$A$87:$I$107,4,0)),0,VLOOKUP(A63,'Données projet'!$A$87:$I$107,4,0))</f>
        <v>28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0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>
        <f>BY63*VLOOKUP('Données projet'!$B$12,Paramètres!$A$1:$I$89,3,0)*VLOOKUP('Données projet'!$B$12,Paramètres!$A$1:$I$89,5,0)</f>
        <v>0</v>
      </c>
      <c r="CA63" s="13" t="e">
        <f t="shared" si="39"/>
        <v>#NUM!</v>
      </c>
      <c r="CB63" s="20" t="e">
        <f t="shared" si="10"/>
        <v>#NUM!</v>
      </c>
      <c r="CC63" s="59" t="e">
        <f t="shared" si="11"/>
        <v>#NUM!</v>
      </c>
      <c r="CD63" s="59">
        <f ca="1">AVERAGE(OFFSET($CC$3,0,0,'Données projet'!$E$12+1,1))-AVERAGE(OFFSET($H$3,0,0,'Données projet'!$E$12+1,1))</f>
        <v>0</v>
      </c>
      <c r="CE63" s="59">
        <f t="shared" si="40"/>
        <v>0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0</v>
      </c>
      <c r="CL63" s="21">
        <f>EXP(-LN(2)/25)*CL62+(1-EXP(-LN(2)/25))/(LN(2)/25)*Calculateur!CG63*Calculateur!CI63*VLOOKUP('Données projet'!$B$12,Paramètres!$A$1:$I$89,3,0)*0.475*44/12</f>
        <v>0</v>
      </c>
      <c r="CM63" s="21">
        <f>EXP(-LN(2)/2)*CM62+(1-EXP(-LN(2)/2))/(LN(2)/2)*CG63*CJ63*VLOOKUP('Données projet'!$B$12,Paramètres!$A$1:$I$89,3,0)*0.475*44/12</f>
        <v>0</v>
      </c>
      <c r="CN63" s="22">
        <f t="shared" si="12"/>
        <v>0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>
        <f>CT63*VLOOKUP('Données projet'!$B$13,Paramètres!$A$1:$I$89,3,0)*VLOOKUP('Données projet'!$B$13,Paramètres!$A$1:$I$89,5,0)</f>
        <v>0</v>
      </c>
      <c r="CV63" s="13" t="e">
        <f t="shared" si="41"/>
        <v>#NUM!</v>
      </c>
      <c r="CW63" s="20" t="e">
        <f t="shared" si="13"/>
        <v>#NUM!</v>
      </c>
      <c r="CX63" s="59" t="e">
        <f t="shared" si="14"/>
        <v>#NUM!</v>
      </c>
      <c r="CY63" s="59">
        <f ca="1">AVERAGE(OFFSET($CX$3,0,0,'Données projet'!$E$13+1,1))-AVERAGE(OFFSET($H$3,0,0,'Données projet'!$E$13+1,1))</f>
        <v>0</v>
      </c>
      <c r="CZ63" s="59">
        <f t="shared" si="42"/>
        <v>0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0</v>
      </c>
      <c r="DG63" s="21">
        <f>EXP(-LN(2)/25)*DG62+(1-EXP(-LN(2)/25))/(LN(2)/25)*Calculateur!DB63*Calculateur!DD63*VLOOKUP('Données projet'!$B$13,Paramètres!$A$1:$I$89,3,0)*0.475*44/12</f>
        <v>0</v>
      </c>
      <c r="DH63" s="21">
        <f>EXP(-LN(2)/2)*DH62+(1-EXP(-LN(2)/2))/(LN(2)/2)*DB63*DE63*VLOOKUP('Données projet'!$B$13,Paramètres!$A$1:$I$89,3,0)*0.475*44/12</f>
        <v>0</v>
      </c>
      <c r="DI63" s="22">
        <f t="shared" si="15"/>
        <v>0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-2.2737367544323206E-13</v>
      </c>
      <c r="O64" s="13">
        <f>N64*VLOOKUP('Données projet'!$B$9,Paramètres!$A$1:$I$89,3,0)*VLOOKUP('Données projet'!$B$9,Paramètres!$A$1:$I$89,5,0)</f>
        <v>-1.3596945791505279E-13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181.92766225683107</v>
      </c>
      <c r="T64" s="59">
        <f t="shared" si="34"/>
        <v>370.52917139565756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35.57384773735847</v>
      </c>
      <c r="AA64" s="21">
        <f>EXP(-LN(2)/25)*AA63+(1-EXP(-LN(2)/25))/(LN(2)/25)*Calculateur!V64*Calculateur!X64*VLOOKUP('Données projet'!$B$9,Paramètres!$A$1:$I$89,3,0)*0.475*44/12</f>
        <v>24.922933804155711</v>
      </c>
      <c r="AB64" s="21">
        <f>EXP(-LN(2)/2)*AB63+(1-EXP(-LN(2)/2))/(LN(2)/2)*V64*Y64*VLOOKUP('Données projet'!$B$9,Paramètres!$A$1:$I$89,3,0)*0.475*44/12</f>
        <v>9.8059161668298429E-3</v>
      </c>
      <c r="AC64" s="22">
        <f t="shared" si="3"/>
        <v>60.506587457681015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4.0999999999999996</v>
      </c>
      <c r="AI64" s="13">
        <f>IF('Données projet'!$A$62&gt;35,AI63+AH64-AQ63,IF(A64&lt;'Données projet'!$A$62,$AF$205^A64,IF(A64='Données projet'!$A$62,'Données projet'!$B$62,AI63+AH64-AQ63)))</f>
        <v>237.09999999999974</v>
      </c>
      <c r="AJ64" s="13">
        <f>AI64*VLOOKUP('Données projet'!$B$10,Paramètres!$A$1:$I$89,3,0)*VLOOKUP('Données projet'!$B$10,Paramètres!$A$1:$I$89,5,0)</f>
        <v>192.3355199999998</v>
      </c>
      <c r="AK64" s="13">
        <f t="shared" si="35"/>
        <v>48.055935441424452</v>
      </c>
      <c r="AL64" s="20">
        <f t="shared" si="4"/>
        <v>418.68178489381393</v>
      </c>
      <c r="AM64" s="59">
        <f t="shared" si="5"/>
        <v>712.01511822714724</v>
      </c>
      <c r="AN64" s="59">
        <f ca="1">AVERAGE(OFFSET($AM$3,0,0,'Données projet'!$E$10+1,1))-AVERAGE(OFFSET($H$3,0,0,'Données projet'!$E$10+1,1))</f>
        <v>235.31102883830971</v>
      </c>
      <c r="AO64" s="59">
        <f t="shared" si="36"/>
        <v>271.48630853790422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0</v>
      </c>
      <c r="AV64" s="21">
        <f>EXP(-LN(2)/25)*AV63+(1-EXP(-LN(2)/25))/(LN(2)/25)*Calculateur!AQ64*Calculateur!AS64*VLOOKUP('Données projet'!$B$10,Paramètres!$A$1:$I$89,3,0)*0.475*44/12</f>
        <v>3.6013671672498879</v>
      </c>
      <c r="AW64" s="21">
        <f>EXP(-LN(2)/2)*AW63+(1-EXP(-LN(2)/2))/(LN(2)/2)*AQ64*AT64*VLOOKUP('Données projet'!$B$10,Paramètres!$A$1:$I$89,3,0)*0.475*44/12</f>
        <v>2.367791195325746E-4</v>
      </c>
      <c r="AX64" s="21">
        <f t="shared" si="6"/>
        <v>3.6016039463694205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5.2</v>
      </c>
      <c r="BD64" s="12">
        <f>IF('Données projet'!$A$88&gt;35,BD63+BC64-BL63,IF(A64&lt;'Données projet'!$A$88,$BA$205^A64,IF(A64='Données projet'!$A$88,'Données projet'!$B$88,BD63+BC64-BL63)))</f>
        <v>139.19999999999996</v>
      </c>
      <c r="BE64" s="13">
        <f>BD64*VLOOKUP('Données projet'!$B$11,Paramètres!$A$1:$I$89,3,0)*VLOOKUP('Données projet'!$B$11,Paramètres!$A$1:$I$89,5,0)</f>
        <v>158.52095999999997</v>
      </c>
      <c r="BF64" s="13">
        <f t="shared" si="37"/>
        <v>40.508733707832626</v>
      </c>
      <c r="BG64" s="20">
        <f t="shared" si="7"/>
        <v>346.64338320780843</v>
      </c>
      <c r="BH64" s="59">
        <f t="shared" si="8"/>
        <v>639.97671654114174</v>
      </c>
      <c r="BI64" s="59">
        <f ca="1">AVERAGE(OFFSET($BH$3,0,0,'Données projet'!$E$11+1,1))-AVERAGE(OFFSET($H$3,0,0,'Données projet'!$E$11+1,1))</f>
        <v>249.01678065306629</v>
      </c>
      <c r="BJ64" s="59">
        <f t="shared" si="38"/>
        <v>99.639724892155641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0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>
        <f>BY64*VLOOKUP('Données projet'!$B$12,Paramètres!$A$1:$I$89,3,0)*VLOOKUP('Données projet'!$B$12,Paramètres!$A$1:$I$89,5,0)</f>
        <v>0</v>
      </c>
      <c r="CA64" s="13" t="e">
        <f t="shared" si="39"/>
        <v>#NUM!</v>
      </c>
      <c r="CB64" s="20" t="e">
        <f t="shared" si="10"/>
        <v>#NUM!</v>
      </c>
      <c r="CC64" s="59" t="e">
        <f t="shared" si="11"/>
        <v>#NUM!</v>
      </c>
      <c r="CD64" s="59">
        <f ca="1">AVERAGE(OFFSET($CC$3,0,0,'Données projet'!$E$12+1,1))-AVERAGE(OFFSET($H$3,0,0,'Données projet'!$E$12+1,1))</f>
        <v>0</v>
      </c>
      <c r="CE64" s="59">
        <f t="shared" si="40"/>
        <v>0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0</v>
      </c>
      <c r="CL64" s="21">
        <f>EXP(-LN(2)/25)*CL63+(1-EXP(-LN(2)/25))/(LN(2)/25)*Calculateur!CG64*Calculateur!CI64*VLOOKUP('Données projet'!$B$12,Paramètres!$A$1:$I$89,3,0)*0.475*44/12</f>
        <v>0</v>
      </c>
      <c r="CM64" s="21">
        <f>EXP(-LN(2)/2)*CM63+(1-EXP(-LN(2)/2))/(LN(2)/2)*CG64*CJ64*VLOOKUP('Données projet'!$B$12,Paramètres!$A$1:$I$89,3,0)*0.475*44/12</f>
        <v>0</v>
      </c>
      <c r="CN64" s="22">
        <f t="shared" si="12"/>
        <v>0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>
        <f>CT64*VLOOKUP('Données projet'!$B$13,Paramètres!$A$1:$I$89,3,0)*VLOOKUP('Données projet'!$B$13,Paramètres!$A$1:$I$89,5,0)</f>
        <v>0</v>
      </c>
      <c r="CV64" s="13" t="e">
        <f t="shared" si="41"/>
        <v>#NUM!</v>
      </c>
      <c r="CW64" s="20" t="e">
        <f t="shared" si="13"/>
        <v>#NUM!</v>
      </c>
      <c r="CX64" s="59" t="e">
        <f t="shared" si="14"/>
        <v>#NUM!</v>
      </c>
      <c r="CY64" s="59">
        <f ca="1">AVERAGE(OFFSET($CX$3,0,0,'Données projet'!$E$13+1,1))-AVERAGE(OFFSET($H$3,0,0,'Données projet'!$E$13+1,1))</f>
        <v>0</v>
      </c>
      <c r="CZ64" s="59">
        <f t="shared" si="42"/>
        <v>0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0</v>
      </c>
      <c r="DG64" s="21">
        <f>EXP(-LN(2)/25)*DG63+(1-EXP(-LN(2)/25))/(LN(2)/25)*Calculateur!DB64*Calculateur!DD64*VLOOKUP('Données projet'!$B$13,Paramètres!$A$1:$I$89,3,0)*0.475*44/12</f>
        <v>0</v>
      </c>
      <c r="DH64" s="21">
        <f>EXP(-LN(2)/2)*DH63+(1-EXP(-LN(2)/2))/(LN(2)/2)*DB64*DE64*VLOOKUP('Données projet'!$B$13,Paramètres!$A$1:$I$89,3,0)*0.475*44/12</f>
        <v>0</v>
      </c>
      <c r="DI64" s="22">
        <f t="shared" si="15"/>
        <v>0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-2.2737367544323206E-13</v>
      </c>
      <c r="O65" s="13">
        <f>N65*VLOOKUP('Données projet'!$B$9,Paramètres!$A$1:$I$89,3,0)*VLOOKUP('Données projet'!$B$9,Paramètres!$A$1:$I$89,5,0)</f>
        <v>-1.3596945791505279E-13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181.92766225683107</v>
      </c>
      <c r="T65" s="59">
        <f t="shared" si="34"/>
        <v>370.52917139565756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34.876266281133503</v>
      </c>
      <c r="AA65" s="21">
        <f>EXP(-LN(2)/25)*AA64+(1-EXP(-LN(2)/25))/(LN(2)/25)*Calculateur!V65*Calculateur!X65*VLOOKUP('Données projet'!$B$9,Paramètres!$A$1:$I$89,3,0)*0.475*44/12</f>
        <v>24.241414868640948</v>
      </c>
      <c r="AB65" s="21">
        <f>EXP(-LN(2)/2)*AB64+(1-EXP(-LN(2)/2))/(LN(2)/2)*V65*Y65*VLOOKUP('Données projet'!$B$9,Paramètres!$A$1:$I$89,3,0)*0.475*44/12</f>
        <v>6.9338298173121787E-3</v>
      </c>
      <c r="AC65" s="22">
        <f t="shared" si="3"/>
        <v>59.124614979591769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4.0999999999999996</v>
      </c>
      <c r="AI65" s="13">
        <f>IF('Données projet'!$A$62&gt;35,AI64+AH65-AQ64,IF(A65&lt;'Données projet'!$A$62,$AF$205^A65,IF(A65='Données projet'!$A$62,'Données projet'!$B$62,AI64+AH65-AQ64)))</f>
        <v>241.19999999999973</v>
      </c>
      <c r="AJ65" s="13">
        <f>AI65*VLOOKUP('Données projet'!$B$10,Paramètres!$A$1:$I$89,3,0)*VLOOKUP('Données projet'!$B$10,Paramètres!$A$1:$I$89,5,0)</f>
        <v>195.6614399999998</v>
      </c>
      <c r="AK65" s="13">
        <f t="shared" si="35"/>
        <v>48.789469927948474</v>
      </c>
      <c r="AL65" s="20">
        <f t="shared" si="4"/>
        <v>425.75200145784316</v>
      </c>
      <c r="AM65" s="59">
        <f t="shared" si="5"/>
        <v>719.08533479117648</v>
      </c>
      <c r="AN65" s="59">
        <f ca="1">AVERAGE(OFFSET($AM$3,0,0,'Données projet'!$E$10+1,1))-AVERAGE(OFFSET($H$3,0,0,'Données projet'!$E$10+1,1))</f>
        <v>235.31102883830971</v>
      </c>
      <c r="AO65" s="59">
        <f t="shared" si="36"/>
        <v>271.48630853790422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0</v>
      </c>
      <c r="AV65" s="21">
        <f>EXP(-LN(2)/25)*AV64+(1-EXP(-LN(2)/25))/(LN(2)/25)*Calculateur!AQ65*Calculateur!AS65*VLOOKUP('Données projet'!$B$10,Paramètres!$A$1:$I$89,3,0)*0.475*44/12</f>
        <v>3.5028875926737713</v>
      </c>
      <c r="AW65" s="21">
        <f>EXP(-LN(2)/2)*AW64+(1-EXP(-LN(2)/2))/(LN(2)/2)*AQ65*AT65*VLOOKUP('Données projet'!$B$10,Paramètres!$A$1:$I$89,3,0)*0.475*44/12</f>
        <v>1.6742812106486363E-4</v>
      </c>
      <c r="AX65" s="21">
        <f t="shared" si="6"/>
        <v>3.5030550207948363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5.2</v>
      </c>
      <c r="BD65" s="12">
        <f>IF('Données projet'!$A$88&gt;35,BD64+BC65-BL64,IF(A65&lt;'Données projet'!$A$88,$BA$205^A65,IF(A65='Données projet'!$A$88,'Données projet'!$B$88,BD64+BC65-BL64)))</f>
        <v>144.39999999999995</v>
      </c>
      <c r="BE65" s="13">
        <f>BD65*VLOOKUP('Données projet'!$B$11,Paramètres!$A$1:$I$89,3,0)*VLOOKUP('Données projet'!$B$11,Paramètres!$A$1:$I$89,5,0)</f>
        <v>164.44271999999995</v>
      </c>
      <c r="BF65" s="13">
        <f t="shared" si="37"/>
        <v>41.842980414054516</v>
      </c>
      <c r="BG65" s="20">
        <f t="shared" si="7"/>
        <v>359.2809282211449</v>
      </c>
      <c r="BH65" s="59">
        <f t="shared" si="8"/>
        <v>652.61426155447816</v>
      </c>
      <c r="BI65" s="59">
        <f ca="1">AVERAGE(OFFSET($BH$3,0,0,'Données projet'!$E$11+1,1))-AVERAGE(OFFSET($H$3,0,0,'Données projet'!$E$11+1,1))</f>
        <v>249.01678065306629</v>
      </c>
      <c r="BJ65" s="59">
        <f t="shared" si="38"/>
        <v>99.639724892155641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0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>
        <f>BY65*VLOOKUP('Données projet'!$B$12,Paramètres!$A$1:$I$89,3,0)*VLOOKUP('Données projet'!$B$12,Paramètres!$A$1:$I$89,5,0)</f>
        <v>0</v>
      </c>
      <c r="CA65" s="13" t="e">
        <f t="shared" si="39"/>
        <v>#NUM!</v>
      </c>
      <c r="CB65" s="20" t="e">
        <f t="shared" si="10"/>
        <v>#NUM!</v>
      </c>
      <c r="CC65" s="59" t="e">
        <f t="shared" si="11"/>
        <v>#NUM!</v>
      </c>
      <c r="CD65" s="59">
        <f ca="1">AVERAGE(OFFSET($CC$3,0,0,'Données projet'!$E$12+1,1))-AVERAGE(OFFSET($H$3,0,0,'Données projet'!$E$12+1,1))</f>
        <v>0</v>
      </c>
      <c r="CE65" s="59">
        <f t="shared" si="40"/>
        <v>0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0</v>
      </c>
      <c r="CL65" s="21">
        <f>EXP(-LN(2)/25)*CL64+(1-EXP(-LN(2)/25))/(LN(2)/25)*Calculateur!CG65*Calculateur!CI65*VLOOKUP('Données projet'!$B$12,Paramètres!$A$1:$I$89,3,0)*0.475*44/12</f>
        <v>0</v>
      </c>
      <c r="CM65" s="21">
        <f>EXP(-LN(2)/2)*CM64+(1-EXP(-LN(2)/2))/(LN(2)/2)*CG65*CJ65*VLOOKUP('Données projet'!$B$12,Paramètres!$A$1:$I$89,3,0)*0.475*44/12</f>
        <v>0</v>
      </c>
      <c r="CN65" s="22">
        <f t="shared" si="12"/>
        <v>0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>
        <f>CT65*VLOOKUP('Données projet'!$B$13,Paramètres!$A$1:$I$89,3,0)*VLOOKUP('Données projet'!$B$13,Paramètres!$A$1:$I$89,5,0)</f>
        <v>0</v>
      </c>
      <c r="CV65" s="13" t="e">
        <f t="shared" si="41"/>
        <v>#NUM!</v>
      </c>
      <c r="CW65" s="20" t="e">
        <f t="shared" si="13"/>
        <v>#NUM!</v>
      </c>
      <c r="CX65" s="59" t="e">
        <f t="shared" si="14"/>
        <v>#NUM!</v>
      </c>
      <c r="CY65" s="59">
        <f ca="1">AVERAGE(OFFSET($CX$3,0,0,'Données projet'!$E$13+1,1))-AVERAGE(OFFSET($H$3,0,0,'Données projet'!$E$13+1,1))</f>
        <v>0</v>
      </c>
      <c r="CZ65" s="59">
        <f t="shared" si="42"/>
        <v>0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0</v>
      </c>
      <c r="DG65" s="21">
        <f>EXP(-LN(2)/25)*DG64+(1-EXP(-LN(2)/25))/(LN(2)/25)*Calculateur!DB65*Calculateur!DD65*VLOOKUP('Données projet'!$B$13,Paramètres!$A$1:$I$89,3,0)*0.475*44/12</f>
        <v>0</v>
      </c>
      <c r="DH65" s="21">
        <f>EXP(-LN(2)/2)*DH64+(1-EXP(-LN(2)/2))/(LN(2)/2)*DB65*DE65*VLOOKUP('Données projet'!$B$13,Paramètres!$A$1:$I$89,3,0)*0.475*44/12</f>
        <v>0</v>
      </c>
      <c r="DI65" s="22">
        <f t="shared" si="15"/>
        <v>0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-2.2737367544323206E-13</v>
      </c>
      <c r="O66" s="13">
        <f>N66*VLOOKUP('Données projet'!$B$9,Paramètres!$A$1:$I$89,3,0)*VLOOKUP('Données projet'!$B$9,Paramètres!$A$1:$I$89,5,0)</f>
        <v>-1.3596945791505279E-13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181.92766225683107</v>
      </c>
      <c r="T66" s="59">
        <f t="shared" si="34"/>
        <v>370.52917139565756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34.192363971782427</v>
      </c>
      <c r="AA66" s="21">
        <f>EXP(-LN(2)/25)*AA65+(1-EXP(-LN(2)/25))/(LN(2)/25)*Calculateur!V66*Calculateur!X66*VLOOKUP('Données projet'!$B$9,Paramètres!$A$1:$I$89,3,0)*0.475*44/12</f>
        <v>23.578532104257359</v>
      </c>
      <c r="AB66" s="21">
        <f>EXP(-LN(2)/2)*AB65+(1-EXP(-LN(2)/2))/(LN(2)/2)*V66*Y66*VLOOKUP('Données projet'!$B$9,Paramètres!$A$1:$I$89,3,0)*0.475*44/12</f>
        <v>4.9029580834149215E-3</v>
      </c>
      <c r="AC66" s="22">
        <f t="shared" si="3"/>
        <v>57.775799034123203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4.0999999999999996</v>
      </c>
      <c r="AI66" s="13">
        <f>IF('Données projet'!$A$62&gt;35,AI65+AH66-AQ65,IF(A66&lt;'Données projet'!$A$62,$AF$205^A66,IF(A66='Données projet'!$A$62,'Données projet'!$B$62,AI65+AH66-AQ65)))</f>
        <v>245.29999999999973</v>
      </c>
      <c r="AJ66" s="13">
        <f>AI66*VLOOKUP('Données projet'!$B$10,Paramètres!$A$1:$I$89,3,0)*VLOOKUP('Données projet'!$B$10,Paramètres!$A$1:$I$89,5,0)</f>
        <v>198.9873599999998</v>
      </c>
      <c r="AK66" s="13">
        <f t="shared" si="35"/>
        <v>49.521554399108588</v>
      </c>
      <c r="AL66" s="20">
        <f t="shared" si="4"/>
        <v>432.81969257844707</v>
      </c>
      <c r="AM66" s="59">
        <f t="shared" si="5"/>
        <v>726.15302591178033</v>
      </c>
      <c r="AN66" s="59">
        <f ca="1">AVERAGE(OFFSET($AM$3,0,0,'Données projet'!$E$10+1,1))-AVERAGE(OFFSET($H$3,0,0,'Données projet'!$E$10+1,1))</f>
        <v>235.31102883830971</v>
      </c>
      <c r="AO66" s="59">
        <f t="shared" si="36"/>
        <v>271.48630853790422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0</v>
      </c>
      <c r="AV66" s="21">
        <f>EXP(-LN(2)/25)*AV65+(1-EXP(-LN(2)/25))/(LN(2)/25)*Calculateur!AQ66*Calculateur!AS66*VLOOKUP('Données projet'!$B$10,Paramètres!$A$1:$I$89,3,0)*0.475*44/12</f>
        <v>3.4071009472432543</v>
      </c>
      <c r="AW66" s="21">
        <f>EXP(-LN(2)/2)*AW65+(1-EXP(-LN(2)/2))/(LN(2)/2)*AQ66*AT66*VLOOKUP('Données projet'!$B$10,Paramètres!$A$1:$I$89,3,0)*0.475*44/12</f>
        <v>1.1838955976628733E-4</v>
      </c>
      <c r="AX66" s="21">
        <f t="shared" si="6"/>
        <v>3.4072193368030206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5.2</v>
      </c>
      <c r="BD66" s="12">
        <f>IF('Données projet'!$A$88&gt;35,BD65+BC66-BL65,IF(A66&lt;'Données projet'!$A$88,$BA$205^A66,IF(A66='Données projet'!$A$88,'Données projet'!$B$88,BD65+BC66-BL65)))</f>
        <v>149.59999999999994</v>
      </c>
      <c r="BE66" s="13">
        <f>BD66*VLOOKUP('Données projet'!$B$11,Paramètres!$A$1:$I$89,3,0)*VLOOKUP('Données projet'!$B$11,Paramètres!$A$1:$I$89,5,0)</f>
        <v>170.36447999999993</v>
      </c>
      <c r="BF66" s="13">
        <f t="shared" si="37"/>
        <v>43.171644802735969</v>
      </c>
      <c r="BG66" s="20">
        <f t="shared" si="7"/>
        <v>371.90875069809834</v>
      </c>
      <c r="BH66" s="59">
        <f t="shared" si="8"/>
        <v>665.24208403143166</v>
      </c>
      <c r="BI66" s="59">
        <f ca="1">AVERAGE(OFFSET($BH$3,0,0,'Données projet'!$E$11+1,1))-AVERAGE(OFFSET($H$3,0,0,'Données projet'!$E$11+1,1))</f>
        <v>249.01678065306629</v>
      </c>
      <c r="BJ66" s="59">
        <f t="shared" si="38"/>
        <v>99.639724892155641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0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>
        <f>BY66*VLOOKUP('Données projet'!$B$12,Paramètres!$A$1:$I$89,3,0)*VLOOKUP('Données projet'!$B$12,Paramètres!$A$1:$I$89,5,0)</f>
        <v>0</v>
      </c>
      <c r="CA66" s="13" t="e">
        <f t="shared" si="39"/>
        <v>#NUM!</v>
      </c>
      <c r="CB66" s="20" t="e">
        <f t="shared" si="10"/>
        <v>#NUM!</v>
      </c>
      <c r="CC66" s="59" t="e">
        <f t="shared" si="11"/>
        <v>#NUM!</v>
      </c>
      <c r="CD66" s="59">
        <f ca="1">AVERAGE(OFFSET($CC$3,0,0,'Données projet'!$E$12+1,1))-AVERAGE(OFFSET($H$3,0,0,'Données projet'!$E$12+1,1))</f>
        <v>0</v>
      </c>
      <c r="CE66" s="59">
        <f t="shared" si="40"/>
        <v>0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0</v>
      </c>
      <c r="CL66" s="21">
        <f>EXP(-LN(2)/25)*CL65+(1-EXP(-LN(2)/25))/(LN(2)/25)*Calculateur!CG66*Calculateur!CI66*VLOOKUP('Données projet'!$B$12,Paramètres!$A$1:$I$89,3,0)*0.475*44/12</f>
        <v>0</v>
      </c>
      <c r="CM66" s="21">
        <f>EXP(-LN(2)/2)*CM65+(1-EXP(-LN(2)/2))/(LN(2)/2)*CG66*CJ66*VLOOKUP('Données projet'!$B$12,Paramètres!$A$1:$I$89,3,0)*0.475*44/12</f>
        <v>0</v>
      </c>
      <c r="CN66" s="22">
        <f t="shared" si="12"/>
        <v>0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>
        <f>CT66*VLOOKUP('Données projet'!$B$13,Paramètres!$A$1:$I$89,3,0)*VLOOKUP('Données projet'!$B$13,Paramètres!$A$1:$I$89,5,0)</f>
        <v>0</v>
      </c>
      <c r="CV66" s="13" t="e">
        <f t="shared" si="41"/>
        <v>#NUM!</v>
      </c>
      <c r="CW66" s="20" t="e">
        <f t="shared" si="13"/>
        <v>#NUM!</v>
      </c>
      <c r="CX66" s="59" t="e">
        <f t="shared" si="14"/>
        <v>#NUM!</v>
      </c>
      <c r="CY66" s="59">
        <f ca="1">AVERAGE(OFFSET($CX$3,0,0,'Données projet'!$E$13+1,1))-AVERAGE(OFFSET($H$3,0,0,'Données projet'!$E$13+1,1))</f>
        <v>0</v>
      </c>
      <c r="CZ66" s="59">
        <f t="shared" si="42"/>
        <v>0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0</v>
      </c>
      <c r="DG66" s="21">
        <f>EXP(-LN(2)/25)*DG65+(1-EXP(-LN(2)/25))/(LN(2)/25)*Calculateur!DB66*Calculateur!DD66*VLOOKUP('Données projet'!$B$13,Paramètres!$A$1:$I$89,3,0)*0.475*44/12</f>
        <v>0</v>
      </c>
      <c r="DH66" s="21">
        <f>EXP(-LN(2)/2)*DH65+(1-EXP(-LN(2)/2))/(LN(2)/2)*DB66*DE66*VLOOKUP('Données projet'!$B$13,Paramètres!$A$1:$I$89,3,0)*0.475*44/12</f>
        <v>0</v>
      </c>
      <c r="DI66" s="22">
        <f t="shared" si="15"/>
        <v>0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-2.2737367544323206E-13</v>
      </c>
      <c r="O67" s="13">
        <f>N67*VLOOKUP('Données projet'!$B$9,Paramètres!$A$1:$I$89,3,0)*VLOOKUP('Données projet'!$B$9,Paramètres!$A$1:$I$89,5,0)</f>
        <v>-1.3596945791505279E-13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181.92766225683107</v>
      </c>
      <c r="T67" s="59">
        <f t="shared" si="34"/>
        <v>370.52917139565756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33.521872569578505</v>
      </c>
      <c r="AA67" s="21">
        <f>EXP(-LN(2)/25)*AA66+(1-EXP(-LN(2)/25))/(LN(2)/25)*Calculateur!V67*Calculateur!X67*VLOOKUP('Données projet'!$B$9,Paramètres!$A$1:$I$89,3,0)*0.475*44/12</f>
        <v>22.933775903925326</v>
      </c>
      <c r="AB67" s="21">
        <f>EXP(-LN(2)/2)*AB66+(1-EXP(-LN(2)/2))/(LN(2)/2)*V67*Y67*VLOOKUP('Données projet'!$B$9,Paramètres!$A$1:$I$89,3,0)*0.475*44/12</f>
        <v>3.4669149086560894E-3</v>
      </c>
      <c r="AC67" s="22">
        <f t="shared" si="3"/>
        <v>56.459115388412485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4.0999999999999996</v>
      </c>
      <c r="AI67" s="13">
        <f>IF('Données projet'!$A$62&gt;35,AI66+AH67-AQ66,IF(A67&lt;'Données projet'!$A$62,$AF$205^A67,IF(A67='Données projet'!$A$62,'Données projet'!$B$62,AI66+AH67-AQ66)))</f>
        <v>249.39999999999972</v>
      </c>
      <c r="AJ67" s="13">
        <f>AI67*VLOOKUP('Données projet'!$B$10,Paramètres!$A$1:$I$89,3,0)*VLOOKUP('Données projet'!$B$10,Paramètres!$A$1:$I$89,5,0)</f>
        <v>202.31327999999976</v>
      </c>
      <c r="AK67" s="13">
        <f t="shared" si="35"/>
        <v>50.252215888082027</v>
      </c>
      <c r="AL67" s="20">
        <f t="shared" si="4"/>
        <v>439.88490533840906</v>
      </c>
      <c r="AM67" s="59">
        <f t="shared" si="5"/>
        <v>733.21823867174237</v>
      </c>
      <c r="AN67" s="59">
        <f ca="1">AVERAGE(OFFSET($AM$3,0,0,'Données projet'!$E$10+1,1))-AVERAGE(OFFSET($H$3,0,0,'Données projet'!$E$10+1,1))</f>
        <v>235.31102883830971</v>
      </c>
      <c r="AO67" s="59">
        <f t="shared" si="36"/>
        <v>271.48630853790422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0</v>
      </c>
      <c r="AV67" s="21">
        <f>EXP(-LN(2)/25)*AV66+(1-EXP(-LN(2)/25))/(LN(2)/25)*Calculateur!AQ67*Calculateur!AS67*VLOOKUP('Données projet'!$B$10,Paramètres!$A$1:$I$89,3,0)*0.475*44/12</f>
        <v>3.3139335926692359</v>
      </c>
      <c r="AW67" s="21">
        <f>EXP(-LN(2)/2)*AW66+(1-EXP(-LN(2)/2))/(LN(2)/2)*AQ67*AT67*VLOOKUP('Données projet'!$B$10,Paramètres!$A$1:$I$89,3,0)*0.475*44/12</f>
        <v>8.3714060532431828E-5</v>
      </c>
      <c r="AX67" s="21">
        <f t="shared" si="6"/>
        <v>3.3140173067297685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5.2</v>
      </c>
      <c r="BD67" s="12">
        <f>IF('Données projet'!$A$88&gt;35,BD66+BC67-BL66,IF(A67&lt;'Données projet'!$A$88,$BA$205^A67,IF(A67='Données projet'!$A$88,'Données projet'!$B$88,BD66+BC67-BL66)))</f>
        <v>154.79999999999993</v>
      </c>
      <c r="BE67" s="13">
        <f>BD67*VLOOKUP('Données projet'!$B$11,Paramètres!$A$1:$I$89,3,0)*VLOOKUP('Données projet'!$B$11,Paramètres!$A$1:$I$89,5,0)</f>
        <v>176.28623999999994</v>
      </c>
      <c r="BF67" s="13">
        <f t="shared" si="37"/>
        <v>44.494943148531895</v>
      </c>
      <c r="BG67" s="20">
        <f t="shared" si="7"/>
        <v>384.52722731702625</v>
      </c>
      <c r="BH67" s="59">
        <f t="shared" si="8"/>
        <v>677.8605606503595</v>
      </c>
      <c r="BI67" s="59">
        <f ca="1">AVERAGE(OFFSET($BH$3,0,0,'Données projet'!$E$11+1,1))-AVERAGE(OFFSET($H$3,0,0,'Données projet'!$E$11+1,1))</f>
        <v>249.01678065306629</v>
      </c>
      <c r="BJ67" s="59">
        <f t="shared" si="38"/>
        <v>99.639724892155641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0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>
        <f>BY67*VLOOKUP('Données projet'!$B$12,Paramètres!$A$1:$I$89,3,0)*VLOOKUP('Données projet'!$B$12,Paramètres!$A$1:$I$89,5,0)</f>
        <v>0</v>
      </c>
      <c r="CA67" s="13" t="e">
        <f t="shared" si="39"/>
        <v>#NUM!</v>
      </c>
      <c r="CB67" s="20" t="e">
        <f t="shared" si="10"/>
        <v>#NUM!</v>
      </c>
      <c r="CC67" s="59" t="e">
        <f t="shared" si="11"/>
        <v>#NUM!</v>
      </c>
      <c r="CD67" s="59">
        <f ca="1">AVERAGE(OFFSET($CC$3,0,0,'Données projet'!$E$12+1,1))-AVERAGE(OFFSET($H$3,0,0,'Données projet'!$E$12+1,1))</f>
        <v>0</v>
      </c>
      <c r="CE67" s="59">
        <f t="shared" si="40"/>
        <v>0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0</v>
      </c>
      <c r="CL67" s="21">
        <f>EXP(-LN(2)/25)*CL66+(1-EXP(-LN(2)/25))/(LN(2)/25)*Calculateur!CG67*Calculateur!CI67*VLOOKUP('Données projet'!$B$12,Paramètres!$A$1:$I$89,3,0)*0.475*44/12</f>
        <v>0</v>
      </c>
      <c r="CM67" s="21">
        <f>EXP(-LN(2)/2)*CM66+(1-EXP(-LN(2)/2))/(LN(2)/2)*CG67*CJ67*VLOOKUP('Données projet'!$B$12,Paramètres!$A$1:$I$89,3,0)*0.475*44/12</f>
        <v>0</v>
      </c>
      <c r="CN67" s="22">
        <f t="shared" si="12"/>
        <v>0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>
        <f>CT67*VLOOKUP('Données projet'!$B$13,Paramètres!$A$1:$I$89,3,0)*VLOOKUP('Données projet'!$B$13,Paramètres!$A$1:$I$89,5,0)</f>
        <v>0</v>
      </c>
      <c r="CV67" s="13" t="e">
        <f t="shared" si="41"/>
        <v>#NUM!</v>
      </c>
      <c r="CW67" s="20" t="e">
        <f t="shared" si="13"/>
        <v>#NUM!</v>
      </c>
      <c r="CX67" s="59" t="e">
        <f t="shared" si="14"/>
        <v>#NUM!</v>
      </c>
      <c r="CY67" s="59">
        <f ca="1">AVERAGE(OFFSET($CX$3,0,0,'Données projet'!$E$13+1,1))-AVERAGE(OFFSET($H$3,0,0,'Données projet'!$E$13+1,1))</f>
        <v>0</v>
      </c>
      <c r="CZ67" s="59">
        <f t="shared" si="42"/>
        <v>0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0</v>
      </c>
      <c r="DG67" s="21">
        <f>EXP(-LN(2)/25)*DG66+(1-EXP(-LN(2)/25))/(LN(2)/25)*Calculateur!DB67*Calculateur!DD67*VLOOKUP('Données projet'!$B$13,Paramètres!$A$1:$I$89,3,0)*0.475*44/12</f>
        <v>0</v>
      </c>
      <c r="DH67" s="21">
        <f>EXP(-LN(2)/2)*DH66+(1-EXP(-LN(2)/2))/(LN(2)/2)*DB67*DE67*VLOOKUP('Données projet'!$B$13,Paramètres!$A$1:$I$89,3,0)*0.475*44/12</f>
        <v>0</v>
      </c>
      <c r="DI67" s="22">
        <f t="shared" si="15"/>
        <v>0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-2.2737367544323206E-13</v>
      </c>
      <c r="O68" s="13">
        <f>N68*VLOOKUP('Données projet'!$B$9,Paramètres!$A$1:$I$89,3,0)*VLOOKUP('Données projet'!$B$9,Paramètres!$A$1:$I$89,5,0)</f>
        <v>-1.3596945791505279E-13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181.92766225683107</v>
      </c>
      <c r="T68" s="59">
        <f t="shared" si="34"/>
        <v>370.52917139565756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32.864529094812433</v>
      </c>
      <c r="AA68" s="21">
        <f>EXP(-LN(2)/25)*AA67+(1-EXP(-LN(2)/25))/(LN(2)/25)*Calculateur!V68*Calculateur!X68*VLOOKUP('Données projet'!$B$9,Paramètres!$A$1:$I$89,3,0)*0.475*44/12</f>
        <v>22.306650595797631</v>
      </c>
      <c r="AB68" s="21">
        <f>EXP(-LN(2)/2)*AB67+(1-EXP(-LN(2)/2))/(LN(2)/2)*V68*Y68*VLOOKUP('Données projet'!$B$9,Paramètres!$A$1:$I$89,3,0)*0.475*44/12</f>
        <v>2.4514790417074607E-3</v>
      </c>
      <c r="AC68" s="22">
        <f t="shared" ref="AC68:AC131" si="57">SUM(Z68:AB68)</f>
        <v>55.17363116965177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4.0999999999999996</v>
      </c>
      <c r="AI68" s="13">
        <f>IF('Données projet'!$A$62&gt;35,AI67+AH68-AQ67,IF(A68&lt;'Données projet'!$A$62,$AF$205^A68,IF(A68='Données projet'!$A$62,'Données projet'!$B$62,AI67+AH68-AQ67)))</f>
        <v>253.49999999999972</v>
      </c>
      <c r="AJ68" s="13">
        <f>AI68*VLOOKUP('Données projet'!$B$10,Paramètres!$A$1:$I$89,3,0)*VLOOKUP('Données projet'!$B$10,Paramètres!$A$1:$I$89,5,0)</f>
        <v>205.63919999999976</v>
      </c>
      <c r="AK68" s="13">
        <f t="shared" si="35"/>
        <v>50.981480488268076</v>
      </c>
      <c r="AL68" s="20">
        <f t="shared" ref="AL68:AL131" si="58">(AJ68+AK68)*0.475*44/12</f>
        <v>446.94768518373309</v>
      </c>
      <c r="AM68" s="59">
        <f t="shared" ref="AM68:AM131" si="59">AL68+(AD68+AE68)*44/12</f>
        <v>740.2810185170664</v>
      </c>
      <c r="AN68" s="59">
        <f ca="1">AVERAGE(OFFSET($AM$3,0,0,'Données projet'!$E$10+1,1))-AVERAGE(OFFSET($H$3,0,0,'Données projet'!$E$10+1,1))</f>
        <v>235.31102883830971</v>
      </c>
      <c r="AO68" s="59">
        <f t="shared" si="36"/>
        <v>271.48630853790422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0</v>
      </c>
      <c r="AV68" s="21">
        <f>EXP(-LN(2)/25)*AV67+(1-EXP(-LN(2)/25))/(LN(2)/25)*Calculateur!AQ68*Calculateur!AS68*VLOOKUP('Données projet'!$B$10,Paramètres!$A$1:$I$89,3,0)*0.475*44/12</f>
        <v>3.2233139043055021</v>
      </c>
      <c r="AW68" s="21">
        <f>EXP(-LN(2)/2)*AW67+(1-EXP(-LN(2)/2))/(LN(2)/2)*AQ68*AT68*VLOOKUP('Données projet'!$B$10,Paramètres!$A$1:$I$89,3,0)*0.475*44/12</f>
        <v>5.919477988314367E-5</v>
      </c>
      <c r="AX68" s="21">
        <f t="shared" ref="AX68:AX131" si="60">SUM(AU68:AW68)</f>
        <v>3.2233730990853853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5.2</v>
      </c>
      <c r="BD68" s="12">
        <f>IF('Données projet'!$A$88&gt;35,BD67+BC68-BL67,IF(A68&lt;'Données projet'!$A$88,$BA$205^A68,IF(A68='Données projet'!$A$88,'Données projet'!$B$88,BD67+BC68-BL67)))</f>
        <v>159.99999999999991</v>
      </c>
      <c r="BE68" s="13">
        <f>BD68*VLOOKUP('Données projet'!$B$11,Paramètres!$A$1:$I$89,3,0)*VLOOKUP('Données projet'!$B$11,Paramètres!$A$1:$I$89,5,0)</f>
        <v>182.20799999999991</v>
      </c>
      <c r="BF68" s="13">
        <f t="shared" si="37"/>
        <v>45.813076371604105</v>
      </c>
      <c r="BG68" s="20">
        <f t="shared" ref="BG68:BG131" si="61">(BE68+BF68)*0.475*44/12</f>
        <v>397.13670801387701</v>
      </c>
      <c r="BH68" s="59">
        <f t="shared" ref="BH68:BH131" si="62">BG68+(AY68+AZ68)*44/12</f>
        <v>690.47004134721033</v>
      </c>
      <c r="BI68" s="59">
        <f ca="1">AVERAGE(OFFSET($BH$3,0,0,'Données projet'!$E$11+1,1))-AVERAGE(OFFSET($H$3,0,0,'Données projet'!$E$11+1,1))</f>
        <v>249.01678065306629</v>
      </c>
      <c r="BJ68" s="59">
        <f t="shared" si="38"/>
        <v>99.639724892155641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0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>
        <f>BY68*VLOOKUP('Données projet'!$B$12,Paramètres!$A$1:$I$89,3,0)*VLOOKUP('Données projet'!$B$12,Paramètres!$A$1:$I$89,5,0)</f>
        <v>0</v>
      </c>
      <c r="CA68" s="13" t="e">
        <f t="shared" si="39"/>
        <v>#NUM!</v>
      </c>
      <c r="CB68" s="20" t="e">
        <f t="shared" ref="CB68:CB131" si="64">(BZ68+CA68)*0.475*44/12</f>
        <v>#NUM!</v>
      </c>
      <c r="CC68" s="59" t="e">
        <f t="shared" ref="CC68:CC131" si="65">CB68+(BT68+BU68)*44/12</f>
        <v>#NUM!</v>
      </c>
      <c r="CD68" s="59">
        <f ca="1">AVERAGE(OFFSET($CC$3,0,0,'Données projet'!$E$12+1,1))-AVERAGE(OFFSET($H$3,0,0,'Données projet'!$E$12+1,1))</f>
        <v>0</v>
      </c>
      <c r="CE68" s="59">
        <f t="shared" si="40"/>
        <v>0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0</v>
      </c>
      <c r="CL68" s="21">
        <f>EXP(-LN(2)/25)*CL67+(1-EXP(-LN(2)/25))/(LN(2)/25)*Calculateur!CG68*Calculateur!CI68*VLOOKUP('Données projet'!$B$12,Paramètres!$A$1:$I$89,3,0)*0.475*44/12</f>
        <v>0</v>
      </c>
      <c r="CM68" s="21">
        <f>EXP(-LN(2)/2)*CM67+(1-EXP(-LN(2)/2))/(LN(2)/2)*CG68*CJ68*VLOOKUP('Données projet'!$B$12,Paramètres!$A$1:$I$89,3,0)*0.475*44/12</f>
        <v>0</v>
      </c>
      <c r="CN68" s="22">
        <f t="shared" ref="CN68:CN131" si="66">SUM(CK68:CM68)</f>
        <v>0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>
        <f>CT68*VLOOKUP('Données projet'!$B$13,Paramètres!$A$1:$I$89,3,0)*VLOOKUP('Données projet'!$B$13,Paramètres!$A$1:$I$89,5,0)</f>
        <v>0</v>
      </c>
      <c r="CV68" s="13" t="e">
        <f t="shared" si="41"/>
        <v>#NUM!</v>
      </c>
      <c r="CW68" s="20" t="e">
        <f t="shared" ref="CW68:CW131" si="67">(CU68+CV68)*0.475*44/12</f>
        <v>#NUM!</v>
      </c>
      <c r="CX68" s="59" t="e">
        <f t="shared" ref="CX68:CX131" si="68">CW68+(CO68+CP68)*44/12</f>
        <v>#NUM!</v>
      </c>
      <c r="CY68" s="59">
        <f ca="1">AVERAGE(OFFSET($CX$3,0,0,'Données projet'!$E$13+1,1))-AVERAGE(OFFSET($H$3,0,0,'Données projet'!$E$13+1,1))</f>
        <v>0</v>
      </c>
      <c r="CZ68" s="59">
        <f t="shared" si="42"/>
        <v>0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0</v>
      </c>
      <c r="DG68" s="21">
        <f>EXP(-LN(2)/25)*DG67+(1-EXP(-LN(2)/25))/(LN(2)/25)*Calculateur!DB68*Calculateur!DD68*VLOOKUP('Données projet'!$B$13,Paramètres!$A$1:$I$89,3,0)*0.475*44/12</f>
        <v>0</v>
      </c>
      <c r="DH68" s="21">
        <f>EXP(-LN(2)/2)*DH67+(1-EXP(-LN(2)/2))/(LN(2)/2)*DB68*DE68*VLOOKUP('Données projet'!$B$13,Paramètres!$A$1:$I$89,3,0)*0.475*44/12</f>
        <v>0</v>
      </c>
      <c r="DI68" s="22">
        <f t="shared" ref="DI68:DI131" si="69">SUM(DF68:DH68)</f>
        <v>0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-2.2737367544323206E-13</v>
      </c>
      <c r="O69" s="13">
        <f>N69*VLOOKUP('Données projet'!$B$9,Paramètres!$A$1:$I$89,3,0)*VLOOKUP('Données projet'!$B$9,Paramètres!$A$1:$I$89,5,0)</f>
        <v>-1.3596945791505279E-13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181.92766225683107</v>
      </c>
      <c r="T69" s="59">
        <f t="shared" ref="T69:T132" si="88">$T$3</f>
        <v>370.52917139565756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32.220075724646591</v>
      </c>
      <c r="AA69" s="21">
        <f>EXP(-LN(2)/25)*AA68+(1-EXP(-LN(2)/25))/(LN(2)/25)*Calculateur!V69*Calculateur!X69*VLOOKUP('Données projet'!$B$9,Paramètres!$A$1:$I$89,3,0)*0.475*44/12</f>
        <v>21.696674062199772</v>
      </c>
      <c r="AB69" s="21">
        <f>EXP(-LN(2)/2)*AB68+(1-EXP(-LN(2)/2))/(LN(2)/2)*V69*Y69*VLOOKUP('Données projet'!$B$9,Paramètres!$A$1:$I$89,3,0)*0.475*44/12</f>
        <v>1.7334574543280447E-3</v>
      </c>
      <c r="AC69" s="22">
        <f t="shared" si="57"/>
        <v>53.918483244300695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4.0999999999999996</v>
      </c>
      <c r="AI69" s="13">
        <f>IF('Données projet'!$A$62&gt;35,AI68+AH69-AQ68,IF(A69&lt;'Données projet'!$A$62,$AF$205^A69,IF(A69='Données projet'!$A$62,'Données projet'!$B$62,AI68+AH69-AQ68)))</f>
        <v>257.59999999999974</v>
      </c>
      <c r="AJ69" s="13">
        <f>AI69*VLOOKUP('Données projet'!$B$10,Paramètres!$A$1:$I$89,3,0)*VLOOKUP('Données projet'!$B$10,Paramètres!$A$1:$I$89,5,0)</f>
        <v>208.96511999999979</v>
      </c>
      <c r="AK69" s="13">
        <f t="shared" ref="AK69:AK132" si="89">EXP(-1.0587+0.8836*LN(AJ69)+0.284)</f>
        <v>51.709373400619548</v>
      </c>
      <c r="AL69" s="20">
        <f t="shared" si="58"/>
        <v>454.00807600607862</v>
      </c>
      <c r="AM69" s="59">
        <f t="shared" si="59"/>
        <v>747.34140933941194</v>
      </c>
      <c r="AN69" s="59">
        <f ca="1">AVERAGE(OFFSET($AM$3,0,0,'Données projet'!$E$10+1,1))-AVERAGE(OFFSET($H$3,0,0,'Données projet'!$E$10+1,1))</f>
        <v>235.31102883830971</v>
      </c>
      <c r="AO69" s="59">
        <f t="shared" ref="AO69:AO132" si="90">$AO$3</f>
        <v>271.48630853790422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0</v>
      </c>
      <c r="AV69" s="21">
        <f>EXP(-LN(2)/25)*AV68+(1-EXP(-LN(2)/25))/(LN(2)/25)*Calculateur!AQ69*Calculateur!AS69*VLOOKUP('Données projet'!$B$10,Paramètres!$A$1:$I$89,3,0)*0.475*44/12</f>
        <v>3.1351722160855569</v>
      </c>
      <c r="AW69" s="21">
        <f>EXP(-LN(2)/2)*AW68+(1-EXP(-LN(2)/2))/(LN(2)/2)*AQ69*AT69*VLOOKUP('Données projet'!$B$10,Paramètres!$A$1:$I$89,3,0)*0.475*44/12</f>
        <v>4.1857030266215921E-5</v>
      </c>
      <c r="AX69" s="21">
        <f t="shared" si="60"/>
        <v>3.1352140731158231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5.2</v>
      </c>
      <c r="BD69" s="12">
        <f>IF('Données projet'!$A$88&gt;35,BD68+BC69-BL68,IF(A69&lt;'Données projet'!$A$88,$BA$205^A69,IF(A69='Données projet'!$A$88,'Données projet'!$B$88,BD68+BC69-BL68)))</f>
        <v>165.1999999999999</v>
      </c>
      <c r="BE69" s="13">
        <f>BD69*VLOOKUP('Données projet'!$B$11,Paramètres!$A$1:$I$89,3,0)*VLOOKUP('Données projet'!$B$11,Paramètres!$A$1:$I$89,5,0)</f>
        <v>188.12975999999989</v>
      </c>
      <c r="BF69" s="13">
        <f t="shared" ref="BF69:BF132" si="91">EXP(-1.0587+0.8836*LN(BE69)+0.284)</f>
        <v>47.126231590948933</v>
      </c>
      <c r="BG69" s="20">
        <f t="shared" si="61"/>
        <v>409.73751868756921</v>
      </c>
      <c r="BH69" s="59">
        <f t="shared" si="62"/>
        <v>703.07085202090252</v>
      </c>
      <c r="BI69" s="59">
        <f ca="1">AVERAGE(OFFSET($BH$3,0,0,'Données projet'!$E$11+1,1))-AVERAGE(OFFSET($H$3,0,0,'Données projet'!$E$11+1,1))</f>
        <v>249.01678065306629</v>
      </c>
      <c r="BJ69" s="59">
        <f t="shared" ref="BJ69:BJ132" si="92">$BJ$3</f>
        <v>99.639724892155641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0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>
        <f>BY69*VLOOKUP('Données projet'!$B$12,Paramètres!$A$1:$I$89,3,0)*VLOOKUP('Données projet'!$B$12,Paramètres!$A$1:$I$89,5,0)</f>
        <v>0</v>
      </c>
      <c r="CA69" s="13" t="e">
        <f t="shared" ref="CA69:CA132" si="93">EXP(-1.0587+0.8836*LN(BZ69)+0.284)</f>
        <v>#NUM!</v>
      </c>
      <c r="CB69" s="20" t="e">
        <f t="shared" si="64"/>
        <v>#NUM!</v>
      </c>
      <c r="CC69" s="59" t="e">
        <f t="shared" si="65"/>
        <v>#NUM!</v>
      </c>
      <c r="CD69" s="59">
        <f ca="1">AVERAGE(OFFSET($CC$3,0,0,'Données projet'!$E$12+1,1))-AVERAGE(OFFSET($H$3,0,0,'Données projet'!$E$12+1,1))</f>
        <v>0</v>
      </c>
      <c r="CE69" s="59">
        <f t="shared" ref="CE69:CE132" si="94">$CE$3</f>
        <v>0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0</v>
      </c>
      <c r="CL69" s="21">
        <f>EXP(-LN(2)/25)*CL68+(1-EXP(-LN(2)/25))/(LN(2)/25)*Calculateur!CG69*Calculateur!CI69*VLOOKUP('Données projet'!$B$12,Paramètres!$A$1:$I$89,3,0)*0.475*44/12</f>
        <v>0</v>
      </c>
      <c r="CM69" s="21">
        <f>EXP(-LN(2)/2)*CM68+(1-EXP(-LN(2)/2))/(LN(2)/2)*CG69*CJ69*VLOOKUP('Données projet'!$B$12,Paramètres!$A$1:$I$89,3,0)*0.475*44/12</f>
        <v>0</v>
      </c>
      <c r="CN69" s="22">
        <f t="shared" si="66"/>
        <v>0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>
        <f>CT69*VLOOKUP('Données projet'!$B$13,Paramètres!$A$1:$I$89,3,0)*VLOOKUP('Données projet'!$B$13,Paramètres!$A$1:$I$89,5,0)</f>
        <v>0</v>
      </c>
      <c r="CV69" s="13" t="e">
        <f t="shared" ref="CV69:CV132" si="95">EXP(-1.0587+0.8836*LN(CU69)+0.284)</f>
        <v>#NUM!</v>
      </c>
      <c r="CW69" s="20" t="e">
        <f t="shared" si="67"/>
        <v>#NUM!</v>
      </c>
      <c r="CX69" s="59" t="e">
        <f t="shared" si="68"/>
        <v>#NUM!</v>
      </c>
      <c r="CY69" s="59">
        <f ca="1">AVERAGE(OFFSET($CX$3,0,0,'Données projet'!$E$13+1,1))-AVERAGE(OFFSET($H$3,0,0,'Données projet'!$E$13+1,1))</f>
        <v>0</v>
      </c>
      <c r="CZ69" s="59">
        <f t="shared" ref="CZ69:CZ132" si="96">$CZ$3</f>
        <v>0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0</v>
      </c>
      <c r="DG69" s="21">
        <f>EXP(-LN(2)/25)*DG68+(1-EXP(-LN(2)/25))/(LN(2)/25)*Calculateur!DB69*Calculateur!DD69*VLOOKUP('Données projet'!$B$13,Paramètres!$A$1:$I$89,3,0)*0.475*44/12</f>
        <v>0</v>
      </c>
      <c r="DH69" s="21">
        <f>EXP(-LN(2)/2)*DH68+(1-EXP(-LN(2)/2))/(LN(2)/2)*DB69*DE69*VLOOKUP('Données projet'!$B$13,Paramètres!$A$1:$I$89,3,0)*0.475*44/12</f>
        <v>0</v>
      </c>
      <c r="DI69" s="22">
        <f t="shared" si="69"/>
        <v>0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-2.2737367544323206E-13</v>
      </c>
      <c r="O70" s="13">
        <f>N70*VLOOKUP('Données projet'!$B$9,Paramètres!$A$1:$I$89,3,0)*VLOOKUP('Données projet'!$B$9,Paramètres!$A$1:$I$89,5,0)</f>
        <v>-1.3596945791505279E-13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181.92766225683107</v>
      </c>
      <c r="T70" s="59">
        <f t="shared" si="88"/>
        <v>370.52917139565756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31.588259691991958</v>
      </c>
      <c r="AA70" s="21">
        <f>EXP(-LN(2)/25)*AA69+(1-EXP(-LN(2)/25))/(LN(2)/25)*Calculateur!V70*Calculateur!X70*VLOOKUP('Données projet'!$B$9,Paramètres!$A$1:$I$89,3,0)*0.475*44/12</f>
        <v>21.103377368990419</v>
      </c>
      <c r="AB70" s="21">
        <f>EXP(-LN(2)/2)*AB69+(1-EXP(-LN(2)/2))/(LN(2)/2)*V70*Y70*VLOOKUP('Données projet'!$B$9,Paramètres!$A$1:$I$89,3,0)*0.475*44/12</f>
        <v>1.2257395208537304E-3</v>
      </c>
      <c r="AC70" s="22">
        <f t="shared" si="57"/>
        <v>52.692862800503228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4.0999999999999996</v>
      </c>
      <c r="AI70" s="13">
        <f>IF('Données projet'!$A$62&gt;35,AI69+AH70-AQ69,IF(A70&lt;'Données projet'!$A$62,$AF$205^A70,IF(A70='Données projet'!$A$62,'Données projet'!$B$62,AI69+AH70-AQ69)))</f>
        <v>261.69999999999976</v>
      </c>
      <c r="AJ70" s="13">
        <f>AI70*VLOOKUP('Données projet'!$B$10,Paramètres!$A$1:$I$89,3,0)*VLOOKUP('Données projet'!$B$10,Paramètres!$A$1:$I$89,5,0)</f>
        <v>212.29103999999984</v>
      </c>
      <c r="AK70" s="13">
        <f t="shared" si="89"/>
        <v>52.435918977875581</v>
      </c>
      <c r="AL70" s="20">
        <f t="shared" si="58"/>
        <v>461.06612021979964</v>
      </c>
      <c r="AM70" s="59">
        <f t="shared" si="59"/>
        <v>754.39945355313296</v>
      </c>
      <c r="AN70" s="59">
        <f ca="1">AVERAGE(OFFSET($AM$3,0,0,'Données projet'!$E$10+1,1))-AVERAGE(OFFSET($H$3,0,0,'Données projet'!$E$10+1,1))</f>
        <v>235.31102883830971</v>
      </c>
      <c r="AO70" s="59">
        <f t="shared" si="90"/>
        <v>271.48630853790422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0</v>
      </c>
      <c r="AV70" s="21">
        <f>EXP(-LN(2)/25)*AV69+(1-EXP(-LN(2)/25))/(LN(2)/25)*Calculateur!AQ70*Calculateur!AS70*VLOOKUP('Données projet'!$B$10,Paramètres!$A$1:$I$89,3,0)*0.475*44/12</f>
        <v>3.049440766965156</v>
      </c>
      <c r="AW70" s="21">
        <f>EXP(-LN(2)/2)*AW69+(1-EXP(-LN(2)/2))/(LN(2)/2)*AQ70*AT70*VLOOKUP('Données projet'!$B$10,Paramètres!$A$1:$I$89,3,0)*0.475*44/12</f>
        <v>2.9597389941571842E-5</v>
      </c>
      <c r="AX70" s="21">
        <f t="shared" si="60"/>
        <v>3.0494703643550976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5.2</v>
      </c>
      <c r="BD70" s="12">
        <f>IF('Données projet'!$A$88&gt;35,BD69+BC70-BL69,IF(A70&lt;'Données projet'!$A$88,$BA$205^A70,IF(A70='Données projet'!$A$88,'Données projet'!$B$88,BD69+BC70-BL69)))</f>
        <v>170.39999999999989</v>
      </c>
      <c r="BE70" s="13">
        <f>BD70*VLOOKUP('Données projet'!$B$11,Paramètres!$A$1:$I$89,3,0)*VLOOKUP('Données projet'!$B$11,Paramètres!$A$1:$I$89,5,0)</f>
        <v>194.0515199999999</v>
      </c>
      <c r="BF70" s="13">
        <f t="shared" si="91"/>
        <v>48.434583476654296</v>
      </c>
      <c r="BG70" s="20">
        <f t="shared" si="61"/>
        <v>422.32996355517275</v>
      </c>
      <c r="BH70" s="59">
        <f t="shared" si="62"/>
        <v>715.66329688850601</v>
      </c>
      <c r="BI70" s="59">
        <f ca="1">AVERAGE(OFFSET($BH$3,0,0,'Données projet'!$E$11+1,1))-AVERAGE(OFFSET($H$3,0,0,'Données projet'!$E$11+1,1))</f>
        <v>249.01678065306629</v>
      </c>
      <c r="BJ70" s="59">
        <f t="shared" si="92"/>
        <v>99.639724892155641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0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>
        <f>BY70*VLOOKUP('Données projet'!$B$12,Paramètres!$A$1:$I$89,3,0)*VLOOKUP('Données projet'!$B$12,Paramètres!$A$1:$I$89,5,0)</f>
        <v>0</v>
      </c>
      <c r="CA70" s="13" t="e">
        <f t="shared" si="93"/>
        <v>#NUM!</v>
      </c>
      <c r="CB70" s="20" t="e">
        <f t="shared" si="64"/>
        <v>#NUM!</v>
      </c>
      <c r="CC70" s="59" t="e">
        <f t="shared" si="65"/>
        <v>#NUM!</v>
      </c>
      <c r="CD70" s="59">
        <f ca="1">AVERAGE(OFFSET($CC$3,0,0,'Données projet'!$E$12+1,1))-AVERAGE(OFFSET($H$3,0,0,'Données projet'!$E$12+1,1))</f>
        <v>0</v>
      </c>
      <c r="CE70" s="59">
        <f t="shared" si="94"/>
        <v>0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0</v>
      </c>
      <c r="CL70" s="21">
        <f>EXP(-LN(2)/25)*CL69+(1-EXP(-LN(2)/25))/(LN(2)/25)*Calculateur!CG70*Calculateur!CI70*VLOOKUP('Données projet'!$B$12,Paramètres!$A$1:$I$89,3,0)*0.475*44/12</f>
        <v>0</v>
      </c>
      <c r="CM70" s="21">
        <f>EXP(-LN(2)/2)*CM69+(1-EXP(-LN(2)/2))/(LN(2)/2)*CG70*CJ70*VLOOKUP('Données projet'!$B$12,Paramètres!$A$1:$I$89,3,0)*0.475*44/12</f>
        <v>0</v>
      </c>
      <c r="CN70" s="22">
        <f t="shared" si="66"/>
        <v>0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>
        <f>CT70*VLOOKUP('Données projet'!$B$13,Paramètres!$A$1:$I$89,3,0)*VLOOKUP('Données projet'!$B$13,Paramètres!$A$1:$I$89,5,0)</f>
        <v>0</v>
      </c>
      <c r="CV70" s="13" t="e">
        <f t="shared" si="95"/>
        <v>#NUM!</v>
      </c>
      <c r="CW70" s="20" t="e">
        <f t="shared" si="67"/>
        <v>#NUM!</v>
      </c>
      <c r="CX70" s="59" t="e">
        <f t="shared" si="68"/>
        <v>#NUM!</v>
      </c>
      <c r="CY70" s="59">
        <f ca="1">AVERAGE(OFFSET($CX$3,0,0,'Données projet'!$E$13+1,1))-AVERAGE(OFFSET($H$3,0,0,'Données projet'!$E$13+1,1))</f>
        <v>0</v>
      </c>
      <c r="CZ70" s="59">
        <f t="shared" si="96"/>
        <v>0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0</v>
      </c>
      <c r="DG70" s="21">
        <f>EXP(-LN(2)/25)*DG69+(1-EXP(-LN(2)/25))/(LN(2)/25)*Calculateur!DB70*Calculateur!DD70*VLOOKUP('Données projet'!$B$13,Paramètres!$A$1:$I$89,3,0)*0.475*44/12</f>
        <v>0</v>
      </c>
      <c r="DH70" s="21">
        <f>EXP(-LN(2)/2)*DH69+(1-EXP(-LN(2)/2))/(LN(2)/2)*DB70*DE70*VLOOKUP('Données projet'!$B$13,Paramètres!$A$1:$I$89,3,0)*0.475*44/12</f>
        <v>0</v>
      </c>
      <c r="DI70" s="22">
        <f t="shared" si="69"/>
        <v>0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-2.2737367544323206E-13</v>
      </c>
      <c r="O71" s="13">
        <f>N71*VLOOKUP('Données projet'!$B$9,Paramètres!$A$1:$I$89,3,0)*VLOOKUP('Données projet'!$B$9,Paramètres!$A$1:$I$89,5,0)</f>
        <v>-1.3596945791505279E-13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181.92766225683107</v>
      </c>
      <c r="T71" s="59">
        <f t="shared" si="88"/>
        <v>370.52917139565756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30.968833186367956</v>
      </c>
      <c r="AA71" s="21">
        <f>EXP(-LN(2)/25)*AA70+(1-EXP(-LN(2)/25))/(LN(2)/25)*Calculateur!V71*Calculateur!X71*VLOOKUP('Données projet'!$B$9,Paramètres!$A$1:$I$89,3,0)*0.475*44/12</f>
        <v>20.526304405056994</v>
      </c>
      <c r="AB71" s="21">
        <f>EXP(-LN(2)/2)*AB70+(1-EXP(-LN(2)/2))/(LN(2)/2)*V71*Y71*VLOOKUP('Données projet'!$B$9,Paramètres!$A$1:$I$89,3,0)*0.475*44/12</f>
        <v>8.6672872716402234E-4</v>
      </c>
      <c r="AC71" s="22">
        <f t="shared" si="57"/>
        <v>51.49600432015211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4.0999999999999996</v>
      </c>
      <c r="AI71" s="13">
        <f>IF('Données projet'!$A$62&gt;35,AI70+AH71-AQ70,IF(A71&lt;'Données projet'!$A$62,$AF$205^A71,IF(A71='Données projet'!$A$62,'Données projet'!$B$62,AI70+AH71-AQ70)))</f>
        <v>265.79999999999978</v>
      </c>
      <c r="AJ71" s="13">
        <f>AI71*VLOOKUP('Données projet'!$B$10,Paramètres!$A$1:$I$89,3,0)*VLOOKUP('Données projet'!$B$10,Paramètres!$A$1:$I$89,5,0)</f>
        <v>215.61695999999984</v>
      </c>
      <c r="AK71" s="13">
        <f t="shared" si="89"/>
        <v>53.161140765943969</v>
      </c>
      <c r="AL71" s="20">
        <f t="shared" si="58"/>
        <v>468.12185883401872</v>
      </c>
      <c r="AM71" s="59">
        <f t="shared" si="59"/>
        <v>761.45519216735204</v>
      </c>
      <c r="AN71" s="59">
        <f ca="1">AVERAGE(OFFSET($AM$3,0,0,'Données projet'!$E$10+1,1))-AVERAGE(OFFSET($H$3,0,0,'Données projet'!$E$10+1,1))</f>
        <v>235.31102883830971</v>
      </c>
      <c r="AO71" s="59">
        <f t="shared" si="90"/>
        <v>271.48630853790422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0</v>
      </c>
      <c r="AV71" s="21">
        <f>EXP(-LN(2)/25)*AV70+(1-EXP(-LN(2)/25))/(LN(2)/25)*Calculateur!AQ71*Calculateur!AS71*VLOOKUP('Données projet'!$B$10,Paramètres!$A$1:$I$89,3,0)*0.475*44/12</f>
        <v>2.9660536488293734</v>
      </c>
      <c r="AW71" s="21">
        <f>EXP(-LN(2)/2)*AW70+(1-EXP(-LN(2)/2))/(LN(2)/2)*AQ71*AT71*VLOOKUP('Données projet'!$B$10,Paramètres!$A$1:$I$89,3,0)*0.475*44/12</f>
        <v>2.0928515133107964E-5</v>
      </c>
      <c r="AX71" s="21">
        <f t="shared" si="60"/>
        <v>2.9660745773445063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5.2</v>
      </c>
      <c r="BD71" s="12">
        <f>IF('Données projet'!$A$88&gt;35,BD70+BC71-BL70,IF(A71&lt;'Données projet'!$A$88,$BA$205^A71,IF(A71='Données projet'!$A$88,'Données projet'!$B$88,BD70+BC71-BL70)))</f>
        <v>175.59999999999988</v>
      </c>
      <c r="BE71" s="13">
        <f>BD71*VLOOKUP('Données projet'!$B$11,Paramètres!$A$1:$I$89,3,0)*VLOOKUP('Données projet'!$B$11,Paramètres!$A$1:$I$89,5,0)</f>
        <v>199.97327999999985</v>
      </c>
      <c r="BF71" s="13">
        <f t="shared" si="91"/>
        <v>49.73829543245504</v>
      </c>
      <c r="BG71" s="20">
        <f t="shared" si="61"/>
        <v>434.91432721152552</v>
      </c>
      <c r="BH71" s="59">
        <f t="shared" si="62"/>
        <v>728.24766054485883</v>
      </c>
      <c r="BI71" s="59">
        <f ca="1">AVERAGE(OFFSET($BH$3,0,0,'Données projet'!$E$11+1,1))-AVERAGE(OFFSET($H$3,0,0,'Données projet'!$E$11+1,1))</f>
        <v>249.01678065306629</v>
      </c>
      <c r="BJ71" s="59">
        <f t="shared" si="92"/>
        <v>99.639724892155641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0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>
        <f>BY71*VLOOKUP('Données projet'!$B$12,Paramètres!$A$1:$I$89,3,0)*VLOOKUP('Données projet'!$B$12,Paramètres!$A$1:$I$89,5,0)</f>
        <v>0</v>
      </c>
      <c r="CA71" s="13" t="e">
        <f t="shared" si="93"/>
        <v>#NUM!</v>
      </c>
      <c r="CB71" s="20" t="e">
        <f t="shared" si="64"/>
        <v>#NUM!</v>
      </c>
      <c r="CC71" s="59" t="e">
        <f t="shared" si="65"/>
        <v>#NUM!</v>
      </c>
      <c r="CD71" s="59">
        <f ca="1">AVERAGE(OFFSET($CC$3,0,0,'Données projet'!$E$12+1,1))-AVERAGE(OFFSET($H$3,0,0,'Données projet'!$E$12+1,1))</f>
        <v>0</v>
      </c>
      <c r="CE71" s="59">
        <f t="shared" si="94"/>
        <v>0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0</v>
      </c>
      <c r="CL71" s="21">
        <f>EXP(-LN(2)/25)*CL70+(1-EXP(-LN(2)/25))/(LN(2)/25)*Calculateur!CG71*Calculateur!CI71*VLOOKUP('Données projet'!$B$12,Paramètres!$A$1:$I$89,3,0)*0.475*44/12</f>
        <v>0</v>
      </c>
      <c r="CM71" s="21">
        <f>EXP(-LN(2)/2)*CM70+(1-EXP(-LN(2)/2))/(LN(2)/2)*CG71*CJ71*VLOOKUP('Données projet'!$B$12,Paramètres!$A$1:$I$89,3,0)*0.475*44/12</f>
        <v>0</v>
      </c>
      <c r="CN71" s="22">
        <f t="shared" si="66"/>
        <v>0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>
        <f>CT71*VLOOKUP('Données projet'!$B$13,Paramètres!$A$1:$I$89,3,0)*VLOOKUP('Données projet'!$B$13,Paramètres!$A$1:$I$89,5,0)</f>
        <v>0</v>
      </c>
      <c r="CV71" s="13" t="e">
        <f t="shared" si="95"/>
        <v>#NUM!</v>
      </c>
      <c r="CW71" s="20" t="e">
        <f t="shared" si="67"/>
        <v>#NUM!</v>
      </c>
      <c r="CX71" s="59" t="e">
        <f t="shared" si="68"/>
        <v>#NUM!</v>
      </c>
      <c r="CY71" s="59">
        <f ca="1">AVERAGE(OFFSET($CX$3,0,0,'Données projet'!$E$13+1,1))-AVERAGE(OFFSET($H$3,0,0,'Données projet'!$E$13+1,1))</f>
        <v>0</v>
      </c>
      <c r="CZ71" s="59">
        <f t="shared" si="96"/>
        <v>0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0</v>
      </c>
      <c r="DG71" s="21">
        <f>EXP(-LN(2)/25)*DG70+(1-EXP(-LN(2)/25))/(LN(2)/25)*Calculateur!DB71*Calculateur!DD71*VLOOKUP('Données projet'!$B$13,Paramètres!$A$1:$I$89,3,0)*0.475*44/12</f>
        <v>0</v>
      </c>
      <c r="DH71" s="21">
        <f>EXP(-LN(2)/2)*DH70+(1-EXP(-LN(2)/2))/(LN(2)/2)*DB71*DE71*VLOOKUP('Données projet'!$B$13,Paramètres!$A$1:$I$89,3,0)*0.475*44/12</f>
        <v>0</v>
      </c>
      <c r="DI71" s="22">
        <f t="shared" si="69"/>
        <v>0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-2.2737367544323206E-13</v>
      </c>
      <c r="O72" s="13">
        <f>N72*VLOOKUP('Données projet'!$B$9,Paramètres!$A$1:$I$89,3,0)*VLOOKUP('Données projet'!$B$9,Paramètres!$A$1:$I$89,5,0)</f>
        <v>-1.3596945791505279E-13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181.92766225683107</v>
      </c>
      <c r="T72" s="59">
        <f t="shared" si="88"/>
        <v>370.52917139565756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30.361553256706379</v>
      </c>
      <c r="AA72" s="21">
        <f>EXP(-LN(2)/25)*AA71+(1-EXP(-LN(2)/25))/(LN(2)/25)*Calculateur!V72*Calculateur!X72*VLOOKUP('Données projet'!$B$9,Paramètres!$A$1:$I$89,3,0)*0.475*44/12</f>
        <v>19.965011531669276</v>
      </c>
      <c r="AB72" s="21">
        <f>EXP(-LN(2)/2)*AB71+(1-EXP(-LN(2)/2))/(LN(2)/2)*V72*Y72*VLOOKUP('Données projet'!$B$9,Paramètres!$A$1:$I$89,3,0)*0.475*44/12</f>
        <v>6.1286976042686518E-4</v>
      </c>
      <c r="AC72" s="22">
        <f t="shared" si="57"/>
        <v>50.32717765813608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4.0999999999999996</v>
      </c>
      <c r="AI72" s="13">
        <f>IF('Données projet'!$A$62&gt;35,AI71+AH72-AQ71,IF(A72&lt;'Données projet'!$A$62,$AF$205^A72,IF(A72='Données projet'!$A$62,'Données projet'!$B$62,AI71+AH72-AQ71)))</f>
        <v>269.89999999999981</v>
      </c>
      <c r="AJ72" s="13">
        <f>AI72*VLOOKUP('Données projet'!$B$10,Paramètres!$A$1:$I$89,3,0)*VLOOKUP('Données projet'!$B$10,Paramètres!$A$1:$I$89,5,0)</f>
        <v>218.94287999999986</v>
      </c>
      <c r="AK72" s="13">
        <f t="shared" si="89"/>
        <v>53.885061542657262</v>
      </c>
      <c r="AL72" s="20">
        <f t="shared" si="58"/>
        <v>475.17533152012783</v>
      </c>
      <c r="AM72" s="59">
        <f t="shared" si="59"/>
        <v>768.50866485346114</v>
      </c>
      <c r="AN72" s="59">
        <f ca="1">AVERAGE(OFFSET($AM$3,0,0,'Données projet'!$E$10+1,1))-AVERAGE(OFFSET($H$3,0,0,'Données projet'!$E$10+1,1))</f>
        <v>235.31102883830971</v>
      </c>
      <c r="AO72" s="59">
        <f t="shared" si="90"/>
        <v>271.48630853790422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0</v>
      </c>
      <c r="AV72" s="21">
        <f>EXP(-LN(2)/25)*AV71+(1-EXP(-LN(2)/25))/(LN(2)/25)*Calculateur!AQ72*Calculateur!AS72*VLOOKUP('Données projet'!$B$10,Paramètres!$A$1:$I$89,3,0)*0.475*44/12</f>
        <v>2.8849467558241519</v>
      </c>
      <c r="AW72" s="21">
        <f>EXP(-LN(2)/2)*AW71+(1-EXP(-LN(2)/2))/(LN(2)/2)*AQ72*AT72*VLOOKUP('Données projet'!$B$10,Paramètres!$A$1:$I$89,3,0)*0.475*44/12</f>
        <v>1.4798694970785923E-5</v>
      </c>
      <c r="AX72" s="21">
        <f t="shared" si="60"/>
        <v>2.8849615545191227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5.2</v>
      </c>
      <c r="BD72" s="12">
        <f>IF('Données projet'!$A$88&gt;35,BD71+BC72-BL71,IF(A72&lt;'Données projet'!$A$88,$BA$205^A72,IF(A72='Données projet'!$A$88,'Données projet'!$B$88,BD71+BC72-BL71)))</f>
        <v>180.79999999999987</v>
      </c>
      <c r="BE72" s="13">
        <f>BD72*VLOOKUP('Données projet'!$B$11,Paramètres!$A$1:$I$89,3,0)*VLOOKUP('Données projet'!$B$11,Paramètres!$A$1:$I$89,5,0)</f>
        <v>205.89503999999985</v>
      </c>
      <c r="BF72" s="13">
        <f t="shared" si="91"/>
        <v>51.037520634277406</v>
      </c>
      <c r="BG72" s="20">
        <f t="shared" si="61"/>
        <v>447.4908764380329</v>
      </c>
      <c r="BH72" s="59">
        <f t="shared" si="62"/>
        <v>740.82420977136621</v>
      </c>
      <c r="BI72" s="59">
        <f ca="1">AVERAGE(OFFSET($BH$3,0,0,'Données projet'!$E$11+1,1))-AVERAGE(OFFSET($H$3,0,0,'Données projet'!$E$11+1,1))</f>
        <v>249.01678065306629</v>
      </c>
      <c r="BJ72" s="59">
        <f t="shared" si="92"/>
        <v>99.639724892155641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0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>
        <f>BY72*VLOOKUP('Données projet'!$B$12,Paramètres!$A$1:$I$89,3,0)*VLOOKUP('Données projet'!$B$12,Paramètres!$A$1:$I$89,5,0)</f>
        <v>0</v>
      </c>
      <c r="CA72" s="13" t="e">
        <f t="shared" si="93"/>
        <v>#NUM!</v>
      </c>
      <c r="CB72" s="20" t="e">
        <f t="shared" si="64"/>
        <v>#NUM!</v>
      </c>
      <c r="CC72" s="59" t="e">
        <f t="shared" si="65"/>
        <v>#NUM!</v>
      </c>
      <c r="CD72" s="59">
        <f ca="1">AVERAGE(OFFSET($CC$3,0,0,'Données projet'!$E$12+1,1))-AVERAGE(OFFSET($H$3,0,0,'Données projet'!$E$12+1,1))</f>
        <v>0</v>
      </c>
      <c r="CE72" s="59">
        <f t="shared" si="94"/>
        <v>0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0</v>
      </c>
      <c r="CL72" s="21">
        <f>EXP(-LN(2)/25)*CL71+(1-EXP(-LN(2)/25))/(LN(2)/25)*Calculateur!CG72*Calculateur!CI72*VLOOKUP('Données projet'!$B$12,Paramètres!$A$1:$I$89,3,0)*0.475*44/12</f>
        <v>0</v>
      </c>
      <c r="CM72" s="21">
        <f>EXP(-LN(2)/2)*CM71+(1-EXP(-LN(2)/2))/(LN(2)/2)*CG72*CJ72*VLOOKUP('Données projet'!$B$12,Paramètres!$A$1:$I$89,3,0)*0.475*44/12</f>
        <v>0</v>
      </c>
      <c r="CN72" s="22">
        <f t="shared" si="66"/>
        <v>0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>
        <f>CT72*VLOOKUP('Données projet'!$B$13,Paramètres!$A$1:$I$89,3,0)*VLOOKUP('Données projet'!$B$13,Paramètres!$A$1:$I$89,5,0)</f>
        <v>0</v>
      </c>
      <c r="CV72" s="13" t="e">
        <f t="shared" si="95"/>
        <v>#NUM!</v>
      </c>
      <c r="CW72" s="20" t="e">
        <f t="shared" si="67"/>
        <v>#NUM!</v>
      </c>
      <c r="CX72" s="59" t="e">
        <f t="shared" si="68"/>
        <v>#NUM!</v>
      </c>
      <c r="CY72" s="59">
        <f ca="1">AVERAGE(OFFSET($CX$3,0,0,'Données projet'!$E$13+1,1))-AVERAGE(OFFSET($H$3,0,0,'Données projet'!$E$13+1,1))</f>
        <v>0</v>
      </c>
      <c r="CZ72" s="59">
        <f t="shared" si="96"/>
        <v>0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0</v>
      </c>
      <c r="DG72" s="21">
        <f>EXP(-LN(2)/25)*DG71+(1-EXP(-LN(2)/25))/(LN(2)/25)*Calculateur!DB72*Calculateur!DD72*VLOOKUP('Données projet'!$B$13,Paramètres!$A$1:$I$89,3,0)*0.475*44/12</f>
        <v>0</v>
      </c>
      <c r="DH72" s="21">
        <f>EXP(-LN(2)/2)*DH71+(1-EXP(-LN(2)/2))/(LN(2)/2)*DB72*DE72*VLOOKUP('Données projet'!$B$13,Paramètres!$A$1:$I$89,3,0)*0.475*44/12</f>
        <v>0</v>
      </c>
      <c r="DI72" s="22">
        <f t="shared" si="69"/>
        <v>0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-2.2737367544323206E-13</v>
      </c>
      <c r="O73" s="13">
        <f>N73*VLOOKUP('Données projet'!$B$9,Paramètres!$A$1:$I$89,3,0)*VLOOKUP('Données projet'!$B$9,Paramètres!$A$1:$I$89,5,0)</f>
        <v>-1.3596945791505279E-13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181.92766225683107</v>
      </c>
      <c r="T73" s="59">
        <f t="shared" si="88"/>
        <v>370.52917139565756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29.766181716061283</v>
      </c>
      <c r="AA73" s="21">
        <f>EXP(-LN(2)/25)*AA72+(1-EXP(-LN(2)/25))/(LN(2)/25)*Calculateur!V73*Calculateur!X73*VLOOKUP('Données projet'!$B$9,Paramètres!$A$1:$I$89,3,0)*0.475*44/12</f>
        <v>19.419067241421455</v>
      </c>
      <c r="AB73" s="21">
        <f>EXP(-LN(2)/2)*AB72+(1-EXP(-LN(2)/2))/(LN(2)/2)*V73*Y73*VLOOKUP('Données projet'!$B$9,Paramètres!$A$1:$I$89,3,0)*0.475*44/12</f>
        <v>4.3336436358201117E-4</v>
      </c>
      <c r="AC73" s="22">
        <f t="shared" si="57"/>
        <v>49.185682321846322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274</v>
      </c>
      <c r="AG73" s="12">
        <f>VLOOKUP(A73,'Données projet'!$A$61:$I$81,9,0)</f>
        <v>4.0999999999999996</v>
      </c>
      <c r="AH73" s="12">
        <f t="array" ref="AH73">INDEX(AG:AG,MIN(IF(ISNUMBER(AG73:AG269),ROW(AG73:AG269),"")))</f>
        <v>4.0999999999999996</v>
      </c>
      <c r="AI73" s="13">
        <f>IF('Données projet'!$A$62&gt;35,AI72+AH73-AQ72,IF(A73&lt;'Données projet'!$A$62,$AF$205^A73,IF(A73='Données projet'!$A$62,'Données projet'!$B$62,AI72+AH73-AQ72)))</f>
        <v>273.99999999999983</v>
      </c>
      <c r="AJ73" s="13">
        <f>AI73*VLOOKUP('Données projet'!$B$10,Paramètres!$A$1:$I$89,3,0)*VLOOKUP('Données projet'!$B$10,Paramètres!$A$1:$I$89,5,0)</f>
        <v>222.26879999999986</v>
      </c>
      <c r="AK73" s="13">
        <f t="shared" si="89"/>
        <v>54.607703354107656</v>
      </c>
      <c r="AL73" s="20">
        <f t="shared" si="58"/>
        <v>482.22657667507048</v>
      </c>
      <c r="AM73" s="59">
        <f t="shared" si="59"/>
        <v>775.55991000840379</v>
      </c>
      <c r="AN73" s="59">
        <f ca="1">AVERAGE(OFFSET($AM$3,0,0,'Données projet'!$E$10+1,1))-AVERAGE(OFFSET($H$3,0,0,'Données projet'!$E$10+1,1))</f>
        <v>235.31102883830971</v>
      </c>
      <c r="AO73" s="59">
        <f t="shared" si="90"/>
        <v>271.48630853790422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21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0</v>
      </c>
      <c r="AV73" s="21">
        <f>EXP(-LN(2)/25)*AV72+(1-EXP(-LN(2)/25))/(LN(2)/25)*Calculateur!AQ73*Calculateur!AS73*VLOOKUP('Données projet'!$B$10,Paramètres!$A$1:$I$89,3,0)*0.475*44/12</f>
        <v>2.8060577350733844</v>
      </c>
      <c r="AW73" s="21">
        <f>EXP(-LN(2)/2)*AW72+(1-EXP(-LN(2)/2))/(LN(2)/2)*AQ73*AT73*VLOOKUP('Données projet'!$B$10,Paramètres!$A$1:$I$89,3,0)*0.475*44/12</f>
        <v>1.0464257566553984E-5</v>
      </c>
      <c r="AX73" s="21">
        <f t="shared" si="60"/>
        <v>2.8060681993309511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186</v>
      </c>
      <c r="BB73" s="12">
        <f>VLOOKUP(A73,'Données projet'!$A$87:$I$107,9,0)</f>
        <v>5.2</v>
      </c>
      <c r="BC73" s="12">
        <f t="array" ref="BC73">INDEX(BB:BB,MIN(IF(ISNUMBER(BB73:BB269),ROW(BB73:BB269),"")))</f>
        <v>5.2</v>
      </c>
      <c r="BD73" s="12">
        <f>IF('Données projet'!$A$88&gt;35,BD72+BC73-BL72,IF(A73&lt;'Données projet'!$A$88,$BA$205^A73,IF(A73='Données projet'!$A$88,'Données projet'!$B$88,BD72+BC73-BL72)))</f>
        <v>185.99999999999986</v>
      </c>
      <c r="BE73" s="13">
        <f>BD73*VLOOKUP('Données projet'!$B$11,Paramètres!$A$1:$I$89,3,0)*VLOOKUP('Données projet'!$B$11,Paramètres!$A$1:$I$89,5,0)</f>
        <v>211.81679999999983</v>
      </c>
      <c r="BF73" s="13">
        <f t="shared" si="91"/>
        <v>52.332402945946782</v>
      </c>
      <c r="BG73" s="20">
        <f t="shared" si="61"/>
        <v>460.05986179752364</v>
      </c>
      <c r="BH73" s="59">
        <f t="shared" si="62"/>
        <v>753.39319513085695</v>
      </c>
      <c r="BI73" s="59">
        <f ca="1">AVERAGE(OFFSET($BH$3,0,0,'Données projet'!$E$11+1,1))-AVERAGE(OFFSET($H$3,0,0,'Données projet'!$E$11+1,1))</f>
        <v>249.01678065306629</v>
      </c>
      <c r="BJ73" s="59">
        <f t="shared" si="92"/>
        <v>99.639724892155641</v>
      </c>
      <c r="BK73" s="15">
        <f>IF(ISNA(VLOOKUP(A73,'Données projet'!$A$87:$I$107,3,0)),0,VLOOKUP(A73,'Données projet'!$A$87:$I$107,3,0))</f>
        <v>4</v>
      </c>
      <c r="BL73" s="15">
        <f>IF(ISNA(VLOOKUP(A73,'Données projet'!$A$87:$I$107,4,0)),0,VLOOKUP(A73,'Données projet'!$A$87:$I$107,4,0))</f>
        <v>28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0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>
        <f>BY73*VLOOKUP('Données projet'!$B$12,Paramètres!$A$1:$I$89,3,0)*VLOOKUP('Données projet'!$B$12,Paramètres!$A$1:$I$89,5,0)</f>
        <v>0</v>
      </c>
      <c r="CA73" s="13" t="e">
        <f t="shared" si="93"/>
        <v>#NUM!</v>
      </c>
      <c r="CB73" s="20" t="e">
        <f t="shared" si="64"/>
        <v>#NUM!</v>
      </c>
      <c r="CC73" s="59" t="e">
        <f t="shared" si="65"/>
        <v>#NUM!</v>
      </c>
      <c r="CD73" s="59">
        <f ca="1">AVERAGE(OFFSET($CC$3,0,0,'Données projet'!$E$12+1,1))-AVERAGE(OFFSET($H$3,0,0,'Données projet'!$E$12+1,1))</f>
        <v>0</v>
      </c>
      <c r="CE73" s="59">
        <f t="shared" si="94"/>
        <v>0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0</v>
      </c>
      <c r="CL73" s="21">
        <f>EXP(-LN(2)/25)*CL72+(1-EXP(-LN(2)/25))/(LN(2)/25)*Calculateur!CG73*Calculateur!CI73*VLOOKUP('Données projet'!$B$12,Paramètres!$A$1:$I$89,3,0)*0.475*44/12</f>
        <v>0</v>
      </c>
      <c r="CM73" s="21">
        <f>EXP(-LN(2)/2)*CM72+(1-EXP(-LN(2)/2))/(LN(2)/2)*CG73*CJ73*VLOOKUP('Données projet'!$B$12,Paramètres!$A$1:$I$89,3,0)*0.475*44/12</f>
        <v>0</v>
      </c>
      <c r="CN73" s="22">
        <f t="shared" si="66"/>
        <v>0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>
        <f>CT73*VLOOKUP('Données projet'!$B$13,Paramètres!$A$1:$I$89,3,0)*VLOOKUP('Données projet'!$B$13,Paramètres!$A$1:$I$89,5,0)</f>
        <v>0</v>
      </c>
      <c r="CV73" s="13" t="e">
        <f t="shared" si="95"/>
        <v>#NUM!</v>
      </c>
      <c r="CW73" s="20" t="e">
        <f t="shared" si="67"/>
        <v>#NUM!</v>
      </c>
      <c r="CX73" s="59" t="e">
        <f t="shared" si="68"/>
        <v>#NUM!</v>
      </c>
      <c r="CY73" s="59">
        <f ca="1">AVERAGE(OFFSET($CX$3,0,0,'Données projet'!$E$13+1,1))-AVERAGE(OFFSET($H$3,0,0,'Données projet'!$E$13+1,1))</f>
        <v>0</v>
      </c>
      <c r="CZ73" s="59">
        <f t="shared" si="96"/>
        <v>0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0</v>
      </c>
      <c r="DG73" s="21">
        <f>EXP(-LN(2)/25)*DG72+(1-EXP(-LN(2)/25))/(LN(2)/25)*Calculateur!DB73*Calculateur!DD73*VLOOKUP('Données projet'!$B$13,Paramètres!$A$1:$I$89,3,0)*0.475*44/12</f>
        <v>0</v>
      </c>
      <c r="DH73" s="21">
        <f>EXP(-LN(2)/2)*DH72+(1-EXP(-LN(2)/2))/(LN(2)/2)*DB73*DE73*VLOOKUP('Données projet'!$B$13,Paramètres!$A$1:$I$89,3,0)*0.475*44/12</f>
        <v>0</v>
      </c>
      <c r="DI73" s="22">
        <f t="shared" si="69"/>
        <v>0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-2.2737367544323206E-13</v>
      </c>
      <c r="O74" s="13">
        <f>N74*VLOOKUP('Données projet'!$B$9,Paramètres!$A$1:$I$89,3,0)*VLOOKUP('Données projet'!$B$9,Paramètres!$A$1:$I$89,5,0)</f>
        <v>-1.3596945791505279E-13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181.92766225683107</v>
      </c>
      <c r="T74" s="59">
        <f t="shared" si="88"/>
        <v>370.52917139565756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29.182485048187452</v>
      </c>
      <c r="AA74" s="21">
        <f>EXP(-LN(2)/25)*AA73+(1-EXP(-LN(2)/25))/(LN(2)/25)*Calculateur!V74*Calculateur!X74*VLOOKUP('Données projet'!$B$9,Paramètres!$A$1:$I$89,3,0)*0.475*44/12</f>
        <v>18.888051826500423</v>
      </c>
      <c r="AB74" s="21">
        <f>EXP(-LN(2)/2)*AB73+(1-EXP(-LN(2)/2))/(LN(2)/2)*V74*Y74*VLOOKUP('Données projet'!$B$9,Paramètres!$A$1:$I$89,3,0)*0.475*44/12</f>
        <v>3.0643488021343259E-4</v>
      </c>
      <c r="AC74" s="22">
        <f t="shared" si="57"/>
        <v>48.07084330956809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3.1</v>
      </c>
      <c r="AI74" s="13">
        <f>IF('Données projet'!$A$62&gt;35,AI73+AH74-AQ73,IF(A74&lt;'Données projet'!$A$62,$AF$205^A74,IF(A74='Données projet'!$A$62,'Données projet'!$B$62,AI73+AH74-AQ73)))</f>
        <v>256.09999999999985</v>
      </c>
      <c r="AJ74" s="13">
        <f>AI74*VLOOKUP('Données projet'!$B$10,Paramètres!$A$1:$I$89,3,0)*VLOOKUP('Données projet'!$B$10,Paramètres!$A$1:$I$89,5,0)</f>
        <v>207.74831999999992</v>
      </c>
      <c r="AK74" s="13">
        <f t="shared" si="89"/>
        <v>51.443228678039006</v>
      </c>
      <c r="AL74" s="20">
        <f t="shared" si="58"/>
        <v>451.42528061425111</v>
      </c>
      <c r="AM74" s="59">
        <f t="shared" si="59"/>
        <v>744.75861394758442</v>
      </c>
      <c r="AN74" s="59">
        <f ca="1">AVERAGE(OFFSET($AM$3,0,0,'Données projet'!$E$10+1,1))-AVERAGE(OFFSET($H$3,0,0,'Données projet'!$E$10+1,1))</f>
        <v>235.31102883830971</v>
      </c>
      <c r="AO74" s="59">
        <f t="shared" si="90"/>
        <v>271.48630853790422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0</v>
      </c>
      <c r="AV74" s="21">
        <f>EXP(-LN(2)/25)*AV73+(1-EXP(-LN(2)/25))/(LN(2)/25)*Calculateur!AQ74*Calculateur!AS74*VLOOKUP('Données projet'!$B$10,Paramètres!$A$1:$I$89,3,0)*0.475*44/12</f>
        <v>2.7293259387436399</v>
      </c>
      <c r="AW74" s="21">
        <f>EXP(-LN(2)/2)*AW73+(1-EXP(-LN(2)/2))/(LN(2)/2)*AQ74*AT74*VLOOKUP('Données projet'!$B$10,Paramètres!$A$1:$I$89,3,0)*0.475*44/12</f>
        <v>7.3993474853929621E-6</v>
      </c>
      <c r="AX74" s="21">
        <f t="shared" si="60"/>
        <v>2.7293333380911253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4.8</v>
      </c>
      <c r="BD74" s="12">
        <f>IF('Données projet'!$A$88&gt;35,BD73+BC74-BL73,IF(A74&lt;'Données projet'!$A$88,$BA$205^A74,IF(A74='Données projet'!$A$88,'Données projet'!$B$88,BD73+BC74-BL73)))</f>
        <v>162.79999999999987</v>
      </c>
      <c r="BE74" s="13">
        <f>BD74*VLOOKUP('Données projet'!$B$11,Paramètres!$A$1:$I$89,3,0)*VLOOKUP('Données projet'!$B$11,Paramètres!$A$1:$I$89,5,0)</f>
        <v>185.39663999999985</v>
      </c>
      <c r="BF74" s="13">
        <f t="shared" si="91"/>
        <v>46.520767114093928</v>
      </c>
      <c r="BG74" s="20">
        <f t="shared" si="61"/>
        <v>403.92281739037998</v>
      </c>
      <c r="BH74" s="59">
        <f t="shared" si="62"/>
        <v>697.25615072371329</v>
      </c>
      <c r="BI74" s="59">
        <f ca="1">AVERAGE(OFFSET($BH$3,0,0,'Données projet'!$E$11+1,1))-AVERAGE(OFFSET($H$3,0,0,'Données projet'!$E$11+1,1))</f>
        <v>249.01678065306629</v>
      </c>
      <c r="BJ74" s="59">
        <f t="shared" si="92"/>
        <v>99.639724892155641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0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>
        <f>BY74*VLOOKUP('Données projet'!$B$12,Paramètres!$A$1:$I$89,3,0)*VLOOKUP('Données projet'!$B$12,Paramètres!$A$1:$I$89,5,0)</f>
        <v>0</v>
      </c>
      <c r="CA74" s="13" t="e">
        <f t="shared" si="93"/>
        <v>#NUM!</v>
      </c>
      <c r="CB74" s="20" t="e">
        <f t="shared" si="64"/>
        <v>#NUM!</v>
      </c>
      <c r="CC74" s="59" t="e">
        <f t="shared" si="65"/>
        <v>#NUM!</v>
      </c>
      <c r="CD74" s="59">
        <f ca="1">AVERAGE(OFFSET($CC$3,0,0,'Données projet'!$E$12+1,1))-AVERAGE(OFFSET($H$3,0,0,'Données projet'!$E$12+1,1))</f>
        <v>0</v>
      </c>
      <c r="CE74" s="59">
        <f t="shared" si="94"/>
        <v>0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0</v>
      </c>
      <c r="CL74" s="21">
        <f>EXP(-LN(2)/25)*CL73+(1-EXP(-LN(2)/25))/(LN(2)/25)*Calculateur!CG74*Calculateur!CI74*VLOOKUP('Données projet'!$B$12,Paramètres!$A$1:$I$89,3,0)*0.475*44/12</f>
        <v>0</v>
      </c>
      <c r="CM74" s="21">
        <f>EXP(-LN(2)/2)*CM73+(1-EXP(-LN(2)/2))/(LN(2)/2)*CG74*CJ74*VLOOKUP('Données projet'!$B$12,Paramètres!$A$1:$I$89,3,0)*0.475*44/12</f>
        <v>0</v>
      </c>
      <c r="CN74" s="22">
        <f t="shared" si="66"/>
        <v>0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>
        <f>CT74*VLOOKUP('Données projet'!$B$13,Paramètres!$A$1:$I$89,3,0)*VLOOKUP('Données projet'!$B$13,Paramètres!$A$1:$I$89,5,0)</f>
        <v>0</v>
      </c>
      <c r="CV74" s="13" t="e">
        <f t="shared" si="95"/>
        <v>#NUM!</v>
      </c>
      <c r="CW74" s="20" t="e">
        <f t="shared" si="67"/>
        <v>#NUM!</v>
      </c>
      <c r="CX74" s="59" t="e">
        <f t="shared" si="68"/>
        <v>#NUM!</v>
      </c>
      <c r="CY74" s="59">
        <f ca="1">AVERAGE(OFFSET($CX$3,0,0,'Données projet'!$E$13+1,1))-AVERAGE(OFFSET($H$3,0,0,'Données projet'!$E$13+1,1))</f>
        <v>0</v>
      </c>
      <c r="CZ74" s="59">
        <f t="shared" si="96"/>
        <v>0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0</v>
      </c>
      <c r="DG74" s="21">
        <f>EXP(-LN(2)/25)*DG73+(1-EXP(-LN(2)/25))/(LN(2)/25)*Calculateur!DB74*Calculateur!DD74*VLOOKUP('Données projet'!$B$13,Paramètres!$A$1:$I$89,3,0)*0.475*44/12</f>
        <v>0</v>
      </c>
      <c r="DH74" s="21">
        <f>EXP(-LN(2)/2)*DH73+(1-EXP(-LN(2)/2))/(LN(2)/2)*DB74*DE74*VLOOKUP('Données projet'!$B$13,Paramètres!$A$1:$I$89,3,0)*0.475*44/12</f>
        <v>0</v>
      </c>
      <c r="DI74" s="22">
        <f t="shared" si="69"/>
        <v>0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-2.2737367544323206E-13</v>
      </c>
      <c r="O75" s="13">
        <f>N75*VLOOKUP('Données projet'!$B$9,Paramètres!$A$1:$I$89,3,0)*VLOOKUP('Données projet'!$B$9,Paramètres!$A$1:$I$89,5,0)</f>
        <v>-1.3596945791505279E-13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181.92766225683107</v>
      </c>
      <c r="T75" s="59">
        <f t="shared" si="88"/>
        <v>370.52917139565756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28.610234315950816</v>
      </c>
      <c r="AA75" s="21">
        <f>EXP(-LN(2)/25)*AA74+(1-EXP(-LN(2)/25))/(LN(2)/25)*Calculateur!V75*Calculateur!X75*VLOOKUP('Données projet'!$B$9,Paramètres!$A$1:$I$89,3,0)*0.475*44/12</f>
        <v>18.371557056025292</v>
      </c>
      <c r="AB75" s="21">
        <f>EXP(-LN(2)/2)*AB74+(1-EXP(-LN(2)/2))/(LN(2)/2)*V75*Y75*VLOOKUP('Données projet'!$B$9,Paramètres!$A$1:$I$89,3,0)*0.475*44/12</f>
        <v>2.1668218179100559E-4</v>
      </c>
      <c r="AC75" s="22">
        <f t="shared" si="57"/>
        <v>46.982008054157902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3.1</v>
      </c>
      <c r="AI75" s="13">
        <f>IF('Données projet'!$A$62&gt;35,AI74+AH75-AQ74,IF(A75&lt;'Données projet'!$A$62,$AF$205^A75,IF(A75='Données projet'!$A$62,'Données projet'!$B$62,AI74+AH75-AQ74)))</f>
        <v>259.19999999999987</v>
      </c>
      <c r="AJ75" s="13">
        <f>AI75*VLOOKUP('Données projet'!$B$10,Paramètres!$A$1:$I$89,3,0)*VLOOKUP('Données projet'!$B$10,Paramètres!$A$1:$I$89,5,0)</f>
        <v>210.2630399999999</v>
      </c>
      <c r="AK75" s="13">
        <f t="shared" si="89"/>
        <v>51.993062367907982</v>
      </c>
      <c r="AL75" s="20">
        <f t="shared" si="58"/>
        <v>456.7627116241062</v>
      </c>
      <c r="AM75" s="59">
        <f t="shared" si="59"/>
        <v>750.09604495743952</v>
      </c>
      <c r="AN75" s="59">
        <f ca="1">AVERAGE(OFFSET($AM$3,0,0,'Données projet'!$E$10+1,1))-AVERAGE(OFFSET($H$3,0,0,'Données projet'!$E$10+1,1))</f>
        <v>235.31102883830971</v>
      </c>
      <c r="AO75" s="59">
        <f t="shared" si="90"/>
        <v>271.48630853790422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0</v>
      </c>
      <c r="AV75" s="21">
        <f>EXP(-LN(2)/25)*AV74+(1-EXP(-LN(2)/25))/(LN(2)/25)*Calculateur!AQ75*Calculateur!AS75*VLOOKUP('Données projet'!$B$10,Paramètres!$A$1:$I$89,3,0)*0.475*44/12</f>
        <v>2.654692377419682</v>
      </c>
      <c r="AW75" s="21">
        <f>EXP(-LN(2)/2)*AW74+(1-EXP(-LN(2)/2))/(LN(2)/2)*AQ75*AT75*VLOOKUP('Données projet'!$B$10,Paramètres!$A$1:$I$89,3,0)*0.475*44/12</f>
        <v>5.2321287832769927E-6</v>
      </c>
      <c r="AX75" s="21">
        <f t="shared" si="60"/>
        <v>2.6546976095484651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4.8</v>
      </c>
      <c r="BD75" s="12">
        <f>IF('Données projet'!$A$88&gt;35,BD74+BC75-BL74,IF(A75&lt;'Données projet'!$A$88,$BA$205^A75,IF(A75='Données projet'!$A$88,'Données projet'!$B$88,BD74+BC75-BL74)))</f>
        <v>167.59999999999988</v>
      </c>
      <c r="BE75" s="13">
        <f>BD75*VLOOKUP('Données projet'!$B$11,Paramètres!$A$1:$I$89,3,0)*VLOOKUP('Données projet'!$B$11,Paramètres!$A$1:$I$89,5,0)</f>
        <v>190.86287999999988</v>
      </c>
      <c r="BF75" s="13">
        <f t="shared" si="91"/>
        <v>47.730673029611843</v>
      </c>
      <c r="BG75" s="20">
        <f t="shared" si="61"/>
        <v>415.55043819324038</v>
      </c>
      <c r="BH75" s="59">
        <f t="shared" si="62"/>
        <v>708.8837715265737</v>
      </c>
      <c r="BI75" s="59">
        <f ca="1">AVERAGE(OFFSET($BH$3,0,0,'Données projet'!$E$11+1,1))-AVERAGE(OFFSET($H$3,0,0,'Données projet'!$E$11+1,1))</f>
        <v>249.01678065306629</v>
      </c>
      <c r="BJ75" s="59">
        <f t="shared" si="92"/>
        <v>99.639724892155641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0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>
        <f>BY75*VLOOKUP('Données projet'!$B$12,Paramètres!$A$1:$I$89,3,0)*VLOOKUP('Données projet'!$B$12,Paramètres!$A$1:$I$89,5,0)</f>
        <v>0</v>
      </c>
      <c r="CA75" s="13" t="e">
        <f t="shared" si="93"/>
        <v>#NUM!</v>
      </c>
      <c r="CB75" s="20" t="e">
        <f t="shared" si="64"/>
        <v>#NUM!</v>
      </c>
      <c r="CC75" s="59" t="e">
        <f t="shared" si="65"/>
        <v>#NUM!</v>
      </c>
      <c r="CD75" s="59">
        <f ca="1">AVERAGE(OFFSET($CC$3,0,0,'Données projet'!$E$12+1,1))-AVERAGE(OFFSET($H$3,0,0,'Données projet'!$E$12+1,1))</f>
        <v>0</v>
      </c>
      <c r="CE75" s="59">
        <f t="shared" si="94"/>
        <v>0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0</v>
      </c>
      <c r="CL75" s="21">
        <f>EXP(-LN(2)/25)*CL74+(1-EXP(-LN(2)/25))/(LN(2)/25)*Calculateur!CG75*Calculateur!CI75*VLOOKUP('Données projet'!$B$12,Paramètres!$A$1:$I$89,3,0)*0.475*44/12</f>
        <v>0</v>
      </c>
      <c r="CM75" s="21">
        <f>EXP(-LN(2)/2)*CM74+(1-EXP(-LN(2)/2))/(LN(2)/2)*CG75*CJ75*VLOOKUP('Données projet'!$B$12,Paramètres!$A$1:$I$89,3,0)*0.475*44/12</f>
        <v>0</v>
      </c>
      <c r="CN75" s="22">
        <f t="shared" si="66"/>
        <v>0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>
        <f>CT75*VLOOKUP('Données projet'!$B$13,Paramètres!$A$1:$I$89,3,0)*VLOOKUP('Données projet'!$B$13,Paramètres!$A$1:$I$89,5,0)</f>
        <v>0</v>
      </c>
      <c r="CV75" s="13" t="e">
        <f t="shared" si="95"/>
        <v>#NUM!</v>
      </c>
      <c r="CW75" s="20" t="e">
        <f t="shared" si="67"/>
        <v>#NUM!</v>
      </c>
      <c r="CX75" s="59" t="e">
        <f t="shared" si="68"/>
        <v>#NUM!</v>
      </c>
      <c r="CY75" s="59">
        <f ca="1">AVERAGE(OFFSET($CX$3,0,0,'Données projet'!$E$13+1,1))-AVERAGE(OFFSET($H$3,0,0,'Données projet'!$E$13+1,1))</f>
        <v>0</v>
      </c>
      <c r="CZ75" s="59">
        <f t="shared" si="96"/>
        <v>0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0</v>
      </c>
      <c r="DG75" s="21">
        <f>EXP(-LN(2)/25)*DG74+(1-EXP(-LN(2)/25))/(LN(2)/25)*Calculateur!DB75*Calculateur!DD75*VLOOKUP('Données projet'!$B$13,Paramètres!$A$1:$I$89,3,0)*0.475*44/12</f>
        <v>0</v>
      </c>
      <c r="DH75" s="21">
        <f>EXP(-LN(2)/2)*DH74+(1-EXP(-LN(2)/2))/(LN(2)/2)*DB75*DE75*VLOOKUP('Données projet'!$B$13,Paramètres!$A$1:$I$89,3,0)*0.475*44/12</f>
        <v>0</v>
      </c>
      <c r="DI75" s="22">
        <f t="shared" si="69"/>
        <v>0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-2.2737367544323206E-13</v>
      </c>
      <c r="O76" s="13">
        <f>N76*VLOOKUP('Données projet'!$B$9,Paramètres!$A$1:$I$89,3,0)*VLOOKUP('Données projet'!$B$9,Paramètres!$A$1:$I$89,5,0)</f>
        <v>-1.3596945791505279E-13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181.92766225683107</v>
      </c>
      <c r="T76" s="59">
        <f t="shared" si="88"/>
        <v>370.52917139565756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28.049205071534857</v>
      </c>
      <c r="AA76" s="21">
        <f>EXP(-LN(2)/25)*AA75+(1-EXP(-LN(2)/25))/(LN(2)/25)*Calculateur!V76*Calculateur!X76*VLOOKUP('Données projet'!$B$9,Paramètres!$A$1:$I$89,3,0)*0.475*44/12</f>
        <v>17.869185862210085</v>
      </c>
      <c r="AB76" s="21">
        <f>EXP(-LN(2)/2)*AB75+(1-EXP(-LN(2)/2))/(LN(2)/2)*V76*Y76*VLOOKUP('Données projet'!$B$9,Paramètres!$A$1:$I$89,3,0)*0.475*44/12</f>
        <v>1.532174401067163E-4</v>
      </c>
      <c r="AC76" s="22">
        <f t="shared" si="57"/>
        <v>45.918544151185053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3.1</v>
      </c>
      <c r="AI76" s="13">
        <f>IF('Données projet'!$A$62&gt;35,AI75+AH76-AQ75,IF(A76&lt;'Données projet'!$A$62,$AF$205^A76,IF(A76='Données projet'!$A$62,'Données projet'!$B$62,AI75+AH76-AQ75)))</f>
        <v>262.2999999999999</v>
      </c>
      <c r="AJ76" s="13">
        <f>AI76*VLOOKUP('Données projet'!$B$10,Paramètres!$A$1:$I$89,3,0)*VLOOKUP('Données projet'!$B$10,Paramètres!$A$1:$I$89,5,0)</f>
        <v>212.77775999999994</v>
      </c>
      <c r="AK76" s="13">
        <f t="shared" si="89"/>
        <v>52.542131131270303</v>
      </c>
      <c r="AL76" s="20">
        <f t="shared" si="58"/>
        <v>462.09881038696238</v>
      </c>
      <c r="AM76" s="59">
        <f t="shared" si="59"/>
        <v>755.4321437202957</v>
      </c>
      <c r="AN76" s="59">
        <f ca="1">AVERAGE(OFFSET($AM$3,0,0,'Données projet'!$E$10+1,1))-AVERAGE(OFFSET($H$3,0,0,'Données projet'!$E$10+1,1))</f>
        <v>235.31102883830971</v>
      </c>
      <c r="AO76" s="59">
        <f t="shared" si="90"/>
        <v>271.48630853790422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0</v>
      </c>
      <c r="AV76" s="21">
        <f>EXP(-LN(2)/25)*AV75+(1-EXP(-LN(2)/25))/(LN(2)/25)*Calculateur!AQ76*Calculateur!AS76*VLOOKUP('Données projet'!$B$10,Paramètres!$A$1:$I$89,3,0)*0.475*44/12</f>
        <v>2.5820996747549358</v>
      </c>
      <c r="AW76" s="21">
        <f>EXP(-LN(2)/2)*AW75+(1-EXP(-LN(2)/2))/(LN(2)/2)*AQ76*AT76*VLOOKUP('Données projet'!$B$10,Paramètres!$A$1:$I$89,3,0)*0.475*44/12</f>
        <v>3.6996737426964819E-6</v>
      </c>
      <c r="AX76" s="21">
        <f t="shared" si="60"/>
        <v>2.5821033744286783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4.8</v>
      </c>
      <c r="BD76" s="12">
        <f>IF('Données projet'!$A$88&gt;35,BD75+BC76-BL75,IF(A76&lt;'Données projet'!$A$88,$BA$205^A76,IF(A76='Données projet'!$A$88,'Données projet'!$B$88,BD75+BC76-BL75)))</f>
        <v>172.39999999999989</v>
      </c>
      <c r="BE76" s="13">
        <f>BD76*VLOOKUP('Données projet'!$B$11,Paramètres!$A$1:$I$89,3,0)*VLOOKUP('Données projet'!$B$11,Paramètres!$A$1:$I$89,5,0)</f>
        <v>196.32911999999988</v>
      </c>
      <c r="BF76" s="13">
        <f t="shared" si="91"/>
        <v>48.936551674182525</v>
      </c>
      <c r="BG76" s="20">
        <f t="shared" si="61"/>
        <v>427.17104483253434</v>
      </c>
      <c r="BH76" s="59">
        <f t="shared" si="62"/>
        <v>720.50437816586759</v>
      </c>
      <c r="BI76" s="59">
        <f ca="1">AVERAGE(OFFSET($BH$3,0,0,'Données projet'!$E$11+1,1))-AVERAGE(OFFSET($H$3,0,0,'Données projet'!$E$11+1,1))</f>
        <v>249.01678065306629</v>
      </c>
      <c r="BJ76" s="59">
        <f t="shared" si="92"/>
        <v>99.639724892155641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0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>
        <f>BY76*VLOOKUP('Données projet'!$B$12,Paramètres!$A$1:$I$89,3,0)*VLOOKUP('Données projet'!$B$12,Paramètres!$A$1:$I$89,5,0)</f>
        <v>0</v>
      </c>
      <c r="CA76" s="13" t="e">
        <f t="shared" si="93"/>
        <v>#NUM!</v>
      </c>
      <c r="CB76" s="20" t="e">
        <f t="shared" si="64"/>
        <v>#NUM!</v>
      </c>
      <c r="CC76" s="59" t="e">
        <f t="shared" si="65"/>
        <v>#NUM!</v>
      </c>
      <c r="CD76" s="59">
        <f ca="1">AVERAGE(OFFSET($CC$3,0,0,'Données projet'!$E$12+1,1))-AVERAGE(OFFSET($H$3,0,0,'Données projet'!$E$12+1,1))</f>
        <v>0</v>
      </c>
      <c r="CE76" s="59">
        <f t="shared" si="94"/>
        <v>0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0</v>
      </c>
      <c r="CL76" s="21">
        <f>EXP(-LN(2)/25)*CL75+(1-EXP(-LN(2)/25))/(LN(2)/25)*Calculateur!CG76*Calculateur!CI76*VLOOKUP('Données projet'!$B$12,Paramètres!$A$1:$I$89,3,0)*0.475*44/12</f>
        <v>0</v>
      </c>
      <c r="CM76" s="21">
        <f>EXP(-LN(2)/2)*CM75+(1-EXP(-LN(2)/2))/(LN(2)/2)*CG76*CJ76*VLOOKUP('Données projet'!$B$12,Paramètres!$A$1:$I$89,3,0)*0.475*44/12</f>
        <v>0</v>
      </c>
      <c r="CN76" s="22">
        <f t="shared" si="66"/>
        <v>0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>
        <f>CT76*VLOOKUP('Données projet'!$B$13,Paramètres!$A$1:$I$89,3,0)*VLOOKUP('Données projet'!$B$13,Paramètres!$A$1:$I$89,5,0)</f>
        <v>0</v>
      </c>
      <c r="CV76" s="13" t="e">
        <f t="shared" si="95"/>
        <v>#NUM!</v>
      </c>
      <c r="CW76" s="20" t="e">
        <f t="shared" si="67"/>
        <v>#NUM!</v>
      </c>
      <c r="CX76" s="59" t="e">
        <f t="shared" si="68"/>
        <v>#NUM!</v>
      </c>
      <c r="CY76" s="59">
        <f ca="1">AVERAGE(OFFSET($CX$3,0,0,'Données projet'!$E$13+1,1))-AVERAGE(OFFSET($H$3,0,0,'Données projet'!$E$13+1,1))</f>
        <v>0</v>
      </c>
      <c r="CZ76" s="59">
        <f t="shared" si="96"/>
        <v>0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0</v>
      </c>
      <c r="DG76" s="21">
        <f>EXP(-LN(2)/25)*DG75+(1-EXP(-LN(2)/25))/(LN(2)/25)*Calculateur!DB76*Calculateur!DD76*VLOOKUP('Données projet'!$B$13,Paramètres!$A$1:$I$89,3,0)*0.475*44/12</f>
        <v>0</v>
      </c>
      <c r="DH76" s="21">
        <f>EXP(-LN(2)/2)*DH75+(1-EXP(-LN(2)/2))/(LN(2)/2)*DB76*DE76*VLOOKUP('Données projet'!$B$13,Paramètres!$A$1:$I$89,3,0)*0.475*44/12</f>
        <v>0</v>
      </c>
      <c r="DI76" s="22">
        <f t="shared" si="69"/>
        <v>0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-2.2737367544323206E-13</v>
      </c>
      <c r="O77" s="13">
        <f>N77*VLOOKUP('Données projet'!$B$9,Paramètres!$A$1:$I$89,3,0)*VLOOKUP('Données projet'!$B$9,Paramètres!$A$1:$I$89,5,0)</f>
        <v>-1.3596945791505279E-13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181.92766225683107</v>
      </c>
      <c r="T77" s="59">
        <f t="shared" si="88"/>
        <v>370.52917139565756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27.499177268407845</v>
      </c>
      <c r="AA77" s="21">
        <f>EXP(-LN(2)/25)*AA76+(1-EXP(-LN(2)/25))/(LN(2)/25)*Calculateur!V77*Calculateur!X77*VLOOKUP('Données projet'!$B$9,Paramètres!$A$1:$I$89,3,0)*0.475*44/12</f>
        <v>17.380552035108305</v>
      </c>
      <c r="AB77" s="21">
        <f>EXP(-LN(2)/2)*AB76+(1-EXP(-LN(2)/2))/(LN(2)/2)*V77*Y77*VLOOKUP('Données projet'!$B$9,Paramètres!$A$1:$I$89,3,0)*0.475*44/12</f>
        <v>1.0834109089550279E-4</v>
      </c>
      <c r="AC77" s="22">
        <f t="shared" si="57"/>
        <v>44.879837644607044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3.1</v>
      </c>
      <c r="AI77" s="13">
        <f>IF('Données projet'!$A$62&gt;35,AI76+AH77-AQ76,IF(A77&lt;'Données projet'!$A$62,$AF$205^A77,IF(A77='Données projet'!$A$62,'Données projet'!$B$62,AI76+AH77-AQ76)))</f>
        <v>265.39999999999992</v>
      </c>
      <c r="AJ77" s="13">
        <f>AI77*VLOOKUP('Données projet'!$B$10,Paramètres!$A$1:$I$89,3,0)*VLOOKUP('Données projet'!$B$10,Paramètres!$A$1:$I$89,5,0)</f>
        <v>215.29247999999993</v>
      </c>
      <c r="AK77" s="13">
        <f t="shared" si="89"/>
        <v>53.090445054256215</v>
      </c>
      <c r="AL77" s="20">
        <f t="shared" si="58"/>
        <v>467.43359446949609</v>
      </c>
      <c r="AM77" s="59">
        <f t="shared" si="59"/>
        <v>760.7669278028294</v>
      </c>
      <c r="AN77" s="59">
        <f ca="1">AVERAGE(OFFSET($AM$3,0,0,'Données projet'!$E$10+1,1))-AVERAGE(OFFSET($H$3,0,0,'Données projet'!$E$10+1,1))</f>
        <v>235.31102883830971</v>
      </c>
      <c r="AO77" s="59">
        <f t="shared" si="90"/>
        <v>271.48630853790422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0</v>
      </c>
      <c r="AV77" s="21">
        <f>EXP(-LN(2)/25)*AV76+(1-EXP(-LN(2)/25))/(LN(2)/25)*Calculateur!AQ77*Calculateur!AS77*VLOOKUP('Données projet'!$B$10,Paramètres!$A$1:$I$89,3,0)*0.475*44/12</f>
        <v>2.5114920233620417</v>
      </c>
      <c r="AW77" s="21">
        <f>EXP(-LN(2)/2)*AW76+(1-EXP(-LN(2)/2))/(LN(2)/2)*AQ77*AT77*VLOOKUP('Données projet'!$B$10,Paramètres!$A$1:$I$89,3,0)*0.475*44/12</f>
        <v>2.6160643916384968E-6</v>
      </c>
      <c r="AX77" s="21">
        <f t="shared" si="60"/>
        <v>2.5114946394264335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4.8</v>
      </c>
      <c r="BD77" s="12">
        <f>IF('Données projet'!$A$88&gt;35,BD76+BC77-BL76,IF(A77&lt;'Données projet'!$A$88,$BA$205^A77,IF(A77='Données projet'!$A$88,'Données projet'!$B$88,BD76+BC77-BL76)))</f>
        <v>177.1999999999999</v>
      </c>
      <c r="BE77" s="13">
        <f>BD77*VLOOKUP('Données projet'!$B$11,Paramètres!$A$1:$I$89,3,0)*VLOOKUP('Données projet'!$B$11,Paramètres!$A$1:$I$89,5,0)</f>
        <v>201.7953599999999</v>
      </c>
      <c r="BF77" s="13">
        <f t="shared" si="91"/>
        <v>50.13852805781471</v>
      </c>
      <c r="BG77" s="20">
        <f t="shared" si="61"/>
        <v>438.78485503402709</v>
      </c>
      <c r="BH77" s="59">
        <f t="shared" si="62"/>
        <v>732.1181883673604</v>
      </c>
      <c r="BI77" s="59">
        <f ca="1">AVERAGE(OFFSET($BH$3,0,0,'Données projet'!$E$11+1,1))-AVERAGE(OFFSET($H$3,0,0,'Données projet'!$E$11+1,1))</f>
        <v>249.01678065306629</v>
      </c>
      <c r="BJ77" s="59">
        <f t="shared" si="92"/>
        <v>99.639724892155641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0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>
        <f>BY77*VLOOKUP('Données projet'!$B$12,Paramètres!$A$1:$I$89,3,0)*VLOOKUP('Données projet'!$B$12,Paramètres!$A$1:$I$89,5,0)</f>
        <v>0</v>
      </c>
      <c r="CA77" s="13" t="e">
        <f t="shared" si="93"/>
        <v>#NUM!</v>
      </c>
      <c r="CB77" s="20" t="e">
        <f t="shared" si="64"/>
        <v>#NUM!</v>
      </c>
      <c r="CC77" s="59" t="e">
        <f t="shared" si="65"/>
        <v>#NUM!</v>
      </c>
      <c r="CD77" s="59">
        <f ca="1">AVERAGE(OFFSET($CC$3,0,0,'Données projet'!$E$12+1,1))-AVERAGE(OFFSET($H$3,0,0,'Données projet'!$E$12+1,1))</f>
        <v>0</v>
      </c>
      <c r="CE77" s="59">
        <f t="shared" si="94"/>
        <v>0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0</v>
      </c>
      <c r="CL77" s="21">
        <f>EXP(-LN(2)/25)*CL76+(1-EXP(-LN(2)/25))/(LN(2)/25)*Calculateur!CG77*Calculateur!CI77*VLOOKUP('Données projet'!$B$12,Paramètres!$A$1:$I$89,3,0)*0.475*44/12</f>
        <v>0</v>
      </c>
      <c r="CM77" s="21">
        <f>EXP(-LN(2)/2)*CM76+(1-EXP(-LN(2)/2))/(LN(2)/2)*CG77*CJ77*VLOOKUP('Données projet'!$B$12,Paramètres!$A$1:$I$89,3,0)*0.475*44/12</f>
        <v>0</v>
      </c>
      <c r="CN77" s="22">
        <f t="shared" si="66"/>
        <v>0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>
        <f>CT77*VLOOKUP('Données projet'!$B$13,Paramètres!$A$1:$I$89,3,0)*VLOOKUP('Données projet'!$B$13,Paramètres!$A$1:$I$89,5,0)</f>
        <v>0</v>
      </c>
      <c r="CV77" s="13" t="e">
        <f t="shared" si="95"/>
        <v>#NUM!</v>
      </c>
      <c r="CW77" s="20" t="e">
        <f t="shared" si="67"/>
        <v>#NUM!</v>
      </c>
      <c r="CX77" s="59" t="e">
        <f t="shared" si="68"/>
        <v>#NUM!</v>
      </c>
      <c r="CY77" s="59">
        <f ca="1">AVERAGE(OFFSET($CX$3,0,0,'Données projet'!$E$13+1,1))-AVERAGE(OFFSET($H$3,0,0,'Données projet'!$E$13+1,1))</f>
        <v>0</v>
      </c>
      <c r="CZ77" s="59">
        <f t="shared" si="96"/>
        <v>0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0</v>
      </c>
      <c r="DG77" s="21">
        <f>EXP(-LN(2)/25)*DG76+(1-EXP(-LN(2)/25))/(LN(2)/25)*Calculateur!DB77*Calculateur!DD77*VLOOKUP('Données projet'!$B$13,Paramètres!$A$1:$I$89,3,0)*0.475*44/12</f>
        <v>0</v>
      </c>
      <c r="DH77" s="21">
        <f>EXP(-LN(2)/2)*DH76+(1-EXP(-LN(2)/2))/(LN(2)/2)*DB77*DE77*VLOOKUP('Données projet'!$B$13,Paramètres!$A$1:$I$89,3,0)*0.475*44/12</f>
        <v>0</v>
      </c>
      <c r="DI77" s="22">
        <f t="shared" si="69"/>
        <v>0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-2.2737367544323206E-13</v>
      </c>
      <c r="O78" s="13">
        <f>N78*VLOOKUP('Données projet'!$B$9,Paramètres!$A$1:$I$89,3,0)*VLOOKUP('Données projet'!$B$9,Paramètres!$A$1:$I$89,5,0)</f>
        <v>-1.3596945791505279E-13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181.92766225683107</v>
      </c>
      <c r="T78" s="59">
        <f t="shared" si="88"/>
        <v>370.52917139565756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26.959935175016319</v>
      </c>
      <c r="AA78" s="21">
        <f>EXP(-LN(2)/25)*AA77+(1-EXP(-LN(2)/25))/(LN(2)/25)*Calculateur!V78*Calculateur!X78*VLOOKUP('Données projet'!$B$9,Paramètres!$A$1:$I$89,3,0)*0.475*44/12</f>
        <v>16.905279925704761</v>
      </c>
      <c r="AB78" s="21">
        <f>EXP(-LN(2)/2)*AB77+(1-EXP(-LN(2)/2))/(LN(2)/2)*V78*Y78*VLOOKUP('Données projet'!$B$9,Paramètres!$A$1:$I$89,3,0)*0.475*44/12</f>
        <v>7.6608720053358148E-5</v>
      </c>
      <c r="AC78" s="22">
        <f t="shared" si="57"/>
        <v>43.865291709441131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3.1</v>
      </c>
      <c r="AI78" s="13">
        <f>IF('Données projet'!$A$62&gt;35,AI77+AH78-AQ77,IF(A78&lt;'Données projet'!$A$62,$AF$205^A78,IF(A78='Données projet'!$A$62,'Données projet'!$B$62,AI77+AH78-AQ77)))</f>
        <v>268.49999999999994</v>
      </c>
      <c r="AJ78" s="13">
        <f>AI78*VLOOKUP('Données projet'!$B$10,Paramètres!$A$1:$I$89,3,0)*VLOOKUP('Données projet'!$B$10,Paramètres!$A$1:$I$89,5,0)</f>
        <v>217.80719999999997</v>
      </c>
      <c r="AK78" s="13">
        <f t="shared" si="89"/>
        <v>53.638013973813976</v>
      </c>
      <c r="AL78" s="20">
        <f t="shared" si="58"/>
        <v>472.76708100439265</v>
      </c>
      <c r="AM78" s="59">
        <f t="shared" si="59"/>
        <v>766.10041433772597</v>
      </c>
      <c r="AN78" s="59">
        <f ca="1">AVERAGE(OFFSET($AM$3,0,0,'Données projet'!$E$10+1,1))-AVERAGE(OFFSET($H$3,0,0,'Données projet'!$E$10+1,1))</f>
        <v>235.31102883830971</v>
      </c>
      <c r="AO78" s="59">
        <f t="shared" si="90"/>
        <v>271.48630853790422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0</v>
      </c>
      <c r="AV78" s="21">
        <f>EXP(-LN(2)/25)*AV77+(1-EXP(-LN(2)/25))/(LN(2)/25)*Calculateur!AQ78*Calculateur!AS78*VLOOKUP('Données projet'!$B$10,Paramètres!$A$1:$I$89,3,0)*0.475*44/12</f>
        <v>2.4428151419095814</v>
      </c>
      <c r="AW78" s="21">
        <f>EXP(-LN(2)/2)*AW77+(1-EXP(-LN(2)/2))/(LN(2)/2)*AQ78*AT78*VLOOKUP('Données projet'!$B$10,Paramètres!$A$1:$I$89,3,0)*0.475*44/12</f>
        <v>1.8498368713482412E-6</v>
      </c>
      <c r="AX78" s="21">
        <f t="shared" si="60"/>
        <v>2.4428169917464526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4.8</v>
      </c>
      <c r="BD78" s="12">
        <f>IF('Données projet'!$A$88&gt;35,BD77+BC78-BL77,IF(A78&lt;'Données projet'!$A$88,$BA$205^A78,IF(A78='Données projet'!$A$88,'Données projet'!$B$88,BD77+BC78-BL77)))</f>
        <v>181.99999999999991</v>
      </c>
      <c r="BE78" s="13">
        <f>BD78*VLOOKUP('Données projet'!$B$11,Paramètres!$A$1:$I$89,3,0)*VLOOKUP('Données projet'!$B$11,Paramètres!$A$1:$I$89,5,0)</f>
        <v>207.2615999999999</v>
      </c>
      <c r="BF78" s="13">
        <f t="shared" si="91"/>
        <v>51.3367200324452</v>
      </c>
      <c r="BG78" s="20">
        <f t="shared" si="61"/>
        <v>450.39207405650853</v>
      </c>
      <c r="BH78" s="59">
        <f t="shared" si="62"/>
        <v>743.72540738984185</v>
      </c>
      <c r="BI78" s="59">
        <f ca="1">AVERAGE(OFFSET($BH$3,0,0,'Données projet'!$E$11+1,1))-AVERAGE(OFFSET($H$3,0,0,'Données projet'!$E$11+1,1))</f>
        <v>249.01678065306629</v>
      </c>
      <c r="BJ78" s="59">
        <f t="shared" si="92"/>
        <v>99.639724892155641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0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>
        <f>BY78*VLOOKUP('Données projet'!$B$12,Paramètres!$A$1:$I$89,3,0)*VLOOKUP('Données projet'!$B$12,Paramètres!$A$1:$I$89,5,0)</f>
        <v>0</v>
      </c>
      <c r="CA78" s="13" t="e">
        <f t="shared" si="93"/>
        <v>#NUM!</v>
      </c>
      <c r="CB78" s="20" t="e">
        <f t="shared" si="64"/>
        <v>#NUM!</v>
      </c>
      <c r="CC78" s="59" t="e">
        <f t="shared" si="65"/>
        <v>#NUM!</v>
      </c>
      <c r="CD78" s="59">
        <f ca="1">AVERAGE(OFFSET($CC$3,0,0,'Données projet'!$E$12+1,1))-AVERAGE(OFFSET($H$3,0,0,'Données projet'!$E$12+1,1))</f>
        <v>0</v>
      </c>
      <c r="CE78" s="59">
        <f t="shared" si="94"/>
        <v>0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0</v>
      </c>
      <c r="CL78" s="21">
        <f>EXP(-LN(2)/25)*CL77+(1-EXP(-LN(2)/25))/(LN(2)/25)*Calculateur!CG78*Calculateur!CI78*VLOOKUP('Données projet'!$B$12,Paramètres!$A$1:$I$89,3,0)*0.475*44/12</f>
        <v>0</v>
      </c>
      <c r="CM78" s="21">
        <f>EXP(-LN(2)/2)*CM77+(1-EXP(-LN(2)/2))/(LN(2)/2)*CG78*CJ78*VLOOKUP('Données projet'!$B$12,Paramètres!$A$1:$I$89,3,0)*0.475*44/12</f>
        <v>0</v>
      </c>
      <c r="CN78" s="22">
        <f t="shared" si="66"/>
        <v>0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>
        <f>CT78*VLOOKUP('Données projet'!$B$13,Paramètres!$A$1:$I$89,3,0)*VLOOKUP('Données projet'!$B$13,Paramètres!$A$1:$I$89,5,0)</f>
        <v>0</v>
      </c>
      <c r="CV78" s="13" t="e">
        <f t="shared" si="95"/>
        <v>#NUM!</v>
      </c>
      <c r="CW78" s="20" t="e">
        <f t="shared" si="67"/>
        <v>#NUM!</v>
      </c>
      <c r="CX78" s="59" t="e">
        <f t="shared" si="68"/>
        <v>#NUM!</v>
      </c>
      <c r="CY78" s="59">
        <f ca="1">AVERAGE(OFFSET($CX$3,0,0,'Données projet'!$E$13+1,1))-AVERAGE(OFFSET($H$3,0,0,'Données projet'!$E$13+1,1))</f>
        <v>0</v>
      </c>
      <c r="CZ78" s="59">
        <f t="shared" si="96"/>
        <v>0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0</v>
      </c>
      <c r="DG78" s="21">
        <f>EXP(-LN(2)/25)*DG77+(1-EXP(-LN(2)/25))/(LN(2)/25)*Calculateur!DB78*Calculateur!DD78*VLOOKUP('Données projet'!$B$13,Paramètres!$A$1:$I$89,3,0)*0.475*44/12</f>
        <v>0</v>
      </c>
      <c r="DH78" s="21">
        <f>EXP(-LN(2)/2)*DH77+(1-EXP(-LN(2)/2))/(LN(2)/2)*DB78*DE78*VLOOKUP('Données projet'!$B$13,Paramètres!$A$1:$I$89,3,0)*0.475*44/12</f>
        <v>0</v>
      </c>
      <c r="DI78" s="22">
        <f t="shared" si="69"/>
        <v>0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-2.2737367544323206E-13</v>
      </c>
      <c r="O79" s="13">
        <f>N79*VLOOKUP('Données projet'!$B$9,Paramètres!$A$1:$I$89,3,0)*VLOOKUP('Données projet'!$B$9,Paramètres!$A$1:$I$89,5,0)</f>
        <v>-1.3596945791505279E-13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181.92766225683107</v>
      </c>
      <c r="T79" s="59">
        <f t="shared" si="88"/>
        <v>370.52917139565756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26.431267290171004</v>
      </c>
      <c r="AA79" s="21">
        <f>EXP(-LN(2)/25)*AA78+(1-EXP(-LN(2)/25))/(LN(2)/25)*Calculateur!V79*Calculateur!X79*VLOOKUP('Données projet'!$B$9,Paramètres!$A$1:$I$89,3,0)*0.475*44/12</f>
        <v>16.443004157126332</v>
      </c>
      <c r="AB79" s="21">
        <f>EXP(-LN(2)/2)*AB78+(1-EXP(-LN(2)/2))/(LN(2)/2)*V79*Y79*VLOOKUP('Données projet'!$B$9,Paramètres!$A$1:$I$89,3,0)*0.475*44/12</f>
        <v>5.4170545447751396E-5</v>
      </c>
      <c r="AC79" s="22">
        <f t="shared" si="57"/>
        <v>42.874325617842779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3.1</v>
      </c>
      <c r="AI79" s="13">
        <f>IF('Données projet'!$A$62&gt;35,AI78+AH79-AQ78,IF(A79&lt;'Données projet'!$A$62,$AF$205^A79,IF(A79='Données projet'!$A$62,'Données projet'!$B$62,AI78+AH79-AQ78)))</f>
        <v>271.59999999999997</v>
      </c>
      <c r="AJ79" s="13">
        <f>AI79*VLOOKUP('Données projet'!$B$10,Paramètres!$A$1:$I$89,3,0)*VLOOKUP('Données projet'!$B$10,Paramètres!$A$1:$I$89,5,0)</f>
        <v>220.32192000000001</v>
      </c>
      <c r="AK79" s="13">
        <f t="shared" si="89"/>
        <v>54.18484748666976</v>
      </c>
      <c r="AL79" s="20">
        <f t="shared" si="58"/>
        <v>478.09928670594991</v>
      </c>
      <c r="AM79" s="59">
        <f t="shared" si="59"/>
        <v>771.43262003928317</v>
      </c>
      <c r="AN79" s="59">
        <f ca="1">AVERAGE(OFFSET($AM$3,0,0,'Données projet'!$E$10+1,1))-AVERAGE(OFFSET($H$3,0,0,'Données projet'!$E$10+1,1))</f>
        <v>235.31102883830971</v>
      </c>
      <c r="AO79" s="59">
        <f t="shared" si="90"/>
        <v>271.48630853790422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0</v>
      </c>
      <c r="AV79" s="21">
        <f>EXP(-LN(2)/25)*AV78+(1-EXP(-LN(2)/25))/(LN(2)/25)*Calculateur!AQ79*Calculateur!AS79*VLOOKUP('Données projet'!$B$10,Paramètres!$A$1:$I$89,3,0)*0.475*44/12</f>
        <v>2.3760162333919985</v>
      </c>
      <c r="AW79" s="21">
        <f>EXP(-LN(2)/2)*AW78+(1-EXP(-LN(2)/2))/(LN(2)/2)*AQ79*AT79*VLOOKUP('Données projet'!$B$10,Paramètres!$A$1:$I$89,3,0)*0.475*44/12</f>
        <v>1.3080321958192486E-6</v>
      </c>
      <c r="AX79" s="21">
        <f t="shared" si="60"/>
        <v>2.3760175414241944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4.8</v>
      </c>
      <c r="BD79" s="12">
        <f>IF('Données projet'!$A$88&gt;35,BD78+BC79-BL78,IF(A79&lt;'Données projet'!$A$88,$BA$205^A79,IF(A79='Données projet'!$A$88,'Données projet'!$B$88,BD78+BC79-BL78)))</f>
        <v>186.79999999999993</v>
      </c>
      <c r="BE79" s="13">
        <f>BD79*VLOOKUP('Données projet'!$B$11,Paramètres!$A$1:$I$89,3,0)*VLOOKUP('Données projet'!$B$11,Paramètres!$A$1:$I$89,5,0)</f>
        <v>212.72783999999993</v>
      </c>
      <c r="BF79" s="13">
        <f t="shared" si="91"/>
        <v>52.53123887963983</v>
      </c>
      <c r="BG79" s="20">
        <f t="shared" si="61"/>
        <v>461.99289571537264</v>
      </c>
      <c r="BH79" s="59">
        <f t="shared" si="62"/>
        <v>755.32622904870595</v>
      </c>
      <c r="BI79" s="59">
        <f ca="1">AVERAGE(OFFSET($BH$3,0,0,'Données projet'!$E$11+1,1))-AVERAGE(OFFSET($H$3,0,0,'Données projet'!$E$11+1,1))</f>
        <v>249.01678065306629</v>
      </c>
      <c r="BJ79" s="59">
        <f t="shared" si="92"/>
        <v>99.639724892155641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0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>
        <f>BY79*VLOOKUP('Données projet'!$B$12,Paramètres!$A$1:$I$89,3,0)*VLOOKUP('Données projet'!$B$12,Paramètres!$A$1:$I$89,5,0)</f>
        <v>0</v>
      </c>
      <c r="CA79" s="13" t="e">
        <f t="shared" si="93"/>
        <v>#NUM!</v>
      </c>
      <c r="CB79" s="20" t="e">
        <f t="shared" si="64"/>
        <v>#NUM!</v>
      </c>
      <c r="CC79" s="59" t="e">
        <f t="shared" si="65"/>
        <v>#NUM!</v>
      </c>
      <c r="CD79" s="59">
        <f ca="1">AVERAGE(OFFSET($CC$3,0,0,'Données projet'!$E$12+1,1))-AVERAGE(OFFSET($H$3,0,0,'Données projet'!$E$12+1,1))</f>
        <v>0</v>
      </c>
      <c r="CE79" s="59">
        <f t="shared" si="94"/>
        <v>0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0</v>
      </c>
      <c r="CL79" s="21">
        <f>EXP(-LN(2)/25)*CL78+(1-EXP(-LN(2)/25))/(LN(2)/25)*Calculateur!CG79*Calculateur!CI79*VLOOKUP('Données projet'!$B$12,Paramètres!$A$1:$I$89,3,0)*0.475*44/12</f>
        <v>0</v>
      </c>
      <c r="CM79" s="21">
        <f>EXP(-LN(2)/2)*CM78+(1-EXP(-LN(2)/2))/(LN(2)/2)*CG79*CJ79*VLOOKUP('Données projet'!$B$12,Paramètres!$A$1:$I$89,3,0)*0.475*44/12</f>
        <v>0</v>
      </c>
      <c r="CN79" s="22">
        <f t="shared" si="66"/>
        <v>0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>
        <f>CT79*VLOOKUP('Données projet'!$B$13,Paramètres!$A$1:$I$89,3,0)*VLOOKUP('Données projet'!$B$13,Paramètres!$A$1:$I$89,5,0)</f>
        <v>0</v>
      </c>
      <c r="CV79" s="13" t="e">
        <f t="shared" si="95"/>
        <v>#NUM!</v>
      </c>
      <c r="CW79" s="20" t="e">
        <f t="shared" si="67"/>
        <v>#NUM!</v>
      </c>
      <c r="CX79" s="59" t="e">
        <f t="shared" si="68"/>
        <v>#NUM!</v>
      </c>
      <c r="CY79" s="59">
        <f ca="1">AVERAGE(OFFSET($CX$3,0,0,'Données projet'!$E$13+1,1))-AVERAGE(OFFSET($H$3,0,0,'Données projet'!$E$13+1,1))</f>
        <v>0</v>
      </c>
      <c r="CZ79" s="59">
        <f t="shared" si="96"/>
        <v>0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0</v>
      </c>
      <c r="DG79" s="21">
        <f>EXP(-LN(2)/25)*DG78+(1-EXP(-LN(2)/25))/(LN(2)/25)*Calculateur!DB79*Calculateur!DD79*VLOOKUP('Données projet'!$B$13,Paramètres!$A$1:$I$89,3,0)*0.475*44/12</f>
        <v>0</v>
      </c>
      <c r="DH79" s="21">
        <f>EXP(-LN(2)/2)*DH78+(1-EXP(-LN(2)/2))/(LN(2)/2)*DB79*DE79*VLOOKUP('Données projet'!$B$13,Paramètres!$A$1:$I$89,3,0)*0.475*44/12</f>
        <v>0</v>
      </c>
      <c r="DI79" s="22">
        <f t="shared" si="69"/>
        <v>0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-2.2737367544323206E-13</v>
      </c>
      <c r="O80" s="13">
        <f>N80*VLOOKUP('Données projet'!$B$9,Paramètres!$A$1:$I$89,3,0)*VLOOKUP('Données projet'!$B$9,Paramètres!$A$1:$I$89,5,0)</f>
        <v>-1.3596945791505279E-13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181.92766225683107</v>
      </c>
      <c r="T80" s="59">
        <f t="shared" si="88"/>
        <v>370.52917139565756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25.912966260091935</v>
      </c>
      <c r="AA80" s="21">
        <f>EXP(-LN(2)/25)*AA79+(1-EXP(-LN(2)/25))/(LN(2)/25)*Calculateur!V80*Calculateur!X80*VLOOKUP('Données projet'!$B$9,Paramètres!$A$1:$I$89,3,0)*0.475*44/12</f>
        <v>15.993369343749704</v>
      </c>
      <c r="AB80" s="21">
        <f>EXP(-LN(2)/2)*AB79+(1-EXP(-LN(2)/2))/(LN(2)/2)*V80*Y80*VLOOKUP('Données projet'!$B$9,Paramètres!$A$1:$I$89,3,0)*0.475*44/12</f>
        <v>3.8304360026679074E-5</v>
      </c>
      <c r="AC80" s="22">
        <f t="shared" si="57"/>
        <v>41.906373908201665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3.1</v>
      </c>
      <c r="AI80" s="13">
        <f>IF('Données projet'!$A$62&gt;35,AI79+AH80-AQ79,IF(A80&lt;'Données projet'!$A$62,$AF$205^A80,IF(A80='Données projet'!$A$62,'Données projet'!$B$62,AI79+AH80-AQ79)))</f>
        <v>274.7</v>
      </c>
      <c r="AJ80" s="13">
        <f>AI80*VLOOKUP('Données projet'!$B$10,Paramètres!$A$1:$I$89,3,0)*VLOOKUP('Données projet'!$B$10,Paramètres!$A$1:$I$89,5,0)</f>
        <v>222.83663999999999</v>
      </c>
      <c r="AK80" s="13">
        <f t="shared" si="89"/>
        <v>54.730954957867816</v>
      </c>
      <c r="AL80" s="20">
        <f t="shared" si="58"/>
        <v>483.43022788495313</v>
      </c>
      <c r="AM80" s="59">
        <f t="shared" si="59"/>
        <v>776.76356121828644</v>
      </c>
      <c r="AN80" s="59">
        <f ca="1">AVERAGE(OFFSET($AM$3,0,0,'Données projet'!$E$10+1,1))-AVERAGE(OFFSET($H$3,0,0,'Données projet'!$E$10+1,1))</f>
        <v>235.31102883830971</v>
      </c>
      <c r="AO80" s="59">
        <f t="shared" si="90"/>
        <v>271.48630853790422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0</v>
      </c>
      <c r="AV80" s="21">
        <f>EXP(-LN(2)/25)*AV79+(1-EXP(-LN(2)/25))/(LN(2)/25)*Calculateur!AQ80*Calculateur!AS80*VLOOKUP('Données projet'!$B$10,Paramètres!$A$1:$I$89,3,0)*0.475*44/12</f>
        <v>2.3110439445406312</v>
      </c>
      <c r="AW80" s="21">
        <f>EXP(-LN(2)/2)*AW79+(1-EXP(-LN(2)/2))/(LN(2)/2)*AQ80*AT80*VLOOKUP('Données projet'!$B$10,Paramètres!$A$1:$I$89,3,0)*0.475*44/12</f>
        <v>9.2491843567412079E-7</v>
      </c>
      <c r="AX80" s="21">
        <f t="shared" si="60"/>
        <v>2.3110448694590668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4.8</v>
      </c>
      <c r="BD80" s="12">
        <f>IF('Données projet'!$A$88&gt;35,BD79+BC80-BL79,IF(A80&lt;'Données projet'!$A$88,$BA$205^A80,IF(A80='Données projet'!$A$88,'Données projet'!$B$88,BD79+BC80-BL79)))</f>
        <v>191.59999999999994</v>
      </c>
      <c r="BE80" s="13">
        <f>BD80*VLOOKUP('Données projet'!$B$11,Paramètres!$A$1:$I$89,3,0)*VLOOKUP('Données projet'!$B$11,Paramètres!$A$1:$I$89,5,0)</f>
        <v>218.1940799999999</v>
      </c>
      <c r="BF80" s="13">
        <f t="shared" si="91"/>
        <v>53.722189836188157</v>
      </c>
      <c r="BG80" s="20">
        <f t="shared" si="61"/>
        <v>473.58750329802757</v>
      </c>
      <c r="BH80" s="59">
        <f t="shared" si="62"/>
        <v>766.92083663136088</v>
      </c>
      <c r="BI80" s="59">
        <f ca="1">AVERAGE(OFFSET($BH$3,0,0,'Données projet'!$E$11+1,1))-AVERAGE(OFFSET($H$3,0,0,'Données projet'!$E$11+1,1))</f>
        <v>249.01678065306629</v>
      </c>
      <c r="BJ80" s="59">
        <f t="shared" si="92"/>
        <v>99.639724892155641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0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>
        <f>BY80*VLOOKUP('Données projet'!$B$12,Paramètres!$A$1:$I$89,3,0)*VLOOKUP('Données projet'!$B$12,Paramètres!$A$1:$I$89,5,0)</f>
        <v>0</v>
      </c>
      <c r="CA80" s="13" t="e">
        <f t="shared" si="93"/>
        <v>#NUM!</v>
      </c>
      <c r="CB80" s="20" t="e">
        <f t="shared" si="64"/>
        <v>#NUM!</v>
      </c>
      <c r="CC80" s="59" t="e">
        <f t="shared" si="65"/>
        <v>#NUM!</v>
      </c>
      <c r="CD80" s="59">
        <f ca="1">AVERAGE(OFFSET($CC$3,0,0,'Données projet'!$E$12+1,1))-AVERAGE(OFFSET($H$3,0,0,'Données projet'!$E$12+1,1))</f>
        <v>0</v>
      </c>
      <c r="CE80" s="59">
        <f t="shared" si="94"/>
        <v>0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0</v>
      </c>
      <c r="CL80" s="21">
        <f>EXP(-LN(2)/25)*CL79+(1-EXP(-LN(2)/25))/(LN(2)/25)*Calculateur!CG80*Calculateur!CI80*VLOOKUP('Données projet'!$B$12,Paramètres!$A$1:$I$89,3,0)*0.475*44/12</f>
        <v>0</v>
      </c>
      <c r="CM80" s="21">
        <f>EXP(-LN(2)/2)*CM79+(1-EXP(-LN(2)/2))/(LN(2)/2)*CG80*CJ80*VLOOKUP('Données projet'!$B$12,Paramètres!$A$1:$I$89,3,0)*0.475*44/12</f>
        <v>0</v>
      </c>
      <c r="CN80" s="22">
        <f t="shared" si="66"/>
        <v>0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>
        <f>CT80*VLOOKUP('Données projet'!$B$13,Paramètres!$A$1:$I$89,3,0)*VLOOKUP('Données projet'!$B$13,Paramètres!$A$1:$I$89,5,0)</f>
        <v>0</v>
      </c>
      <c r="CV80" s="13" t="e">
        <f t="shared" si="95"/>
        <v>#NUM!</v>
      </c>
      <c r="CW80" s="20" t="e">
        <f t="shared" si="67"/>
        <v>#NUM!</v>
      </c>
      <c r="CX80" s="59" t="e">
        <f t="shared" si="68"/>
        <v>#NUM!</v>
      </c>
      <c r="CY80" s="59">
        <f ca="1">AVERAGE(OFFSET($CX$3,0,0,'Données projet'!$E$13+1,1))-AVERAGE(OFFSET($H$3,0,0,'Données projet'!$E$13+1,1))</f>
        <v>0</v>
      </c>
      <c r="CZ80" s="59">
        <f t="shared" si="96"/>
        <v>0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0</v>
      </c>
      <c r="DG80" s="21">
        <f>EXP(-LN(2)/25)*DG79+(1-EXP(-LN(2)/25))/(LN(2)/25)*Calculateur!DB80*Calculateur!DD80*VLOOKUP('Données projet'!$B$13,Paramètres!$A$1:$I$89,3,0)*0.475*44/12</f>
        <v>0</v>
      </c>
      <c r="DH80" s="21">
        <f>EXP(-LN(2)/2)*DH79+(1-EXP(-LN(2)/2))/(LN(2)/2)*DB80*DE80*VLOOKUP('Données projet'!$B$13,Paramètres!$A$1:$I$89,3,0)*0.475*44/12</f>
        <v>0</v>
      </c>
      <c r="DI80" s="22">
        <f t="shared" si="69"/>
        <v>0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-2.2737367544323206E-13</v>
      </c>
      <c r="O81" s="13">
        <f>N81*VLOOKUP('Données projet'!$B$9,Paramètres!$A$1:$I$89,3,0)*VLOOKUP('Données projet'!$B$9,Paramètres!$A$1:$I$89,5,0)</f>
        <v>-1.3596945791505279E-13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181.92766225683107</v>
      </c>
      <c r="T81" s="59">
        <f t="shared" si="88"/>
        <v>370.52917139565756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25.404828797080302</v>
      </c>
      <c r="AA81" s="21">
        <f>EXP(-LN(2)/25)*AA80+(1-EXP(-LN(2)/25))/(LN(2)/25)*Calculateur!V81*Calculateur!X81*VLOOKUP('Données projet'!$B$9,Paramètres!$A$1:$I$89,3,0)*0.475*44/12</f>
        <v>15.556029817990128</v>
      </c>
      <c r="AB81" s="21">
        <f>EXP(-LN(2)/2)*AB80+(1-EXP(-LN(2)/2))/(LN(2)/2)*V81*Y81*VLOOKUP('Données projet'!$B$9,Paramètres!$A$1:$I$89,3,0)*0.475*44/12</f>
        <v>2.7085272723875698E-5</v>
      </c>
      <c r="AC81" s="22">
        <f t="shared" si="57"/>
        <v>40.960885700343155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3.1</v>
      </c>
      <c r="AI81" s="13">
        <f>IF('Données projet'!$A$62&gt;35,AI80+AH81-AQ80,IF(A81&lt;'Données projet'!$A$62,$AF$205^A81,IF(A81='Données projet'!$A$62,'Données projet'!$B$62,AI80+AH81-AQ80)))</f>
        <v>277.8</v>
      </c>
      <c r="AJ81" s="13">
        <f>AI81*VLOOKUP('Données projet'!$B$10,Paramètres!$A$1:$I$89,3,0)*VLOOKUP('Données projet'!$B$10,Paramètres!$A$1:$I$89,5,0)</f>
        <v>225.35136000000003</v>
      </c>
      <c r="AK81" s="13">
        <f t="shared" si="89"/>
        <v>55.276345528913524</v>
      </c>
      <c r="AL81" s="20">
        <f t="shared" si="58"/>
        <v>488.75992046285774</v>
      </c>
      <c r="AM81" s="59">
        <f t="shared" si="59"/>
        <v>782.09325379619099</v>
      </c>
      <c r="AN81" s="59">
        <f ca="1">AVERAGE(OFFSET($AM$3,0,0,'Données projet'!$E$10+1,1))-AVERAGE(OFFSET($H$3,0,0,'Données projet'!$E$10+1,1))</f>
        <v>235.31102883830971</v>
      </c>
      <c r="AO81" s="59">
        <f t="shared" si="90"/>
        <v>271.48630853790422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0</v>
      </c>
      <c r="AV81" s="21">
        <f>EXP(-LN(2)/25)*AV80+(1-EXP(-LN(2)/25))/(LN(2)/25)*Calculateur!AQ81*Calculateur!AS81*VLOOKUP('Données projet'!$B$10,Paramètres!$A$1:$I$89,3,0)*0.475*44/12</f>
        <v>2.2478483263446485</v>
      </c>
      <c r="AW81" s="21">
        <f>EXP(-LN(2)/2)*AW80+(1-EXP(-LN(2)/2))/(LN(2)/2)*AQ81*AT81*VLOOKUP('Données projet'!$B$10,Paramètres!$A$1:$I$89,3,0)*0.475*44/12</f>
        <v>6.540160979096244E-7</v>
      </c>
      <c r="AX81" s="21">
        <f t="shared" si="60"/>
        <v>2.2478489803607462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4.8</v>
      </c>
      <c r="BD81" s="12">
        <f>IF('Données projet'!$A$88&gt;35,BD80+BC81-BL80,IF(A81&lt;'Données projet'!$A$88,$BA$205^A81,IF(A81='Données projet'!$A$88,'Données projet'!$B$88,BD80+BC81-BL80)))</f>
        <v>196.39999999999995</v>
      </c>
      <c r="BE81" s="13">
        <f>BD81*VLOOKUP('Données projet'!$B$11,Paramètres!$A$1:$I$89,3,0)*VLOOKUP('Données projet'!$B$11,Paramètres!$A$1:$I$89,5,0)</f>
        <v>223.66031999999993</v>
      </c>
      <c r="BF81" s="13">
        <f t="shared" si="91"/>
        <v>54.909672565546835</v>
      </c>
      <c r="BG81" s="20">
        <f t="shared" si="61"/>
        <v>485.17607038499403</v>
      </c>
      <c r="BH81" s="59">
        <f t="shared" si="62"/>
        <v>778.50940371832735</v>
      </c>
      <c r="BI81" s="59">
        <f ca="1">AVERAGE(OFFSET($BH$3,0,0,'Données projet'!$E$11+1,1))-AVERAGE(OFFSET($H$3,0,0,'Données projet'!$E$11+1,1))</f>
        <v>249.01678065306629</v>
      </c>
      <c r="BJ81" s="59">
        <f t="shared" si="92"/>
        <v>99.639724892155641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0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>
        <f>BY81*VLOOKUP('Données projet'!$B$12,Paramètres!$A$1:$I$89,3,0)*VLOOKUP('Données projet'!$B$12,Paramètres!$A$1:$I$89,5,0)</f>
        <v>0</v>
      </c>
      <c r="CA81" s="13" t="e">
        <f t="shared" si="93"/>
        <v>#NUM!</v>
      </c>
      <c r="CB81" s="20" t="e">
        <f t="shared" si="64"/>
        <v>#NUM!</v>
      </c>
      <c r="CC81" s="59" t="e">
        <f t="shared" si="65"/>
        <v>#NUM!</v>
      </c>
      <c r="CD81" s="59">
        <f ca="1">AVERAGE(OFFSET($CC$3,0,0,'Données projet'!$E$12+1,1))-AVERAGE(OFFSET($H$3,0,0,'Données projet'!$E$12+1,1))</f>
        <v>0</v>
      </c>
      <c r="CE81" s="59">
        <f t="shared" si="94"/>
        <v>0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0</v>
      </c>
      <c r="CL81" s="21">
        <f>EXP(-LN(2)/25)*CL80+(1-EXP(-LN(2)/25))/(LN(2)/25)*Calculateur!CG81*Calculateur!CI81*VLOOKUP('Données projet'!$B$12,Paramètres!$A$1:$I$89,3,0)*0.475*44/12</f>
        <v>0</v>
      </c>
      <c r="CM81" s="21">
        <f>EXP(-LN(2)/2)*CM80+(1-EXP(-LN(2)/2))/(LN(2)/2)*CG81*CJ81*VLOOKUP('Données projet'!$B$12,Paramètres!$A$1:$I$89,3,0)*0.475*44/12</f>
        <v>0</v>
      </c>
      <c r="CN81" s="22">
        <f t="shared" si="66"/>
        <v>0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>
        <f>CT81*VLOOKUP('Données projet'!$B$13,Paramètres!$A$1:$I$89,3,0)*VLOOKUP('Données projet'!$B$13,Paramètres!$A$1:$I$89,5,0)</f>
        <v>0</v>
      </c>
      <c r="CV81" s="13" t="e">
        <f t="shared" si="95"/>
        <v>#NUM!</v>
      </c>
      <c r="CW81" s="20" t="e">
        <f t="shared" si="67"/>
        <v>#NUM!</v>
      </c>
      <c r="CX81" s="59" t="e">
        <f t="shared" si="68"/>
        <v>#NUM!</v>
      </c>
      <c r="CY81" s="59">
        <f ca="1">AVERAGE(OFFSET($CX$3,0,0,'Données projet'!$E$13+1,1))-AVERAGE(OFFSET($H$3,0,0,'Données projet'!$E$13+1,1))</f>
        <v>0</v>
      </c>
      <c r="CZ81" s="59">
        <f t="shared" si="96"/>
        <v>0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0</v>
      </c>
      <c r="DG81" s="21">
        <f>EXP(-LN(2)/25)*DG80+(1-EXP(-LN(2)/25))/(LN(2)/25)*Calculateur!DB81*Calculateur!DD81*VLOOKUP('Données projet'!$B$13,Paramètres!$A$1:$I$89,3,0)*0.475*44/12</f>
        <v>0</v>
      </c>
      <c r="DH81" s="21">
        <f>EXP(-LN(2)/2)*DH80+(1-EXP(-LN(2)/2))/(LN(2)/2)*DB81*DE81*VLOOKUP('Données projet'!$B$13,Paramètres!$A$1:$I$89,3,0)*0.475*44/12</f>
        <v>0</v>
      </c>
      <c r="DI81" s="22">
        <f t="shared" si="69"/>
        <v>0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-2.2737367544323206E-13</v>
      </c>
      <c r="O82" s="13">
        <f>N82*VLOOKUP('Données projet'!$B$9,Paramètres!$A$1:$I$89,3,0)*VLOOKUP('Données projet'!$B$9,Paramètres!$A$1:$I$89,5,0)</f>
        <v>-1.3596945791505279E-13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181.92766225683107</v>
      </c>
      <c r="T82" s="59">
        <f t="shared" si="88"/>
        <v>370.52917139565756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24.906655599785079</v>
      </c>
      <c r="AA82" s="21">
        <f>EXP(-LN(2)/25)*AA81+(1-EXP(-LN(2)/25))/(LN(2)/25)*Calculateur!V82*Calculateur!X82*VLOOKUP('Données projet'!$B$9,Paramètres!$A$1:$I$89,3,0)*0.475*44/12</f>
        <v>15.130649364561133</v>
      </c>
      <c r="AB82" s="21">
        <f>EXP(-LN(2)/2)*AB81+(1-EXP(-LN(2)/2))/(LN(2)/2)*V82*Y82*VLOOKUP('Données projet'!$B$9,Paramètres!$A$1:$I$89,3,0)*0.475*44/12</f>
        <v>1.9152180013339537E-5</v>
      </c>
      <c r="AC82" s="22">
        <f t="shared" si="57"/>
        <v>40.037324116526229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3.1</v>
      </c>
      <c r="AI82" s="13">
        <f>IF('Données projet'!$A$62&gt;35,AI81+AH82-AQ81,IF(A82&lt;'Données projet'!$A$62,$AF$205^A82,IF(A82='Données projet'!$A$62,'Données projet'!$B$62,AI81+AH82-AQ81)))</f>
        <v>280.90000000000003</v>
      </c>
      <c r="AJ82" s="13">
        <f>AI82*VLOOKUP('Données projet'!$B$10,Paramètres!$A$1:$I$89,3,0)*VLOOKUP('Données projet'!$B$10,Paramètres!$A$1:$I$89,5,0)</f>
        <v>227.86608000000004</v>
      </c>
      <c r="AK82" s="13">
        <f t="shared" si="89"/>
        <v>55.82102812554308</v>
      </c>
      <c r="AL82" s="20">
        <f t="shared" si="58"/>
        <v>494.08837998532084</v>
      </c>
      <c r="AM82" s="59">
        <f t="shared" si="59"/>
        <v>787.42171331865416</v>
      </c>
      <c r="AN82" s="59">
        <f ca="1">AVERAGE(OFFSET($AM$3,0,0,'Données projet'!$E$10+1,1))-AVERAGE(OFFSET($H$3,0,0,'Données projet'!$E$10+1,1))</f>
        <v>235.31102883830971</v>
      </c>
      <c r="AO82" s="59">
        <f t="shared" si="90"/>
        <v>271.48630853790422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0</v>
      </c>
      <c r="AV82" s="21">
        <f>EXP(-LN(2)/25)*AV81+(1-EXP(-LN(2)/25))/(LN(2)/25)*Calculateur!AQ82*Calculateur!AS82*VLOOKUP('Données projet'!$B$10,Paramètres!$A$1:$I$89,3,0)*0.475*44/12</f>
        <v>2.186380795651548</v>
      </c>
      <c r="AW82" s="21">
        <f>EXP(-LN(2)/2)*AW81+(1-EXP(-LN(2)/2))/(LN(2)/2)*AQ82*AT82*VLOOKUP('Données projet'!$B$10,Paramètres!$A$1:$I$89,3,0)*0.475*44/12</f>
        <v>4.6245921783706045E-7</v>
      </c>
      <c r="AX82" s="21">
        <f t="shared" si="60"/>
        <v>2.186381258110766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4.8</v>
      </c>
      <c r="BD82" s="12">
        <f>IF('Données projet'!$A$88&gt;35,BD81+BC82-BL81,IF(A82&lt;'Données projet'!$A$88,$BA$205^A82,IF(A82='Données projet'!$A$88,'Données projet'!$B$88,BD81+BC82-BL81)))</f>
        <v>201.19999999999996</v>
      </c>
      <c r="BE82" s="13">
        <f>BD82*VLOOKUP('Données projet'!$B$11,Paramètres!$A$1:$I$89,3,0)*VLOOKUP('Données projet'!$B$11,Paramètres!$A$1:$I$89,5,0)</f>
        <v>229.12655999999998</v>
      </c>
      <c r="BF82" s="13">
        <f t="shared" si="91"/>
        <v>56.093781581896756</v>
      </c>
      <c r="BG82" s="20">
        <f t="shared" si="61"/>
        <v>496.75876158847001</v>
      </c>
      <c r="BH82" s="59">
        <f t="shared" si="62"/>
        <v>790.09209492180332</v>
      </c>
      <c r="BI82" s="59">
        <f ca="1">AVERAGE(OFFSET($BH$3,0,0,'Données projet'!$E$11+1,1))-AVERAGE(OFFSET($H$3,0,0,'Données projet'!$E$11+1,1))</f>
        <v>249.01678065306629</v>
      </c>
      <c r="BJ82" s="59">
        <f t="shared" si="92"/>
        <v>99.639724892155641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0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>
        <f>BY82*VLOOKUP('Données projet'!$B$12,Paramètres!$A$1:$I$89,3,0)*VLOOKUP('Données projet'!$B$12,Paramètres!$A$1:$I$89,5,0)</f>
        <v>0</v>
      </c>
      <c r="CA82" s="13" t="e">
        <f t="shared" si="93"/>
        <v>#NUM!</v>
      </c>
      <c r="CB82" s="20" t="e">
        <f t="shared" si="64"/>
        <v>#NUM!</v>
      </c>
      <c r="CC82" s="59" t="e">
        <f t="shared" si="65"/>
        <v>#NUM!</v>
      </c>
      <c r="CD82" s="59">
        <f ca="1">AVERAGE(OFFSET($CC$3,0,0,'Données projet'!$E$12+1,1))-AVERAGE(OFFSET($H$3,0,0,'Données projet'!$E$12+1,1))</f>
        <v>0</v>
      </c>
      <c r="CE82" s="59">
        <f t="shared" si="94"/>
        <v>0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0</v>
      </c>
      <c r="CL82" s="21">
        <f>EXP(-LN(2)/25)*CL81+(1-EXP(-LN(2)/25))/(LN(2)/25)*Calculateur!CG82*Calculateur!CI82*VLOOKUP('Données projet'!$B$12,Paramètres!$A$1:$I$89,3,0)*0.475*44/12</f>
        <v>0</v>
      </c>
      <c r="CM82" s="21">
        <f>EXP(-LN(2)/2)*CM81+(1-EXP(-LN(2)/2))/(LN(2)/2)*CG82*CJ82*VLOOKUP('Données projet'!$B$12,Paramètres!$A$1:$I$89,3,0)*0.475*44/12</f>
        <v>0</v>
      </c>
      <c r="CN82" s="22">
        <f t="shared" si="66"/>
        <v>0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>
        <f>CT82*VLOOKUP('Données projet'!$B$13,Paramètres!$A$1:$I$89,3,0)*VLOOKUP('Données projet'!$B$13,Paramètres!$A$1:$I$89,5,0)</f>
        <v>0</v>
      </c>
      <c r="CV82" s="13" t="e">
        <f t="shared" si="95"/>
        <v>#NUM!</v>
      </c>
      <c r="CW82" s="20" t="e">
        <f t="shared" si="67"/>
        <v>#NUM!</v>
      </c>
      <c r="CX82" s="59" t="e">
        <f t="shared" si="68"/>
        <v>#NUM!</v>
      </c>
      <c r="CY82" s="59">
        <f ca="1">AVERAGE(OFFSET($CX$3,0,0,'Données projet'!$E$13+1,1))-AVERAGE(OFFSET($H$3,0,0,'Données projet'!$E$13+1,1))</f>
        <v>0</v>
      </c>
      <c r="CZ82" s="59">
        <f t="shared" si="96"/>
        <v>0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0</v>
      </c>
      <c r="DG82" s="21">
        <f>EXP(-LN(2)/25)*DG81+(1-EXP(-LN(2)/25))/(LN(2)/25)*Calculateur!DB82*Calculateur!DD82*VLOOKUP('Données projet'!$B$13,Paramètres!$A$1:$I$89,3,0)*0.475*44/12</f>
        <v>0</v>
      </c>
      <c r="DH82" s="21">
        <f>EXP(-LN(2)/2)*DH81+(1-EXP(-LN(2)/2))/(LN(2)/2)*DB82*DE82*VLOOKUP('Données projet'!$B$13,Paramètres!$A$1:$I$89,3,0)*0.475*44/12</f>
        <v>0</v>
      </c>
      <c r="DI82" s="22">
        <f t="shared" si="69"/>
        <v>0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-2.2737367544323206E-13</v>
      </c>
      <c r="O83" s="13">
        <f>N83*VLOOKUP('Données projet'!$B$9,Paramètres!$A$1:$I$89,3,0)*VLOOKUP('Données projet'!$B$9,Paramètres!$A$1:$I$89,5,0)</f>
        <v>-1.3596945791505279E-13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181.92766225683107</v>
      </c>
      <c r="T83" s="59">
        <f t="shared" si="88"/>
        <v>370.52917139565756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24.418251275033168</v>
      </c>
      <c r="AA83" s="21">
        <f>EXP(-LN(2)/25)*AA82+(1-EXP(-LN(2)/25))/(LN(2)/25)*Calculateur!V83*Calculateur!X83*VLOOKUP('Données projet'!$B$9,Paramètres!$A$1:$I$89,3,0)*0.475*44/12</f>
        <v>14.71690096200094</v>
      </c>
      <c r="AB83" s="21">
        <f>EXP(-LN(2)/2)*AB82+(1-EXP(-LN(2)/2))/(LN(2)/2)*V83*Y83*VLOOKUP('Données projet'!$B$9,Paramètres!$A$1:$I$89,3,0)*0.475*44/12</f>
        <v>1.3542636361937849E-5</v>
      </c>
      <c r="AC83" s="22">
        <f t="shared" si="57"/>
        <v>39.135165779670466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284</v>
      </c>
      <c r="AG83" s="12">
        <f>VLOOKUP(A83,'Données projet'!$A$61:$I$81,9,0)</f>
        <v>3.1</v>
      </c>
      <c r="AH83" s="12">
        <f t="array" ref="AH83">INDEX(AG:AG,MIN(IF(ISNUMBER(AG83:AG279),ROW(AG83:AG279),"")))</f>
        <v>3.1</v>
      </c>
      <c r="AI83" s="13">
        <f>IF('Données projet'!$A$62&gt;35,AI82+AH83-AQ82,IF(A83&lt;'Données projet'!$A$62,$AF$205^A83,IF(A83='Données projet'!$A$62,'Données projet'!$B$62,AI82+AH83-AQ82)))</f>
        <v>284.00000000000006</v>
      </c>
      <c r="AJ83" s="13">
        <f>AI83*VLOOKUP('Données projet'!$B$10,Paramètres!$A$1:$I$89,3,0)*VLOOKUP('Données projet'!$B$10,Paramètres!$A$1:$I$89,5,0)</f>
        <v>230.38080000000005</v>
      </c>
      <c r="AK83" s="13">
        <f t="shared" si="89"/>
        <v>56.365011465139979</v>
      </c>
      <c r="AL83" s="20">
        <f t="shared" si="58"/>
        <v>499.4156216351189</v>
      </c>
      <c r="AM83" s="59">
        <f t="shared" si="59"/>
        <v>792.74895496845215</v>
      </c>
      <c r="AN83" s="59">
        <f ca="1">AVERAGE(OFFSET($AM$3,0,0,'Données projet'!$E$10+1,1))-AVERAGE(OFFSET($H$3,0,0,'Données projet'!$E$10+1,1))</f>
        <v>235.31102883830971</v>
      </c>
      <c r="AO83" s="59">
        <f t="shared" si="90"/>
        <v>271.48630853790422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284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0</v>
      </c>
      <c r="AV83" s="21">
        <f>EXP(-LN(2)/25)*AV82+(1-EXP(-LN(2)/25))/(LN(2)/25)*Calculateur!AQ83*Calculateur!AS83*VLOOKUP('Données projet'!$B$10,Paramètres!$A$1:$I$89,3,0)*0.475*44/12</f>
        <v>2.1265940978176876</v>
      </c>
      <c r="AW83" s="21">
        <f>EXP(-LN(2)/2)*AW82+(1-EXP(-LN(2)/2))/(LN(2)/2)*AQ83*AT83*VLOOKUP('Données projet'!$B$10,Paramètres!$A$1:$I$89,3,0)*0.475*44/12</f>
        <v>3.2700804895481225E-7</v>
      </c>
      <c r="AX83" s="21">
        <f t="shared" si="60"/>
        <v>2.1265944248257367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206</v>
      </c>
      <c r="BB83" s="12">
        <f>VLOOKUP(A83,'Données projet'!$A$87:$I$107,9,0)</f>
        <v>4.8</v>
      </c>
      <c r="BC83" s="12">
        <f t="array" ref="BC83">INDEX(BB:BB,MIN(IF(ISNUMBER(BB83:BB279),ROW(BB83:BB279),"")))</f>
        <v>4.8</v>
      </c>
      <c r="BD83" s="12">
        <f>IF('Données projet'!$A$88&gt;35,BD82+BC83-BL82,IF(A83&lt;'Données projet'!$A$88,$BA$205^A83,IF(A83='Données projet'!$A$88,'Données projet'!$B$88,BD82+BC83-BL82)))</f>
        <v>205.99999999999997</v>
      </c>
      <c r="BE83" s="13">
        <f>BD83*VLOOKUP('Données projet'!$B$11,Paramètres!$A$1:$I$89,3,0)*VLOOKUP('Données projet'!$B$11,Paramètres!$A$1:$I$89,5,0)</f>
        <v>234.59279999999995</v>
      </c>
      <c r="BF83" s="13">
        <f t="shared" si="91"/>
        <v>57.274606632593994</v>
      </c>
      <c r="BG83" s="20">
        <f t="shared" si="61"/>
        <v>508.33573321843437</v>
      </c>
      <c r="BH83" s="59">
        <f t="shared" si="62"/>
        <v>801.66906655176763</v>
      </c>
      <c r="BI83" s="59">
        <f ca="1">AVERAGE(OFFSET($BH$3,0,0,'Données projet'!$E$11+1,1))-AVERAGE(OFFSET($H$3,0,0,'Données projet'!$E$11+1,1))</f>
        <v>249.01678065306629</v>
      </c>
      <c r="BJ83" s="59">
        <f t="shared" si="92"/>
        <v>99.639724892155641</v>
      </c>
      <c r="BK83" s="15">
        <f>IF(ISNA(VLOOKUP(A83,'Données projet'!$A$87:$I$107,3,0)),0,VLOOKUP(A83,'Données projet'!$A$87:$I$107,3,0))</f>
        <v>5</v>
      </c>
      <c r="BL83" s="21">
        <f>IF(ISNA(VLOOKUP(A83,'Données projet'!$A$87:$I$107,4,0)),0,VLOOKUP(A83,'Données projet'!$A$87:$I$107,4,0))</f>
        <v>28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0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>
        <f>BY83*VLOOKUP('Données projet'!$B$12,Paramètres!$A$1:$I$89,3,0)*VLOOKUP('Données projet'!$B$12,Paramètres!$A$1:$I$89,5,0)</f>
        <v>0</v>
      </c>
      <c r="CA83" s="13" t="e">
        <f t="shared" si="93"/>
        <v>#NUM!</v>
      </c>
      <c r="CB83" s="20" t="e">
        <f t="shared" si="64"/>
        <v>#NUM!</v>
      </c>
      <c r="CC83" s="59" t="e">
        <f t="shared" si="65"/>
        <v>#NUM!</v>
      </c>
      <c r="CD83" s="59">
        <f ca="1">AVERAGE(OFFSET($CC$3,0,0,'Données projet'!$E$12+1,1))-AVERAGE(OFFSET($H$3,0,0,'Données projet'!$E$12+1,1))</f>
        <v>0</v>
      </c>
      <c r="CE83" s="59">
        <f t="shared" si="94"/>
        <v>0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0</v>
      </c>
      <c r="CL83" s="21">
        <f>EXP(-LN(2)/25)*CL82+(1-EXP(-LN(2)/25))/(LN(2)/25)*Calculateur!CG83*Calculateur!CI83*VLOOKUP('Données projet'!$B$12,Paramètres!$A$1:$I$89,3,0)*0.475*44/12</f>
        <v>0</v>
      </c>
      <c r="CM83" s="21">
        <f>EXP(-LN(2)/2)*CM82+(1-EXP(-LN(2)/2))/(LN(2)/2)*CG83*CJ83*VLOOKUP('Données projet'!$B$12,Paramètres!$A$1:$I$89,3,0)*0.475*44/12</f>
        <v>0</v>
      </c>
      <c r="CN83" s="22">
        <f t="shared" si="66"/>
        <v>0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>
        <f>CT83*VLOOKUP('Données projet'!$B$13,Paramètres!$A$1:$I$89,3,0)*VLOOKUP('Données projet'!$B$13,Paramètres!$A$1:$I$89,5,0)</f>
        <v>0</v>
      </c>
      <c r="CV83" s="13" t="e">
        <f t="shared" si="95"/>
        <v>#NUM!</v>
      </c>
      <c r="CW83" s="20" t="e">
        <f t="shared" si="67"/>
        <v>#NUM!</v>
      </c>
      <c r="CX83" s="59" t="e">
        <f t="shared" si="68"/>
        <v>#NUM!</v>
      </c>
      <c r="CY83" s="59">
        <f ca="1">AVERAGE(OFFSET($CX$3,0,0,'Données projet'!$E$13+1,1))-AVERAGE(OFFSET($H$3,0,0,'Données projet'!$E$13+1,1))</f>
        <v>0</v>
      </c>
      <c r="CZ83" s="59">
        <f t="shared" si="96"/>
        <v>0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0</v>
      </c>
      <c r="DG83" s="21">
        <f>EXP(-LN(2)/25)*DG82+(1-EXP(-LN(2)/25))/(LN(2)/25)*Calculateur!DB83*Calculateur!DD83*VLOOKUP('Données projet'!$B$13,Paramètres!$A$1:$I$89,3,0)*0.475*44/12</f>
        <v>0</v>
      </c>
      <c r="DH83" s="21">
        <f>EXP(-LN(2)/2)*DH82+(1-EXP(-LN(2)/2))/(LN(2)/2)*DB83*DE83*VLOOKUP('Données projet'!$B$13,Paramètres!$A$1:$I$89,3,0)*0.475*44/12</f>
        <v>0</v>
      </c>
      <c r="DI83" s="22">
        <f t="shared" si="69"/>
        <v>0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-2.2737367544323206E-13</v>
      </c>
      <c r="O84" s="13">
        <f>N84*VLOOKUP('Données projet'!$B$9,Paramètres!$A$1:$I$89,3,0)*VLOOKUP('Données projet'!$B$9,Paramètres!$A$1:$I$89,5,0)</f>
        <v>-1.3596945791505279E-13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181.92766225683107</v>
      </c>
      <c r="T84" s="59">
        <f t="shared" si="88"/>
        <v>370.52917139565756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23.939424261192418</v>
      </c>
      <c r="AA84" s="21">
        <f>EXP(-LN(2)/25)*AA83+(1-EXP(-LN(2)/25))/(LN(2)/25)*Calculateur!V84*Calculateur!X84*VLOOKUP('Données projet'!$B$9,Paramètres!$A$1:$I$89,3,0)*0.475*44/12</f>
        <v>14.314466531266838</v>
      </c>
      <c r="AB84" s="21">
        <f>EXP(-LN(2)/2)*AB83+(1-EXP(-LN(2)/2))/(LN(2)/2)*V84*Y84*VLOOKUP('Données projet'!$B$9,Paramètres!$A$1:$I$89,3,0)*0.475*44/12</f>
        <v>9.5760900066697685E-6</v>
      </c>
      <c r="AC84" s="22">
        <f t="shared" si="57"/>
        <v>38.253900368549267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5.6843418860808015E-14</v>
      </c>
      <c r="AJ84" s="13">
        <f>AI84*VLOOKUP('Données projet'!$B$10,Paramètres!$A$1:$I$89,3,0)*VLOOKUP('Données projet'!$B$10,Paramètres!$A$1:$I$89,5,0)</f>
        <v>4.6111381379887463E-14</v>
      </c>
      <c r="AK84" s="13">
        <f t="shared" si="89"/>
        <v>7.5804141040779151E-13</v>
      </c>
      <c r="AL84" s="20">
        <f t="shared" si="58"/>
        <v>1.4005661123635408E-12</v>
      </c>
      <c r="AM84" s="59">
        <f t="shared" si="59"/>
        <v>293.33333333333474</v>
      </c>
      <c r="AN84" s="59">
        <f ca="1">AVERAGE(OFFSET($AM$3,0,0,'Données projet'!$E$10+1,1))-AVERAGE(OFFSET($H$3,0,0,'Données projet'!$E$10+1,1))</f>
        <v>235.31102883830971</v>
      </c>
      <c r="AO84" s="59">
        <f t="shared" si="90"/>
        <v>271.48630853790422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0</v>
      </c>
      <c r="AV84" s="21">
        <f>EXP(-LN(2)/25)*AV83+(1-EXP(-LN(2)/25))/(LN(2)/25)*Calculateur!AQ84*Calculateur!AS84*VLOOKUP('Données projet'!$B$10,Paramètres!$A$1:$I$89,3,0)*0.475*44/12</f>
        <v>2.0684422703801397</v>
      </c>
      <c r="AW84" s="21">
        <f>EXP(-LN(2)/2)*AW83+(1-EXP(-LN(2)/2))/(LN(2)/2)*AQ84*AT84*VLOOKUP('Données projet'!$B$10,Paramètres!$A$1:$I$89,3,0)*0.475*44/12</f>
        <v>2.3122960891853025E-7</v>
      </c>
      <c r="AX84" s="21">
        <f t="shared" si="60"/>
        <v>2.0684425016097485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4.3</v>
      </c>
      <c r="BD84" s="12">
        <f>IF('Données projet'!$A$88&gt;35,BD83+BC84-BL83,IF(A84&lt;'Données projet'!$A$88,$BA$205^A84,IF(A84='Données projet'!$A$88,'Données projet'!$B$88,BD83+BC84-BL83)))</f>
        <v>182.29999999999998</v>
      </c>
      <c r="BE84" s="13">
        <f>BD84*VLOOKUP('Données projet'!$B$11,Paramètres!$A$1:$I$89,3,0)*VLOOKUP('Données projet'!$B$11,Paramètres!$A$1:$I$89,5,0)</f>
        <v>207.60323999999997</v>
      </c>
      <c r="BF84" s="13">
        <f t="shared" si="91"/>
        <v>51.411483950264589</v>
      </c>
      <c r="BG84" s="20">
        <f t="shared" si="61"/>
        <v>451.11731088004416</v>
      </c>
      <c r="BH84" s="59">
        <f t="shared" si="62"/>
        <v>744.45064421337747</v>
      </c>
      <c r="BI84" s="59">
        <f ca="1">AVERAGE(OFFSET($BH$3,0,0,'Données projet'!$E$11+1,1))-AVERAGE(OFFSET($H$3,0,0,'Données projet'!$E$11+1,1))</f>
        <v>249.01678065306629</v>
      </c>
      <c r="BJ84" s="59">
        <f t="shared" si="92"/>
        <v>99.639724892155641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0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>
        <f>BY84*VLOOKUP('Données projet'!$B$12,Paramètres!$A$1:$I$89,3,0)*VLOOKUP('Données projet'!$B$12,Paramètres!$A$1:$I$89,5,0)</f>
        <v>0</v>
      </c>
      <c r="CA84" s="13" t="e">
        <f t="shared" si="93"/>
        <v>#NUM!</v>
      </c>
      <c r="CB84" s="20" t="e">
        <f t="shared" si="64"/>
        <v>#NUM!</v>
      </c>
      <c r="CC84" s="59" t="e">
        <f t="shared" si="65"/>
        <v>#NUM!</v>
      </c>
      <c r="CD84" s="59">
        <f ca="1">AVERAGE(OFFSET($CC$3,0,0,'Données projet'!$E$12+1,1))-AVERAGE(OFFSET($H$3,0,0,'Données projet'!$E$12+1,1))</f>
        <v>0</v>
      </c>
      <c r="CE84" s="59">
        <f t="shared" si="94"/>
        <v>0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0</v>
      </c>
      <c r="CL84" s="21">
        <f>EXP(-LN(2)/25)*CL83+(1-EXP(-LN(2)/25))/(LN(2)/25)*Calculateur!CG84*Calculateur!CI84*VLOOKUP('Données projet'!$B$12,Paramètres!$A$1:$I$89,3,0)*0.475*44/12</f>
        <v>0</v>
      </c>
      <c r="CM84" s="21">
        <f>EXP(-LN(2)/2)*CM83+(1-EXP(-LN(2)/2))/(LN(2)/2)*CG84*CJ84*VLOOKUP('Données projet'!$B$12,Paramètres!$A$1:$I$89,3,0)*0.475*44/12</f>
        <v>0</v>
      </c>
      <c r="CN84" s="22">
        <f t="shared" si="66"/>
        <v>0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>
        <f>CT84*VLOOKUP('Données projet'!$B$13,Paramètres!$A$1:$I$89,3,0)*VLOOKUP('Données projet'!$B$13,Paramètres!$A$1:$I$89,5,0)</f>
        <v>0</v>
      </c>
      <c r="CV84" s="13" t="e">
        <f t="shared" si="95"/>
        <v>#NUM!</v>
      </c>
      <c r="CW84" s="20" t="e">
        <f t="shared" si="67"/>
        <v>#NUM!</v>
      </c>
      <c r="CX84" s="59" t="e">
        <f t="shared" si="68"/>
        <v>#NUM!</v>
      </c>
      <c r="CY84" s="59">
        <f ca="1">AVERAGE(OFFSET($CX$3,0,0,'Données projet'!$E$13+1,1))-AVERAGE(OFFSET($H$3,0,0,'Données projet'!$E$13+1,1))</f>
        <v>0</v>
      </c>
      <c r="CZ84" s="59">
        <f t="shared" si="96"/>
        <v>0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0</v>
      </c>
      <c r="DG84" s="21">
        <f>EXP(-LN(2)/25)*DG83+(1-EXP(-LN(2)/25))/(LN(2)/25)*Calculateur!DB84*Calculateur!DD84*VLOOKUP('Données projet'!$B$13,Paramètres!$A$1:$I$89,3,0)*0.475*44/12</f>
        <v>0</v>
      </c>
      <c r="DH84" s="21">
        <f>EXP(-LN(2)/2)*DH83+(1-EXP(-LN(2)/2))/(LN(2)/2)*DB84*DE84*VLOOKUP('Données projet'!$B$13,Paramètres!$A$1:$I$89,3,0)*0.475*44/12</f>
        <v>0</v>
      </c>
      <c r="DI84" s="22">
        <f t="shared" si="69"/>
        <v>0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-2.2737367544323206E-13</v>
      </c>
      <c r="O85" s="13">
        <f>N85*VLOOKUP('Données projet'!$B$9,Paramètres!$A$1:$I$89,3,0)*VLOOKUP('Données projet'!$B$9,Paramètres!$A$1:$I$89,5,0)</f>
        <v>-1.3596945791505279E-13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181.92766225683107</v>
      </c>
      <c r="T85" s="59">
        <f t="shared" si="88"/>
        <v>370.52917139565756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23.469986753037446</v>
      </c>
      <c r="AA85" s="21">
        <f>EXP(-LN(2)/25)*AA84+(1-EXP(-LN(2)/25))/(LN(2)/25)*Calculateur!V85*Calculateur!X85*VLOOKUP('Données projet'!$B$9,Paramètres!$A$1:$I$89,3,0)*0.475*44/12</f>
        <v>13.923036691204267</v>
      </c>
      <c r="AB85" s="21">
        <f>EXP(-LN(2)/2)*AB84+(1-EXP(-LN(2)/2))/(LN(2)/2)*V85*Y85*VLOOKUP('Données projet'!$B$9,Paramètres!$A$1:$I$89,3,0)*0.475*44/12</f>
        <v>6.7713181809689245E-6</v>
      </c>
      <c r="AC85" s="22">
        <f t="shared" si="57"/>
        <v>37.393030215559897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5.6843418860808015E-14</v>
      </c>
      <c r="AJ85" s="13">
        <f>AI85*VLOOKUP('Données projet'!$B$10,Paramètres!$A$1:$I$89,3,0)*VLOOKUP('Données projet'!$B$10,Paramètres!$A$1:$I$89,5,0)</f>
        <v>4.6111381379887463E-14</v>
      </c>
      <c r="AK85" s="13">
        <f t="shared" si="89"/>
        <v>7.5804141040779151E-13</v>
      </c>
      <c r="AL85" s="20">
        <f t="shared" si="58"/>
        <v>1.4005661123635408E-12</v>
      </c>
      <c r="AM85" s="59">
        <f t="shared" si="59"/>
        <v>293.33333333333474</v>
      </c>
      <c r="AN85" s="59">
        <f ca="1">AVERAGE(OFFSET($AM$3,0,0,'Données projet'!$E$10+1,1))-AVERAGE(OFFSET($H$3,0,0,'Données projet'!$E$10+1,1))</f>
        <v>235.31102883830971</v>
      </c>
      <c r="AO85" s="59">
        <f t="shared" si="90"/>
        <v>271.48630853790422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0</v>
      </c>
      <c r="AV85" s="21">
        <f>EXP(-LN(2)/25)*AV84+(1-EXP(-LN(2)/25))/(LN(2)/25)*Calculateur!AQ85*Calculateur!AS85*VLOOKUP('Données projet'!$B$10,Paramètres!$A$1:$I$89,3,0)*0.475*44/12</f>
        <v>2.0118806077219431</v>
      </c>
      <c r="AW85" s="21">
        <f>EXP(-LN(2)/2)*AW84+(1-EXP(-LN(2)/2))/(LN(2)/2)*AQ85*AT85*VLOOKUP('Données projet'!$B$10,Paramètres!$A$1:$I$89,3,0)*0.475*44/12</f>
        <v>1.6350402447740613E-7</v>
      </c>
      <c r="AX85" s="21">
        <f t="shared" si="60"/>
        <v>2.0118807712259676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4.3</v>
      </c>
      <c r="BD85" s="12">
        <f>IF('Données projet'!$A$88&gt;35,BD84+BC85-BL84,IF(A85&lt;'Données projet'!$A$88,$BA$205^A85,IF(A85='Données projet'!$A$88,'Données projet'!$B$88,BD84+BC85-BL84)))</f>
        <v>186.6</v>
      </c>
      <c r="BE85" s="13">
        <f>BD85*VLOOKUP('Données projet'!$B$11,Paramètres!$A$1:$I$89,3,0)*VLOOKUP('Données projet'!$B$11,Paramètres!$A$1:$I$89,5,0)</f>
        <v>212.50008</v>
      </c>
      <c r="BF85" s="13">
        <f t="shared" si="91"/>
        <v>52.481539204941875</v>
      </c>
      <c r="BG85" s="20">
        <f t="shared" si="61"/>
        <v>461.50965344860703</v>
      </c>
      <c r="BH85" s="59">
        <f t="shared" si="62"/>
        <v>754.84298678194034</v>
      </c>
      <c r="BI85" s="59">
        <f ca="1">AVERAGE(OFFSET($BH$3,0,0,'Données projet'!$E$11+1,1))-AVERAGE(OFFSET($H$3,0,0,'Données projet'!$E$11+1,1))</f>
        <v>249.01678065306629</v>
      </c>
      <c r="BJ85" s="59">
        <f t="shared" si="92"/>
        <v>99.639724892155641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0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>
        <f>BY85*VLOOKUP('Données projet'!$B$12,Paramètres!$A$1:$I$89,3,0)*VLOOKUP('Données projet'!$B$12,Paramètres!$A$1:$I$89,5,0)</f>
        <v>0</v>
      </c>
      <c r="CA85" s="13" t="e">
        <f t="shared" si="93"/>
        <v>#NUM!</v>
      </c>
      <c r="CB85" s="20" t="e">
        <f t="shared" si="64"/>
        <v>#NUM!</v>
      </c>
      <c r="CC85" s="59" t="e">
        <f t="shared" si="65"/>
        <v>#NUM!</v>
      </c>
      <c r="CD85" s="59">
        <f ca="1">AVERAGE(OFFSET($CC$3,0,0,'Données projet'!$E$12+1,1))-AVERAGE(OFFSET($H$3,0,0,'Données projet'!$E$12+1,1))</f>
        <v>0</v>
      </c>
      <c r="CE85" s="59">
        <f t="shared" si="94"/>
        <v>0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0</v>
      </c>
      <c r="CL85" s="21">
        <f>EXP(-LN(2)/25)*CL84+(1-EXP(-LN(2)/25))/(LN(2)/25)*Calculateur!CG85*Calculateur!CI85*VLOOKUP('Données projet'!$B$12,Paramètres!$A$1:$I$89,3,0)*0.475*44/12</f>
        <v>0</v>
      </c>
      <c r="CM85" s="21">
        <f>EXP(-LN(2)/2)*CM84+(1-EXP(-LN(2)/2))/(LN(2)/2)*CG85*CJ85*VLOOKUP('Données projet'!$B$12,Paramètres!$A$1:$I$89,3,0)*0.475*44/12</f>
        <v>0</v>
      </c>
      <c r="CN85" s="22">
        <f t="shared" si="66"/>
        <v>0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>
        <f>CT85*VLOOKUP('Données projet'!$B$13,Paramètres!$A$1:$I$89,3,0)*VLOOKUP('Données projet'!$B$13,Paramètres!$A$1:$I$89,5,0)</f>
        <v>0</v>
      </c>
      <c r="CV85" s="13" t="e">
        <f t="shared" si="95"/>
        <v>#NUM!</v>
      </c>
      <c r="CW85" s="20" t="e">
        <f t="shared" si="67"/>
        <v>#NUM!</v>
      </c>
      <c r="CX85" s="59" t="e">
        <f t="shared" si="68"/>
        <v>#NUM!</v>
      </c>
      <c r="CY85" s="59">
        <f ca="1">AVERAGE(OFFSET($CX$3,0,0,'Données projet'!$E$13+1,1))-AVERAGE(OFFSET($H$3,0,0,'Données projet'!$E$13+1,1))</f>
        <v>0</v>
      </c>
      <c r="CZ85" s="59">
        <f t="shared" si="96"/>
        <v>0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0</v>
      </c>
      <c r="DG85" s="21">
        <f>EXP(-LN(2)/25)*DG84+(1-EXP(-LN(2)/25))/(LN(2)/25)*Calculateur!DB85*Calculateur!DD85*VLOOKUP('Données projet'!$B$13,Paramètres!$A$1:$I$89,3,0)*0.475*44/12</f>
        <v>0</v>
      </c>
      <c r="DH85" s="21">
        <f>EXP(-LN(2)/2)*DH84+(1-EXP(-LN(2)/2))/(LN(2)/2)*DB85*DE85*VLOOKUP('Données projet'!$B$13,Paramètres!$A$1:$I$89,3,0)*0.475*44/12</f>
        <v>0</v>
      </c>
      <c r="DI85" s="22">
        <f t="shared" si="69"/>
        <v>0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-2.2737367544323206E-13</v>
      </c>
      <c r="O86" s="13">
        <f>N86*VLOOKUP('Données projet'!$B$9,Paramètres!$A$1:$I$89,3,0)*VLOOKUP('Données projet'!$B$9,Paramètres!$A$1:$I$89,5,0)</f>
        <v>-1.3596945791505279E-13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181.92766225683107</v>
      </c>
      <c r="T86" s="59">
        <f t="shared" si="88"/>
        <v>370.52917139565756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23.009754628088785</v>
      </c>
      <c r="AA86" s="21">
        <f>EXP(-LN(2)/25)*AA85+(1-EXP(-LN(2)/25))/(LN(2)/25)*Calculateur!V86*Calculateur!X86*VLOOKUP('Données projet'!$B$9,Paramètres!$A$1:$I$89,3,0)*0.475*44/12</f>
        <v>13.542310520702609</v>
      </c>
      <c r="AB86" s="21">
        <f>EXP(-LN(2)/2)*AB85+(1-EXP(-LN(2)/2))/(LN(2)/2)*V86*Y86*VLOOKUP('Données projet'!$B$9,Paramètres!$A$1:$I$89,3,0)*0.475*44/12</f>
        <v>4.7880450033348842E-6</v>
      </c>
      <c r="AC86" s="22">
        <f t="shared" si="57"/>
        <v>36.552069936836396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5.6843418860808015E-14</v>
      </c>
      <c r="AJ86" s="13">
        <f>AI86*VLOOKUP('Données projet'!$B$10,Paramètres!$A$1:$I$89,3,0)*VLOOKUP('Données projet'!$B$10,Paramètres!$A$1:$I$89,5,0)</f>
        <v>4.6111381379887463E-14</v>
      </c>
      <c r="AK86" s="13">
        <f t="shared" si="89"/>
        <v>7.5804141040779151E-13</v>
      </c>
      <c r="AL86" s="20">
        <f t="shared" si="58"/>
        <v>1.4005661123635408E-12</v>
      </c>
      <c r="AM86" s="59">
        <f t="shared" si="59"/>
        <v>293.33333333333474</v>
      </c>
      <c r="AN86" s="59">
        <f ca="1">AVERAGE(OFFSET($AM$3,0,0,'Données projet'!$E$10+1,1))-AVERAGE(OFFSET($H$3,0,0,'Données projet'!$E$10+1,1))</f>
        <v>235.31102883830971</v>
      </c>
      <c r="AO86" s="59">
        <f t="shared" si="90"/>
        <v>271.48630853790422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0</v>
      </c>
      <c r="AV86" s="21">
        <f>EXP(-LN(2)/25)*AV85+(1-EXP(-LN(2)/25))/(LN(2)/25)*Calculateur!AQ86*Calculateur!AS86*VLOOKUP('Données projet'!$B$10,Paramètres!$A$1:$I$89,3,0)*0.475*44/12</f>
        <v>1.9568656267035835</v>
      </c>
      <c r="AW86" s="21">
        <f>EXP(-LN(2)/2)*AW85+(1-EXP(-LN(2)/2))/(LN(2)/2)*AQ86*AT86*VLOOKUP('Données projet'!$B$10,Paramètres!$A$1:$I$89,3,0)*0.475*44/12</f>
        <v>1.1561480445926513E-7</v>
      </c>
      <c r="AX86" s="21">
        <f t="shared" si="60"/>
        <v>1.9568657423183879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4.3</v>
      </c>
      <c r="BD86" s="12">
        <f>IF('Données projet'!$A$88&gt;35,BD85+BC86-BL85,IF(A86&lt;'Données projet'!$A$88,$BA$205^A86,IF(A86='Données projet'!$A$88,'Données projet'!$B$88,BD85+BC86-BL85)))</f>
        <v>190.9</v>
      </c>
      <c r="BE86" s="13">
        <f>BD86*VLOOKUP('Données projet'!$B$11,Paramètres!$A$1:$I$89,3,0)*VLOOKUP('Données projet'!$B$11,Paramètres!$A$1:$I$89,5,0)</f>
        <v>217.39691999999999</v>
      </c>
      <c r="BF86" s="13">
        <f t="shared" si="91"/>
        <v>53.548727812073309</v>
      </c>
      <c r="BG86" s="20">
        <f t="shared" si="61"/>
        <v>471.89700327269423</v>
      </c>
      <c r="BH86" s="59">
        <f t="shared" si="62"/>
        <v>765.23033660602755</v>
      </c>
      <c r="BI86" s="59">
        <f ca="1">AVERAGE(OFFSET($BH$3,0,0,'Données projet'!$E$11+1,1))-AVERAGE(OFFSET($H$3,0,0,'Données projet'!$E$11+1,1))</f>
        <v>249.01678065306629</v>
      </c>
      <c r="BJ86" s="59">
        <f t="shared" si="92"/>
        <v>99.639724892155641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0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>
        <f>BY86*VLOOKUP('Données projet'!$B$12,Paramètres!$A$1:$I$89,3,0)*VLOOKUP('Données projet'!$B$12,Paramètres!$A$1:$I$89,5,0)</f>
        <v>0</v>
      </c>
      <c r="CA86" s="13" t="e">
        <f t="shared" si="93"/>
        <v>#NUM!</v>
      </c>
      <c r="CB86" s="20" t="e">
        <f t="shared" si="64"/>
        <v>#NUM!</v>
      </c>
      <c r="CC86" s="59" t="e">
        <f t="shared" si="65"/>
        <v>#NUM!</v>
      </c>
      <c r="CD86" s="59">
        <f ca="1">AVERAGE(OFFSET($CC$3,0,0,'Données projet'!$E$12+1,1))-AVERAGE(OFFSET($H$3,0,0,'Données projet'!$E$12+1,1))</f>
        <v>0</v>
      </c>
      <c r="CE86" s="59">
        <f t="shared" si="94"/>
        <v>0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0</v>
      </c>
      <c r="CL86" s="21">
        <f>EXP(-LN(2)/25)*CL85+(1-EXP(-LN(2)/25))/(LN(2)/25)*Calculateur!CG86*Calculateur!CI86*VLOOKUP('Données projet'!$B$12,Paramètres!$A$1:$I$89,3,0)*0.475*44/12</f>
        <v>0</v>
      </c>
      <c r="CM86" s="21">
        <f>EXP(-LN(2)/2)*CM85+(1-EXP(-LN(2)/2))/(LN(2)/2)*CG86*CJ86*VLOOKUP('Données projet'!$B$12,Paramètres!$A$1:$I$89,3,0)*0.475*44/12</f>
        <v>0</v>
      </c>
      <c r="CN86" s="22">
        <f t="shared" si="66"/>
        <v>0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>
        <f>CT86*VLOOKUP('Données projet'!$B$13,Paramètres!$A$1:$I$89,3,0)*VLOOKUP('Données projet'!$B$13,Paramètres!$A$1:$I$89,5,0)</f>
        <v>0</v>
      </c>
      <c r="CV86" s="13" t="e">
        <f t="shared" si="95"/>
        <v>#NUM!</v>
      </c>
      <c r="CW86" s="20" t="e">
        <f t="shared" si="67"/>
        <v>#NUM!</v>
      </c>
      <c r="CX86" s="59" t="e">
        <f t="shared" si="68"/>
        <v>#NUM!</v>
      </c>
      <c r="CY86" s="59">
        <f ca="1">AVERAGE(OFFSET($CX$3,0,0,'Données projet'!$E$13+1,1))-AVERAGE(OFFSET($H$3,0,0,'Données projet'!$E$13+1,1))</f>
        <v>0</v>
      </c>
      <c r="CZ86" s="59">
        <f t="shared" si="96"/>
        <v>0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0</v>
      </c>
      <c r="DG86" s="21">
        <f>EXP(-LN(2)/25)*DG85+(1-EXP(-LN(2)/25))/(LN(2)/25)*Calculateur!DB86*Calculateur!DD86*VLOOKUP('Données projet'!$B$13,Paramètres!$A$1:$I$89,3,0)*0.475*44/12</f>
        <v>0</v>
      </c>
      <c r="DH86" s="21">
        <f>EXP(-LN(2)/2)*DH85+(1-EXP(-LN(2)/2))/(LN(2)/2)*DB86*DE86*VLOOKUP('Données projet'!$B$13,Paramètres!$A$1:$I$89,3,0)*0.475*44/12</f>
        <v>0</v>
      </c>
      <c r="DI86" s="22">
        <f t="shared" si="69"/>
        <v>0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-2.2737367544323206E-13</v>
      </c>
      <c r="O87" s="13">
        <f>N87*VLOOKUP('Données projet'!$B$9,Paramètres!$A$1:$I$89,3,0)*VLOOKUP('Données projet'!$B$9,Paramètres!$A$1:$I$89,5,0)</f>
        <v>-1.3596945791505279E-13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181.92766225683107</v>
      </c>
      <c r="T87" s="59">
        <f t="shared" si="88"/>
        <v>370.52917139565756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22.55854737439649</v>
      </c>
      <c r="AA87" s="21">
        <f>EXP(-LN(2)/25)*AA86+(1-EXP(-LN(2)/25))/(LN(2)/25)*Calculateur!V87*Calculateur!X87*VLOOKUP('Données projet'!$B$9,Paramètres!$A$1:$I$89,3,0)*0.475*44/12</f>
        <v>13.171995327354837</v>
      </c>
      <c r="AB87" s="21">
        <f>EXP(-LN(2)/2)*AB86+(1-EXP(-LN(2)/2))/(LN(2)/2)*V87*Y87*VLOOKUP('Données projet'!$B$9,Paramètres!$A$1:$I$89,3,0)*0.475*44/12</f>
        <v>3.3856590904844623E-6</v>
      </c>
      <c r="AC87" s="22">
        <f t="shared" si="57"/>
        <v>35.730546087410417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5.6843418860808015E-14</v>
      </c>
      <c r="AJ87" s="13">
        <f>AI87*VLOOKUP('Données projet'!$B$10,Paramètres!$A$1:$I$89,3,0)*VLOOKUP('Données projet'!$B$10,Paramètres!$A$1:$I$89,5,0)</f>
        <v>4.6111381379887463E-14</v>
      </c>
      <c r="AK87" s="13">
        <f t="shared" si="89"/>
        <v>7.5804141040779151E-13</v>
      </c>
      <c r="AL87" s="20">
        <f t="shared" si="58"/>
        <v>1.4005661123635408E-12</v>
      </c>
      <c r="AM87" s="59">
        <f t="shared" si="59"/>
        <v>293.33333333333474</v>
      </c>
      <c r="AN87" s="59">
        <f ca="1">AVERAGE(OFFSET($AM$3,0,0,'Données projet'!$E$10+1,1))-AVERAGE(OFFSET($H$3,0,0,'Données projet'!$E$10+1,1))</f>
        <v>235.31102883830971</v>
      </c>
      <c r="AO87" s="59">
        <f t="shared" si="90"/>
        <v>271.48630853790422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0</v>
      </c>
      <c r="AV87" s="21">
        <f>EXP(-LN(2)/25)*AV86+(1-EXP(-LN(2)/25))/(LN(2)/25)*Calculateur!AQ87*Calculateur!AS87*VLOOKUP('Données projet'!$B$10,Paramètres!$A$1:$I$89,3,0)*0.475*44/12</f>
        <v>1.9033550332342832</v>
      </c>
      <c r="AW87" s="21">
        <f>EXP(-LN(2)/2)*AW86+(1-EXP(-LN(2)/2))/(LN(2)/2)*AQ87*AT87*VLOOKUP('Données projet'!$B$10,Paramètres!$A$1:$I$89,3,0)*0.475*44/12</f>
        <v>8.1752012238703063E-8</v>
      </c>
      <c r="AX87" s="21">
        <f t="shared" si="60"/>
        <v>1.9033551149862955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4.3</v>
      </c>
      <c r="BD87" s="12">
        <f>IF('Données projet'!$A$88&gt;35,BD86+BC87-BL86,IF(A87&lt;'Données projet'!$A$88,$BA$205^A87,IF(A87='Données projet'!$A$88,'Données projet'!$B$88,BD86+BC87-BL86)))</f>
        <v>195.20000000000002</v>
      </c>
      <c r="BE87" s="13">
        <f>BD87*VLOOKUP('Données projet'!$B$11,Paramètres!$A$1:$I$89,3,0)*VLOOKUP('Données projet'!$B$11,Paramètres!$A$1:$I$89,5,0)</f>
        <v>222.29376000000002</v>
      </c>
      <c r="BF87" s="13">
        <f t="shared" si="91"/>
        <v>54.613121776493159</v>
      </c>
      <c r="BG87" s="20">
        <f t="shared" si="61"/>
        <v>482.27948576072555</v>
      </c>
      <c r="BH87" s="59">
        <f t="shared" si="62"/>
        <v>775.61281909405886</v>
      </c>
      <c r="BI87" s="59">
        <f ca="1">AVERAGE(OFFSET($BH$3,0,0,'Données projet'!$E$11+1,1))-AVERAGE(OFFSET($H$3,0,0,'Données projet'!$E$11+1,1))</f>
        <v>249.01678065306629</v>
      </c>
      <c r="BJ87" s="59">
        <f t="shared" si="92"/>
        <v>99.639724892155641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0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>
        <f>BY87*VLOOKUP('Données projet'!$B$12,Paramètres!$A$1:$I$89,3,0)*VLOOKUP('Données projet'!$B$12,Paramètres!$A$1:$I$89,5,0)</f>
        <v>0</v>
      </c>
      <c r="CA87" s="13" t="e">
        <f t="shared" si="93"/>
        <v>#NUM!</v>
      </c>
      <c r="CB87" s="20" t="e">
        <f t="shared" si="64"/>
        <v>#NUM!</v>
      </c>
      <c r="CC87" s="59" t="e">
        <f t="shared" si="65"/>
        <v>#NUM!</v>
      </c>
      <c r="CD87" s="59">
        <f ca="1">AVERAGE(OFFSET($CC$3,0,0,'Données projet'!$E$12+1,1))-AVERAGE(OFFSET($H$3,0,0,'Données projet'!$E$12+1,1))</f>
        <v>0</v>
      </c>
      <c r="CE87" s="59">
        <f t="shared" si="94"/>
        <v>0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0</v>
      </c>
      <c r="CL87" s="21">
        <f>EXP(-LN(2)/25)*CL86+(1-EXP(-LN(2)/25))/(LN(2)/25)*Calculateur!CG87*Calculateur!CI87*VLOOKUP('Données projet'!$B$12,Paramètres!$A$1:$I$89,3,0)*0.475*44/12</f>
        <v>0</v>
      </c>
      <c r="CM87" s="21">
        <f>EXP(-LN(2)/2)*CM86+(1-EXP(-LN(2)/2))/(LN(2)/2)*CG87*CJ87*VLOOKUP('Données projet'!$B$12,Paramètres!$A$1:$I$89,3,0)*0.475*44/12</f>
        <v>0</v>
      </c>
      <c r="CN87" s="22">
        <f t="shared" si="66"/>
        <v>0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>
        <f>CT87*VLOOKUP('Données projet'!$B$13,Paramètres!$A$1:$I$89,3,0)*VLOOKUP('Données projet'!$B$13,Paramètres!$A$1:$I$89,5,0)</f>
        <v>0</v>
      </c>
      <c r="CV87" s="13" t="e">
        <f t="shared" si="95"/>
        <v>#NUM!</v>
      </c>
      <c r="CW87" s="20" t="e">
        <f t="shared" si="67"/>
        <v>#NUM!</v>
      </c>
      <c r="CX87" s="59" t="e">
        <f t="shared" si="68"/>
        <v>#NUM!</v>
      </c>
      <c r="CY87" s="59">
        <f ca="1">AVERAGE(OFFSET($CX$3,0,0,'Données projet'!$E$13+1,1))-AVERAGE(OFFSET($H$3,0,0,'Données projet'!$E$13+1,1))</f>
        <v>0</v>
      </c>
      <c r="CZ87" s="59">
        <f t="shared" si="96"/>
        <v>0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0</v>
      </c>
      <c r="DG87" s="21">
        <f>EXP(-LN(2)/25)*DG86+(1-EXP(-LN(2)/25))/(LN(2)/25)*Calculateur!DB87*Calculateur!DD87*VLOOKUP('Données projet'!$B$13,Paramètres!$A$1:$I$89,3,0)*0.475*44/12</f>
        <v>0</v>
      </c>
      <c r="DH87" s="21">
        <f>EXP(-LN(2)/2)*DH86+(1-EXP(-LN(2)/2))/(LN(2)/2)*DB87*DE87*VLOOKUP('Données projet'!$B$13,Paramètres!$A$1:$I$89,3,0)*0.475*44/12</f>
        <v>0</v>
      </c>
      <c r="DI87" s="22">
        <f t="shared" si="69"/>
        <v>0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-2.2737367544323206E-13</v>
      </c>
      <c r="O88" s="13">
        <f>N88*VLOOKUP('Données projet'!$B$9,Paramètres!$A$1:$I$89,3,0)*VLOOKUP('Données projet'!$B$9,Paramètres!$A$1:$I$89,5,0)</f>
        <v>-1.3596945791505279E-13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181.92766225683107</v>
      </c>
      <c r="T88" s="59">
        <f t="shared" si="88"/>
        <v>370.52917139565756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22.116188019739848</v>
      </c>
      <c r="AA88" s="21">
        <f>EXP(-LN(2)/25)*AA87+(1-EXP(-LN(2)/25))/(LN(2)/25)*Calculateur!V88*Calculateur!X88*VLOOKUP('Données projet'!$B$9,Paramètres!$A$1:$I$89,3,0)*0.475*44/12</f>
        <v>12.81180642244319</v>
      </c>
      <c r="AB88" s="21">
        <f>EXP(-LN(2)/2)*AB87+(1-EXP(-LN(2)/2))/(LN(2)/2)*V88*Y88*VLOOKUP('Données projet'!$B$9,Paramètres!$A$1:$I$89,3,0)*0.475*44/12</f>
        <v>2.3940225016674421E-6</v>
      </c>
      <c r="AC88" s="22">
        <f t="shared" si="57"/>
        <v>34.927996836205537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5.6843418860808015E-14</v>
      </c>
      <c r="AJ88" s="13">
        <f>AI88*VLOOKUP('Données projet'!$B$10,Paramètres!$A$1:$I$89,3,0)*VLOOKUP('Données projet'!$B$10,Paramètres!$A$1:$I$89,5,0)</f>
        <v>4.6111381379887463E-14</v>
      </c>
      <c r="AK88" s="13">
        <f t="shared" si="89"/>
        <v>7.5804141040779151E-13</v>
      </c>
      <c r="AL88" s="20">
        <f t="shared" si="58"/>
        <v>1.4005661123635408E-12</v>
      </c>
      <c r="AM88" s="59">
        <f t="shared" si="59"/>
        <v>293.33333333333474</v>
      </c>
      <c r="AN88" s="59">
        <f ca="1">AVERAGE(OFFSET($AM$3,0,0,'Données projet'!$E$10+1,1))-AVERAGE(OFFSET($H$3,0,0,'Données projet'!$E$10+1,1))</f>
        <v>235.31102883830971</v>
      </c>
      <c r="AO88" s="59">
        <f t="shared" si="90"/>
        <v>271.48630853790422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0</v>
      </c>
      <c r="AV88" s="21">
        <f>EXP(-LN(2)/25)*AV87+(1-EXP(-LN(2)/25))/(LN(2)/25)*Calculateur!AQ88*Calculateur!AS88*VLOOKUP('Données projet'!$B$10,Paramètres!$A$1:$I$89,3,0)*0.475*44/12</f>
        <v>1.8513076897574008</v>
      </c>
      <c r="AW88" s="21">
        <f>EXP(-LN(2)/2)*AW87+(1-EXP(-LN(2)/2))/(LN(2)/2)*AQ88*AT88*VLOOKUP('Données projet'!$B$10,Paramètres!$A$1:$I$89,3,0)*0.475*44/12</f>
        <v>5.7807402229632563E-8</v>
      </c>
      <c r="AX88" s="21">
        <f t="shared" si="60"/>
        <v>1.851307747564803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4.3</v>
      </c>
      <c r="BD88" s="12">
        <f>IF('Données projet'!$A$88&gt;35,BD87+BC88-BL87,IF(A88&lt;'Données projet'!$A$88,$BA$205^A88,IF(A88='Données projet'!$A$88,'Données projet'!$B$88,BD87+BC88-BL87)))</f>
        <v>199.50000000000003</v>
      </c>
      <c r="BE88" s="13">
        <f>BD88*VLOOKUP('Données projet'!$B$11,Paramètres!$A$1:$I$89,3,0)*VLOOKUP('Données projet'!$B$11,Paramètres!$A$1:$I$89,5,0)</f>
        <v>227.19060000000005</v>
      </c>
      <c r="BF88" s="13">
        <f t="shared" si="91"/>
        <v>55.674789749546278</v>
      </c>
      <c r="BG88" s="20">
        <f t="shared" si="61"/>
        <v>492.6572204804599</v>
      </c>
      <c r="BH88" s="59">
        <f t="shared" si="62"/>
        <v>785.99055381379321</v>
      </c>
      <c r="BI88" s="59">
        <f ca="1">AVERAGE(OFFSET($BH$3,0,0,'Données projet'!$E$11+1,1))-AVERAGE(OFFSET($H$3,0,0,'Données projet'!$E$11+1,1))</f>
        <v>249.01678065306629</v>
      </c>
      <c r="BJ88" s="59">
        <f t="shared" si="92"/>
        <v>99.639724892155641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0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>
        <f>BY88*VLOOKUP('Données projet'!$B$12,Paramètres!$A$1:$I$89,3,0)*VLOOKUP('Données projet'!$B$12,Paramètres!$A$1:$I$89,5,0)</f>
        <v>0</v>
      </c>
      <c r="CA88" s="13" t="e">
        <f t="shared" si="93"/>
        <v>#NUM!</v>
      </c>
      <c r="CB88" s="20" t="e">
        <f t="shared" si="64"/>
        <v>#NUM!</v>
      </c>
      <c r="CC88" s="59" t="e">
        <f t="shared" si="65"/>
        <v>#NUM!</v>
      </c>
      <c r="CD88" s="59">
        <f ca="1">AVERAGE(OFFSET($CC$3,0,0,'Données projet'!$E$12+1,1))-AVERAGE(OFFSET($H$3,0,0,'Données projet'!$E$12+1,1))</f>
        <v>0</v>
      </c>
      <c r="CE88" s="59">
        <f t="shared" si="94"/>
        <v>0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0</v>
      </c>
      <c r="CL88" s="21">
        <f>EXP(-LN(2)/25)*CL87+(1-EXP(-LN(2)/25))/(LN(2)/25)*Calculateur!CG88*Calculateur!CI88*VLOOKUP('Données projet'!$B$12,Paramètres!$A$1:$I$89,3,0)*0.475*44/12</f>
        <v>0</v>
      </c>
      <c r="CM88" s="21">
        <f>EXP(-LN(2)/2)*CM87+(1-EXP(-LN(2)/2))/(LN(2)/2)*CG88*CJ88*VLOOKUP('Données projet'!$B$12,Paramètres!$A$1:$I$89,3,0)*0.475*44/12</f>
        <v>0</v>
      </c>
      <c r="CN88" s="22">
        <f t="shared" si="66"/>
        <v>0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>
        <f>CT88*VLOOKUP('Données projet'!$B$13,Paramètres!$A$1:$I$89,3,0)*VLOOKUP('Données projet'!$B$13,Paramètres!$A$1:$I$89,5,0)</f>
        <v>0</v>
      </c>
      <c r="CV88" s="13" t="e">
        <f t="shared" si="95"/>
        <v>#NUM!</v>
      </c>
      <c r="CW88" s="20" t="e">
        <f t="shared" si="67"/>
        <v>#NUM!</v>
      </c>
      <c r="CX88" s="59" t="e">
        <f t="shared" si="68"/>
        <v>#NUM!</v>
      </c>
      <c r="CY88" s="59">
        <f ca="1">AVERAGE(OFFSET($CX$3,0,0,'Données projet'!$E$13+1,1))-AVERAGE(OFFSET($H$3,0,0,'Données projet'!$E$13+1,1))</f>
        <v>0</v>
      </c>
      <c r="CZ88" s="59">
        <f t="shared" si="96"/>
        <v>0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0</v>
      </c>
      <c r="DG88" s="21">
        <f>EXP(-LN(2)/25)*DG87+(1-EXP(-LN(2)/25))/(LN(2)/25)*Calculateur!DB88*Calculateur!DD88*VLOOKUP('Données projet'!$B$13,Paramètres!$A$1:$I$89,3,0)*0.475*44/12</f>
        <v>0</v>
      </c>
      <c r="DH88" s="21">
        <f>EXP(-LN(2)/2)*DH87+(1-EXP(-LN(2)/2))/(LN(2)/2)*DB88*DE88*VLOOKUP('Données projet'!$B$13,Paramètres!$A$1:$I$89,3,0)*0.475*44/12</f>
        <v>0</v>
      </c>
      <c r="DI88" s="22">
        <f t="shared" si="69"/>
        <v>0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-2.2737367544323206E-13</v>
      </c>
      <c r="O89" s="13">
        <f>N89*VLOOKUP('Données projet'!$B$9,Paramètres!$A$1:$I$89,3,0)*VLOOKUP('Données projet'!$B$9,Paramètres!$A$1:$I$89,5,0)</f>
        <v>-1.3596945791505279E-13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181.92766225683107</v>
      </c>
      <c r="T89" s="59">
        <f t="shared" si="88"/>
        <v>370.52917139565756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21.68250306221546</v>
      </c>
      <c r="AA89" s="21">
        <f>EXP(-LN(2)/25)*AA88+(1-EXP(-LN(2)/25))/(LN(2)/25)*Calculateur!V89*Calculateur!X89*VLOOKUP('Données projet'!$B$9,Paramètres!$A$1:$I$89,3,0)*0.475*44/12</f>
        <v>12.461466902077863</v>
      </c>
      <c r="AB89" s="21">
        <f>EXP(-LN(2)/2)*AB88+(1-EXP(-LN(2)/2))/(LN(2)/2)*V89*Y89*VLOOKUP('Données projet'!$B$9,Paramètres!$A$1:$I$89,3,0)*0.475*44/12</f>
        <v>1.6928295452422311E-6</v>
      </c>
      <c r="AC89" s="22">
        <f t="shared" si="57"/>
        <v>34.143971657122862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5.6843418860808015E-14</v>
      </c>
      <c r="AJ89" s="13">
        <f>AI89*VLOOKUP('Données projet'!$B$10,Paramètres!$A$1:$I$89,3,0)*VLOOKUP('Données projet'!$B$10,Paramètres!$A$1:$I$89,5,0)</f>
        <v>4.6111381379887463E-14</v>
      </c>
      <c r="AK89" s="13">
        <f t="shared" si="89"/>
        <v>7.5804141040779151E-13</v>
      </c>
      <c r="AL89" s="20">
        <f t="shared" si="58"/>
        <v>1.4005661123635408E-12</v>
      </c>
      <c r="AM89" s="59">
        <f t="shared" si="59"/>
        <v>293.33333333333474</v>
      </c>
      <c r="AN89" s="59">
        <f ca="1">AVERAGE(OFFSET($AM$3,0,0,'Données projet'!$E$10+1,1))-AVERAGE(OFFSET($H$3,0,0,'Données projet'!$E$10+1,1))</f>
        <v>235.31102883830971</v>
      </c>
      <c r="AO89" s="59">
        <f t="shared" si="90"/>
        <v>271.48630853790422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0</v>
      </c>
      <c r="AV89" s="21">
        <f>EXP(-LN(2)/25)*AV88+(1-EXP(-LN(2)/25))/(LN(2)/25)*Calculateur!AQ89*Calculateur!AS89*VLOOKUP('Données projet'!$B$10,Paramètres!$A$1:$I$89,3,0)*0.475*44/12</f>
        <v>1.8006835836249444</v>
      </c>
      <c r="AW89" s="21">
        <f>EXP(-LN(2)/2)*AW88+(1-EXP(-LN(2)/2))/(LN(2)/2)*AQ89*AT89*VLOOKUP('Données projet'!$B$10,Paramètres!$A$1:$I$89,3,0)*0.475*44/12</f>
        <v>4.0876006119351532E-8</v>
      </c>
      <c r="AX89" s="21">
        <f t="shared" si="60"/>
        <v>1.8006836245009505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4.3</v>
      </c>
      <c r="BD89" s="12">
        <f>IF('Données projet'!$A$88&gt;35,BD88+BC89-BL88,IF(A89&lt;'Données projet'!$A$88,$BA$205^A89,IF(A89='Données projet'!$A$88,'Données projet'!$B$88,BD88+BC89-BL88)))</f>
        <v>203.80000000000004</v>
      </c>
      <c r="BE89" s="13">
        <f>BD89*VLOOKUP('Données projet'!$B$11,Paramètres!$A$1:$I$89,3,0)*VLOOKUP('Données projet'!$B$11,Paramètres!$A$1:$I$89,5,0)</f>
        <v>232.08744000000004</v>
      </c>
      <c r="BF89" s="13">
        <f t="shared" si="91"/>
        <v>56.733797254131133</v>
      </c>
      <c r="BG89" s="20">
        <f t="shared" si="61"/>
        <v>503.03032155094508</v>
      </c>
      <c r="BH89" s="59">
        <f t="shared" si="62"/>
        <v>796.36365488427839</v>
      </c>
      <c r="BI89" s="59">
        <f ca="1">AVERAGE(OFFSET($BH$3,0,0,'Données projet'!$E$11+1,1))-AVERAGE(OFFSET($H$3,0,0,'Données projet'!$E$11+1,1))</f>
        <v>249.01678065306629</v>
      </c>
      <c r="BJ89" s="59">
        <f t="shared" si="92"/>
        <v>99.639724892155641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0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>
        <f>BY89*VLOOKUP('Données projet'!$B$12,Paramètres!$A$1:$I$89,3,0)*VLOOKUP('Données projet'!$B$12,Paramètres!$A$1:$I$89,5,0)</f>
        <v>0</v>
      </c>
      <c r="CA89" s="13" t="e">
        <f t="shared" si="93"/>
        <v>#NUM!</v>
      </c>
      <c r="CB89" s="20" t="e">
        <f t="shared" si="64"/>
        <v>#NUM!</v>
      </c>
      <c r="CC89" s="59" t="e">
        <f t="shared" si="65"/>
        <v>#NUM!</v>
      </c>
      <c r="CD89" s="59">
        <f ca="1">AVERAGE(OFFSET($CC$3,0,0,'Données projet'!$E$12+1,1))-AVERAGE(OFFSET($H$3,0,0,'Données projet'!$E$12+1,1))</f>
        <v>0</v>
      </c>
      <c r="CE89" s="59">
        <f t="shared" si="94"/>
        <v>0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0</v>
      </c>
      <c r="CL89" s="21">
        <f>EXP(-LN(2)/25)*CL88+(1-EXP(-LN(2)/25))/(LN(2)/25)*Calculateur!CG89*Calculateur!CI89*VLOOKUP('Données projet'!$B$12,Paramètres!$A$1:$I$89,3,0)*0.475*44/12</f>
        <v>0</v>
      </c>
      <c r="CM89" s="21">
        <f>EXP(-LN(2)/2)*CM88+(1-EXP(-LN(2)/2))/(LN(2)/2)*CG89*CJ89*VLOOKUP('Données projet'!$B$12,Paramètres!$A$1:$I$89,3,0)*0.475*44/12</f>
        <v>0</v>
      </c>
      <c r="CN89" s="22">
        <f t="shared" si="66"/>
        <v>0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>
        <f>CT89*VLOOKUP('Données projet'!$B$13,Paramètres!$A$1:$I$89,3,0)*VLOOKUP('Données projet'!$B$13,Paramètres!$A$1:$I$89,5,0)</f>
        <v>0</v>
      </c>
      <c r="CV89" s="13" t="e">
        <f t="shared" si="95"/>
        <v>#NUM!</v>
      </c>
      <c r="CW89" s="20" t="e">
        <f t="shared" si="67"/>
        <v>#NUM!</v>
      </c>
      <c r="CX89" s="59" t="e">
        <f t="shared" si="68"/>
        <v>#NUM!</v>
      </c>
      <c r="CY89" s="59">
        <f ca="1">AVERAGE(OFFSET($CX$3,0,0,'Données projet'!$E$13+1,1))-AVERAGE(OFFSET($H$3,0,0,'Données projet'!$E$13+1,1))</f>
        <v>0</v>
      </c>
      <c r="CZ89" s="59">
        <f t="shared" si="96"/>
        <v>0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0</v>
      </c>
      <c r="DG89" s="21">
        <f>EXP(-LN(2)/25)*DG88+(1-EXP(-LN(2)/25))/(LN(2)/25)*Calculateur!DB89*Calculateur!DD89*VLOOKUP('Données projet'!$B$13,Paramètres!$A$1:$I$89,3,0)*0.475*44/12</f>
        <v>0</v>
      </c>
      <c r="DH89" s="21">
        <f>EXP(-LN(2)/2)*DH88+(1-EXP(-LN(2)/2))/(LN(2)/2)*DB89*DE89*VLOOKUP('Données projet'!$B$13,Paramètres!$A$1:$I$89,3,0)*0.475*44/12</f>
        <v>0</v>
      </c>
      <c r="DI89" s="22">
        <f t="shared" si="69"/>
        <v>0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-2.2737367544323206E-13</v>
      </c>
      <c r="O90" s="13">
        <f>N90*VLOOKUP('Données projet'!$B$9,Paramètres!$A$1:$I$89,3,0)*VLOOKUP('Données projet'!$B$9,Paramètres!$A$1:$I$89,5,0)</f>
        <v>-1.3596945791505279E-13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181.92766225683107</v>
      </c>
      <c r="T90" s="59">
        <f t="shared" si="88"/>
        <v>370.52917139565756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21.257322402186421</v>
      </c>
      <c r="AA90" s="21">
        <f>EXP(-LN(2)/25)*AA89+(1-EXP(-LN(2)/25))/(LN(2)/25)*Calculateur!V90*Calculateur!X90*VLOOKUP('Données projet'!$B$9,Paramètres!$A$1:$I$89,3,0)*0.475*44/12</f>
        <v>12.120707434320479</v>
      </c>
      <c r="AB90" s="21">
        <f>EXP(-LN(2)/2)*AB89+(1-EXP(-LN(2)/2))/(LN(2)/2)*V90*Y90*VLOOKUP('Données projet'!$B$9,Paramètres!$A$1:$I$89,3,0)*0.475*44/12</f>
        <v>1.1970112508337211E-6</v>
      </c>
      <c r="AC90" s="22">
        <f t="shared" si="57"/>
        <v>33.378031033518148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5.6843418860808015E-14</v>
      </c>
      <c r="AJ90" s="13">
        <f>AI90*VLOOKUP('Données projet'!$B$10,Paramètres!$A$1:$I$89,3,0)*VLOOKUP('Données projet'!$B$10,Paramètres!$A$1:$I$89,5,0)</f>
        <v>4.6111381379887463E-14</v>
      </c>
      <c r="AK90" s="13">
        <f t="shared" si="89"/>
        <v>7.5804141040779151E-13</v>
      </c>
      <c r="AL90" s="20">
        <f t="shared" si="58"/>
        <v>1.4005661123635408E-12</v>
      </c>
      <c r="AM90" s="59">
        <f t="shared" si="59"/>
        <v>293.33333333333474</v>
      </c>
      <c r="AN90" s="59">
        <f ca="1">AVERAGE(OFFSET($AM$3,0,0,'Données projet'!$E$10+1,1))-AVERAGE(OFFSET($H$3,0,0,'Données projet'!$E$10+1,1))</f>
        <v>235.31102883830971</v>
      </c>
      <c r="AO90" s="59">
        <f t="shared" si="90"/>
        <v>271.48630853790422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0</v>
      </c>
      <c r="AV90" s="21">
        <f>EXP(-LN(2)/25)*AV89+(1-EXP(-LN(2)/25))/(LN(2)/25)*Calculateur!AQ90*Calculateur!AS90*VLOOKUP('Données projet'!$B$10,Paramètres!$A$1:$I$89,3,0)*0.475*44/12</f>
        <v>1.7514437963368861</v>
      </c>
      <c r="AW90" s="21">
        <f>EXP(-LN(2)/2)*AW89+(1-EXP(-LN(2)/2))/(LN(2)/2)*AQ90*AT90*VLOOKUP('Données projet'!$B$10,Paramètres!$A$1:$I$89,3,0)*0.475*44/12</f>
        <v>2.8903701114816281E-8</v>
      </c>
      <c r="AX90" s="21">
        <f t="shared" si="60"/>
        <v>1.7514438252405873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4.3</v>
      </c>
      <c r="BD90" s="12">
        <f>IF('Données projet'!$A$88&gt;35,BD89+BC90-BL89,IF(A90&lt;'Données projet'!$A$88,$BA$205^A90,IF(A90='Données projet'!$A$88,'Données projet'!$B$88,BD89+BC90-BL89)))</f>
        <v>208.10000000000005</v>
      </c>
      <c r="BE90" s="13">
        <f>BD90*VLOOKUP('Données projet'!$B$11,Paramètres!$A$1:$I$89,3,0)*VLOOKUP('Données projet'!$B$11,Paramètres!$A$1:$I$89,5,0)</f>
        <v>236.98428000000007</v>
      </c>
      <c r="BF90" s="13">
        <f t="shared" si="91"/>
        <v>57.790206890214137</v>
      </c>
      <c r="BG90" s="20">
        <f t="shared" si="61"/>
        <v>513.39889800045637</v>
      </c>
      <c r="BH90" s="59">
        <f t="shared" si="62"/>
        <v>806.73223133378974</v>
      </c>
      <c r="BI90" s="59">
        <f ca="1">AVERAGE(OFFSET($BH$3,0,0,'Données projet'!$E$11+1,1))-AVERAGE(OFFSET($H$3,0,0,'Données projet'!$E$11+1,1))</f>
        <v>249.01678065306629</v>
      </c>
      <c r="BJ90" s="59">
        <f t="shared" si="92"/>
        <v>99.639724892155641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0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>
        <f>BY90*VLOOKUP('Données projet'!$B$12,Paramètres!$A$1:$I$89,3,0)*VLOOKUP('Données projet'!$B$12,Paramètres!$A$1:$I$89,5,0)</f>
        <v>0</v>
      </c>
      <c r="CA90" s="13" t="e">
        <f t="shared" si="93"/>
        <v>#NUM!</v>
      </c>
      <c r="CB90" s="20" t="e">
        <f t="shared" si="64"/>
        <v>#NUM!</v>
      </c>
      <c r="CC90" s="59" t="e">
        <f t="shared" si="65"/>
        <v>#NUM!</v>
      </c>
      <c r="CD90" s="59">
        <f ca="1">AVERAGE(OFFSET($CC$3,0,0,'Données projet'!$E$12+1,1))-AVERAGE(OFFSET($H$3,0,0,'Données projet'!$E$12+1,1))</f>
        <v>0</v>
      </c>
      <c r="CE90" s="59">
        <f t="shared" si="94"/>
        <v>0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0</v>
      </c>
      <c r="CL90" s="21">
        <f>EXP(-LN(2)/25)*CL89+(1-EXP(-LN(2)/25))/(LN(2)/25)*Calculateur!CG90*Calculateur!CI90*VLOOKUP('Données projet'!$B$12,Paramètres!$A$1:$I$89,3,0)*0.475*44/12</f>
        <v>0</v>
      </c>
      <c r="CM90" s="21">
        <f>EXP(-LN(2)/2)*CM89+(1-EXP(-LN(2)/2))/(LN(2)/2)*CG90*CJ90*VLOOKUP('Données projet'!$B$12,Paramètres!$A$1:$I$89,3,0)*0.475*44/12</f>
        <v>0</v>
      </c>
      <c r="CN90" s="22">
        <f t="shared" si="66"/>
        <v>0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>
        <f>CT90*VLOOKUP('Données projet'!$B$13,Paramètres!$A$1:$I$89,3,0)*VLOOKUP('Données projet'!$B$13,Paramètres!$A$1:$I$89,5,0)</f>
        <v>0</v>
      </c>
      <c r="CV90" s="13" t="e">
        <f t="shared" si="95"/>
        <v>#NUM!</v>
      </c>
      <c r="CW90" s="20" t="e">
        <f t="shared" si="67"/>
        <v>#NUM!</v>
      </c>
      <c r="CX90" s="59" t="e">
        <f t="shared" si="68"/>
        <v>#NUM!</v>
      </c>
      <c r="CY90" s="59">
        <f ca="1">AVERAGE(OFFSET($CX$3,0,0,'Données projet'!$E$13+1,1))-AVERAGE(OFFSET($H$3,0,0,'Données projet'!$E$13+1,1))</f>
        <v>0</v>
      </c>
      <c r="CZ90" s="59">
        <f t="shared" si="96"/>
        <v>0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0</v>
      </c>
      <c r="DG90" s="21">
        <f>EXP(-LN(2)/25)*DG89+(1-EXP(-LN(2)/25))/(LN(2)/25)*Calculateur!DB90*Calculateur!DD90*VLOOKUP('Données projet'!$B$13,Paramètres!$A$1:$I$89,3,0)*0.475*44/12</f>
        <v>0</v>
      </c>
      <c r="DH90" s="21">
        <f>EXP(-LN(2)/2)*DH89+(1-EXP(-LN(2)/2))/(LN(2)/2)*DB90*DE90*VLOOKUP('Données projet'!$B$13,Paramètres!$A$1:$I$89,3,0)*0.475*44/12</f>
        <v>0</v>
      </c>
      <c r="DI90" s="22">
        <f t="shared" si="69"/>
        <v>0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-2.2737367544323206E-13</v>
      </c>
      <c r="O91" s="13">
        <f>N91*VLOOKUP('Données projet'!$B$9,Paramètres!$A$1:$I$89,3,0)*VLOOKUP('Données projet'!$B$9,Paramètres!$A$1:$I$89,5,0)</f>
        <v>-1.3596945791505279E-13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181.92766225683107</v>
      </c>
      <c r="T91" s="59">
        <f t="shared" si="88"/>
        <v>370.52917139565756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20.840479275565954</v>
      </c>
      <c r="AA91" s="21">
        <f>EXP(-LN(2)/25)*AA90+(1-EXP(-LN(2)/25))/(LN(2)/25)*Calculateur!V91*Calculateur!X91*VLOOKUP('Données projet'!$B$9,Paramètres!$A$1:$I$89,3,0)*0.475*44/12</f>
        <v>11.789266052128685</v>
      </c>
      <c r="AB91" s="21">
        <f>EXP(-LN(2)/2)*AB90+(1-EXP(-LN(2)/2))/(LN(2)/2)*V91*Y91*VLOOKUP('Données projet'!$B$9,Paramètres!$A$1:$I$89,3,0)*0.475*44/12</f>
        <v>8.4641477262111557E-7</v>
      </c>
      <c r="AC91" s="22">
        <f t="shared" si="57"/>
        <v>32.629746174109407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5.6843418860808015E-14</v>
      </c>
      <c r="AJ91" s="13">
        <f>AI91*VLOOKUP('Données projet'!$B$10,Paramètres!$A$1:$I$89,3,0)*VLOOKUP('Données projet'!$B$10,Paramètres!$A$1:$I$89,5,0)</f>
        <v>4.6111381379887463E-14</v>
      </c>
      <c r="AK91" s="13">
        <f t="shared" si="89"/>
        <v>7.5804141040779151E-13</v>
      </c>
      <c r="AL91" s="20">
        <f t="shared" si="58"/>
        <v>1.4005661123635408E-12</v>
      </c>
      <c r="AM91" s="59">
        <f t="shared" si="59"/>
        <v>293.33333333333474</v>
      </c>
      <c r="AN91" s="59">
        <f ca="1">AVERAGE(OFFSET($AM$3,0,0,'Données projet'!$E$10+1,1))-AVERAGE(OFFSET($H$3,0,0,'Données projet'!$E$10+1,1))</f>
        <v>235.31102883830971</v>
      </c>
      <c r="AO91" s="59">
        <f t="shared" si="90"/>
        <v>271.48630853790422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0</v>
      </c>
      <c r="AV91" s="21">
        <f>EXP(-LN(2)/25)*AV90+(1-EXP(-LN(2)/25))/(LN(2)/25)*Calculateur!AQ91*Calculateur!AS91*VLOOKUP('Données projet'!$B$10,Paramètres!$A$1:$I$89,3,0)*0.475*44/12</f>
        <v>1.7035504736216276</v>
      </c>
      <c r="AW91" s="21">
        <f>EXP(-LN(2)/2)*AW90+(1-EXP(-LN(2)/2))/(LN(2)/2)*AQ91*AT91*VLOOKUP('Données projet'!$B$10,Paramètres!$A$1:$I$89,3,0)*0.475*44/12</f>
        <v>2.0438003059675766E-8</v>
      </c>
      <c r="AX91" s="21">
        <f t="shared" si="60"/>
        <v>1.7035504940596307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4.3</v>
      </c>
      <c r="BD91" s="12">
        <f>IF('Données projet'!$A$88&gt;35,BD90+BC91-BL90,IF(A91&lt;'Données projet'!$A$88,$BA$205^A91,IF(A91='Données projet'!$A$88,'Données projet'!$B$88,BD90+BC91-BL90)))</f>
        <v>212.40000000000006</v>
      </c>
      <c r="BE91" s="13">
        <f>BD91*VLOOKUP('Données projet'!$B$11,Paramètres!$A$1:$I$89,3,0)*VLOOKUP('Données projet'!$B$11,Paramètres!$A$1:$I$89,5,0)</f>
        <v>241.8811200000001</v>
      </c>
      <c r="BF91" s="13">
        <f t="shared" si="91"/>
        <v>58.844078522878426</v>
      </c>
      <c r="BG91" s="20">
        <f t="shared" si="61"/>
        <v>523.76305409401346</v>
      </c>
      <c r="BH91" s="59">
        <f t="shared" si="62"/>
        <v>817.09638742734683</v>
      </c>
      <c r="BI91" s="59">
        <f ca="1">AVERAGE(OFFSET($BH$3,0,0,'Données projet'!$E$11+1,1))-AVERAGE(OFFSET($H$3,0,0,'Données projet'!$E$11+1,1))</f>
        <v>249.01678065306629</v>
      </c>
      <c r="BJ91" s="59">
        <f t="shared" si="92"/>
        <v>99.639724892155641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0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>
        <f>BY91*VLOOKUP('Données projet'!$B$12,Paramètres!$A$1:$I$89,3,0)*VLOOKUP('Données projet'!$B$12,Paramètres!$A$1:$I$89,5,0)</f>
        <v>0</v>
      </c>
      <c r="CA91" s="13" t="e">
        <f t="shared" si="93"/>
        <v>#NUM!</v>
      </c>
      <c r="CB91" s="20" t="e">
        <f t="shared" si="64"/>
        <v>#NUM!</v>
      </c>
      <c r="CC91" s="59" t="e">
        <f t="shared" si="65"/>
        <v>#NUM!</v>
      </c>
      <c r="CD91" s="59">
        <f ca="1">AVERAGE(OFFSET($CC$3,0,0,'Données projet'!$E$12+1,1))-AVERAGE(OFFSET($H$3,0,0,'Données projet'!$E$12+1,1))</f>
        <v>0</v>
      </c>
      <c r="CE91" s="59">
        <f t="shared" si="94"/>
        <v>0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0</v>
      </c>
      <c r="CL91" s="21">
        <f>EXP(-LN(2)/25)*CL90+(1-EXP(-LN(2)/25))/(LN(2)/25)*Calculateur!CG91*Calculateur!CI91*VLOOKUP('Données projet'!$B$12,Paramètres!$A$1:$I$89,3,0)*0.475*44/12</f>
        <v>0</v>
      </c>
      <c r="CM91" s="21">
        <f>EXP(-LN(2)/2)*CM90+(1-EXP(-LN(2)/2))/(LN(2)/2)*CG91*CJ91*VLOOKUP('Données projet'!$B$12,Paramètres!$A$1:$I$89,3,0)*0.475*44/12</f>
        <v>0</v>
      </c>
      <c r="CN91" s="22">
        <f t="shared" si="66"/>
        <v>0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>
        <f>CT91*VLOOKUP('Données projet'!$B$13,Paramètres!$A$1:$I$89,3,0)*VLOOKUP('Données projet'!$B$13,Paramètres!$A$1:$I$89,5,0)</f>
        <v>0</v>
      </c>
      <c r="CV91" s="13" t="e">
        <f t="shared" si="95"/>
        <v>#NUM!</v>
      </c>
      <c r="CW91" s="20" t="e">
        <f t="shared" si="67"/>
        <v>#NUM!</v>
      </c>
      <c r="CX91" s="59" t="e">
        <f t="shared" si="68"/>
        <v>#NUM!</v>
      </c>
      <c r="CY91" s="59">
        <f ca="1">AVERAGE(OFFSET($CX$3,0,0,'Données projet'!$E$13+1,1))-AVERAGE(OFFSET($H$3,0,0,'Données projet'!$E$13+1,1))</f>
        <v>0</v>
      </c>
      <c r="CZ91" s="59">
        <f t="shared" si="96"/>
        <v>0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0</v>
      </c>
      <c r="DG91" s="21">
        <f>EXP(-LN(2)/25)*DG90+(1-EXP(-LN(2)/25))/(LN(2)/25)*Calculateur!DB91*Calculateur!DD91*VLOOKUP('Données projet'!$B$13,Paramètres!$A$1:$I$89,3,0)*0.475*44/12</f>
        <v>0</v>
      </c>
      <c r="DH91" s="21">
        <f>EXP(-LN(2)/2)*DH90+(1-EXP(-LN(2)/2))/(LN(2)/2)*DB91*DE91*VLOOKUP('Données projet'!$B$13,Paramètres!$A$1:$I$89,3,0)*0.475*44/12</f>
        <v>0</v>
      </c>
      <c r="DI91" s="22">
        <f t="shared" si="69"/>
        <v>0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-2.2737367544323206E-13</v>
      </c>
      <c r="O92" s="13">
        <f>N92*VLOOKUP('Données projet'!$B$9,Paramètres!$A$1:$I$89,3,0)*VLOOKUP('Données projet'!$B$9,Paramètres!$A$1:$I$89,5,0)</f>
        <v>-1.3596945791505279E-13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181.92766225683107</v>
      </c>
      <c r="T92" s="59">
        <f t="shared" si="88"/>
        <v>370.52917139565756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20.431810188409315</v>
      </c>
      <c r="AA92" s="21">
        <f>EXP(-LN(2)/25)*AA91+(1-EXP(-LN(2)/25))/(LN(2)/25)*Calculateur!V92*Calculateur!X92*VLOOKUP('Données projet'!$B$9,Paramètres!$A$1:$I$89,3,0)*0.475*44/12</f>
        <v>11.466887951962669</v>
      </c>
      <c r="AB92" s="21">
        <f>EXP(-LN(2)/2)*AB91+(1-EXP(-LN(2)/2))/(LN(2)/2)*V92*Y92*VLOOKUP('Données projet'!$B$9,Paramètres!$A$1:$I$89,3,0)*0.475*44/12</f>
        <v>5.9850562541686053E-7</v>
      </c>
      <c r="AC92" s="22">
        <f t="shared" si="57"/>
        <v>31.898698738877609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5.6843418860808015E-14</v>
      </c>
      <c r="AJ92" s="13">
        <f>AI92*VLOOKUP('Données projet'!$B$10,Paramètres!$A$1:$I$89,3,0)*VLOOKUP('Données projet'!$B$10,Paramètres!$A$1:$I$89,5,0)</f>
        <v>4.6111381379887463E-14</v>
      </c>
      <c r="AK92" s="13">
        <f t="shared" si="89"/>
        <v>7.5804141040779151E-13</v>
      </c>
      <c r="AL92" s="20">
        <f t="shared" si="58"/>
        <v>1.4005661123635408E-12</v>
      </c>
      <c r="AM92" s="59">
        <f t="shared" si="59"/>
        <v>293.33333333333474</v>
      </c>
      <c r="AN92" s="59">
        <f ca="1">AVERAGE(OFFSET($AM$3,0,0,'Données projet'!$E$10+1,1))-AVERAGE(OFFSET($H$3,0,0,'Données projet'!$E$10+1,1))</f>
        <v>235.31102883830971</v>
      </c>
      <c r="AO92" s="59">
        <f t="shared" si="90"/>
        <v>271.48630853790422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0</v>
      </c>
      <c r="AV92" s="21">
        <f>EXP(-LN(2)/25)*AV91+(1-EXP(-LN(2)/25))/(LN(2)/25)*Calculateur!AQ92*Calculateur!AS92*VLOOKUP('Données projet'!$B$10,Paramètres!$A$1:$I$89,3,0)*0.475*44/12</f>
        <v>1.6569667963346182</v>
      </c>
      <c r="AW92" s="21">
        <f>EXP(-LN(2)/2)*AW91+(1-EXP(-LN(2)/2))/(LN(2)/2)*AQ92*AT92*VLOOKUP('Données projet'!$B$10,Paramètres!$A$1:$I$89,3,0)*0.475*44/12</f>
        <v>1.4451850557408141E-8</v>
      </c>
      <c r="AX92" s="21">
        <f t="shared" si="60"/>
        <v>1.6569668107864688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4.3</v>
      </c>
      <c r="BD92" s="12">
        <f>IF('Données projet'!$A$88&gt;35,BD91+BC92-BL91,IF(A92&lt;'Données projet'!$A$88,$BA$205^A92,IF(A92='Données projet'!$A$88,'Données projet'!$B$88,BD91+BC92-BL91)))</f>
        <v>216.70000000000007</v>
      </c>
      <c r="BE92" s="13">
        <f>BD92*VLOOKUP('Données projet'!$B$11,Paramètres!$A$1:$I$89,3,0)*VLOOKUP('Données projet'!$B$11,Paramètres!$A$1:$I$89,5,0)</f>
        <v>246.77796000000009</v>
      </c>
      <c r="BF92" s="13">
        <f t="shared" si="91"/>
        <v>59.895469454713925</v>
      </c>
      <c r="BG92" s="20">
        <f t="shared" si="61"/>
        <v>534.12288963362687</v>
      </c>
      <c r="BH92" s="59">
        <f t="shared" si="62"/>
        <v>827.45622296696024</v>
      </c>
      <c r="BI92" s="59">
        <f ca="1">AVERAGE(OFFSET($BH$3,0,0,'Données projet'!$E$11+1,1))-AVERAGE(OFFSET($H$3,0,0,'Données projet'!$E$11+1,1))</f>
        <v>249.01678065306629</v>
      </c>
      <c r="BJ92" s="59">
        <f t="shared" si="92"/>
        <v>99.639724892155641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0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>
        <f>BY92*VLOOKUP('Données projet'!$B$12,Paramètres!$A$1:$I$89,3,0)*VLOOKUP('Données projet'!$B$12,Paramètres!$A$1:$I$89,5,0)</f>
        <v>0</v>
      </c>
      <c r="CA92" s="13" t="e">
        <f t="shared" si="93"/>
        <v>#NUM!</v>
      </c>
      <c r="CB92" s="20" t="e">
        <f t="shared" si="64"/>
        <v>#NUM!</v>
      </c>
      <c r="CC92" s="59" t="e">
        <f t="shared" si="65"/>
        <v>#NUM!</v>
      </c>
      <c r="CD92" s="59">
        <f ca="1">AVERAGE(OFFSET($CC$3,0,0,'Données projet'!$E$12+1,1))-AVERAGE(OFFSET($H$3,0,0,'Données projet'!$E$12+1,1))</f>
        <v>0</v>
      </c>
      <c r="CE92" s="59">
        <f t="shared" si="94"/>
        <v>0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0</v>
      </c>
      <c r="CL92" s="21">
        <f>EXP(-LN(2)/25)*CL91+(1-EXP(-LN(2)/25))/(LN(2)/25)*Calculateur!CG92*Calculateur!CI92*VLOOKUP('Données projet'!$B$12,Paramètres!$A$1:$I$89,3,0)*0.475*44/12</f>
        <v>0</v>
      </c>
      <c r="CM92" s="21">
        <f>EXP(-LN(2)/2)*CM91+(1-EXP(-LN(2)/2))/(LN(2)/2)*CG92*CJ92*VLOOKUP('Données projet'!$B$12,Paramètres!$A$1:$I$89,3,0)*0.475*44/12</f>
        <v>0</v>
      </c>
      <c r="CN92" s="22">
        <f t="shared" si="66"/>
        <v>0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>
        <f>CT92*VLOOKUP('Données projet'!$B$13,Paramètres!$A$1:$I$89,3,0)*VLOOKUP('Données projet'!$B$13,Paramètres!$A$1:$I$89,5,0)</f>
        <v>0</v>
      </c>
      <c r="CV92" s="13" t="e">
        <f t="shared" si="95"/>
        <v>#NUM!</v>
      </c>
      <c r="CW92" s="20" t="e">
        <f t="shared" si="67"/>
        <v>#NUM!</v>
      </c>
      <c r="CX92" s="59" t="e">
        <f t="shared" si="68"/>
        <v>#NUM!</v>
      </c>
      <c r="CY92" s="59">
        <f ca="1">AVERAGE(OFFSET($CX$3,0,0,'Données projet'!$E$13+1,1))-AVERAGE(OFFSET($H$3,0,0,'Données projet'!$E$13+1,1))</f>
        <v>0</v>
      </c>
      <c r="CZ92" s="59">
        <f t="shared" si="96"/>
        <v>0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0</v>
      </c>
      <c r="DG92" s="21">
        <f>EXP(-LN(2)/25)*DG91+(1-EXP(-LN(2)/25))/(LN(2)/25)*Calculateur!DB92*Calculateur!DD92*VLOOKUP('Données projet'!$B$13,Paramètres!$A$1:$I$89,3,0)*0.475*44/12</f>
        <v>0</v>
      </c>
      <c r="DH92" s="21">
        <f>EXP(-LN(2)/2)*DH91+(1-EXP(-LN(2)/2))/(LN(2)/2)*DB92*DE92*VLOOKUP('Données projet'!$B$13,Paramètres!$A$1:$I$89,3,0)*0.475*44/12</f>
        <v>0</v>
      </c>
      <c r="DI92" s="22">
        <f t="shared" si="69"/>
        <v>0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-2.2737367544323206E-13</v>
      </c>
      <c r="O93" s="13">
        <f>N93*VLOOKUP('Données projet'!$B$9,Paramètres!$A$1:$I$89,3,0)*VLOOKUP('Données projet'!$B$9,Paramètres!$A$1:$I$89,5,0)</f>
        <v>-1.3596945791505279E-13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181.92766225683107</v>
      </c>
      <c r="T93" s="59">
        <f t="shared" si="88"/>
        <v>370.52917139565756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20.031154852788287</v>
      </c>
      <c r="AA93" s="21">
        <f>EXP(-LN(2)/25)*AA92+(1-EXP(-LN(2)/25))/(LN(2)/25)*Calculateur!V93*Calculateur!X93*VLOOKUP('Données projet'!$B$9,Paramètres!$A$1:$I$89,3,0)*0.475*44/12</f>
        <v>11.153325297898819</v>
      </c>
      <c r="AB93" s="21">
        <f>EXP(-LN(2)/2)*AB92+(1-EXP(-LN(2)/2))/(LN(2)/2)*V93*Y93*VLOOKUP('Données projet'!$B$9,Paramètres!$A$1:$I$89,3,0)*0.475*44/12</f>
        <v>4.2320738631055778E-7</v>
      </c>
      <c r="AC93" s="22">
        <f t="shared" si="57"/>
        <v>31.184480573894493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5.6843418860808015E-14</v>
      </c>
      <c r="AJ93" s="13">
        <f>AI93*VLOOKUP('Données projet'!$B$10,Paramètres!$A$1:$I$89,3,0)*VLOOKUP('Données projet'!$B$10,Paramètres!$A$1:$I$89,5,0)</f>
        <v>4.6111381379887463E-14</v>
      </c>
      <c r="AK93" s="13">
        <f t="shared" si="89"/>
        <v>7.5804141040779151E-13</v>
      </c>
      <c r="AL93" s="20">
        <f t="shared" si="58"/>
        <v>1.4005661123635408E-12</v>
      </c>
      <c r="AM93" s="59">
        <f t="shared" si="59"/>
        <v>293.33333333333474</v>
      </c>
      <c r="AN93" s="59">
        <f ca="1">AVERAGE(OFFSET($AM$3,0,0,'Données projet'!$E$10+1,1))-AVERAGE(OFFSET($H$3,0,0,'Données projet'!$E$10+1,1))</f>
        <v>235.31102883830971</v>
      </c>
      <c r="AO93" s="59">
        <f t="shared" si="90"/>
        <v>271.48630853790422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0</v>
      </c>
      <c r="AV93" s="21">
        <f>EXP(-LN(2)/25)*AV92+(1-EXP(-LN(2)/25))/(LN(2)/25)*Calculateur!AQ93*Calculateur!AS93*VLOOKUP('Données projet'!$B$10,Paramètres!$A$1:$I$89,3,0)*0.475*44/12</f>
        <v>1.6116569521527513</v>
      </c>
      <c r="AW93" s="21">
        <f>EXP(-LN(2)/2)*AW92+(1-EXP(-LN(2)/2))/(LN(2)/2)*AQ93*AT93*VLOOKUP('Données projet'!$B$10,Paramètres!$A$1:$I$89,3,0)*0.475*44/12</f>
        <v>1.0219001529837883E-8</v>
      </c>
      <c r="AX93" s="21">
        <f t="shared" si="60"/>
        <v>1.6116569623717527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221</v>
      </c>
      <c r="BB93" s="12">
        <f>VLOOKUP(A93,'Données projet'!$A$87:$I$107,9,0)</f>
        <v>4.3</v>
      </c>
      <c r="BC93" s="12">
        <f t="array" ref="BC93">INDEX(BB:BB,MIN(IF(ISNUMBER(BB93:BB289),ROW(BB93:BB289),"")))</f>
        <v>4.3</v>
      </c>
      <c r="BD93" s="12">
        <f>IF('Données projet'!$A$88&gt;35,BD92+BC93-BL92,IF(A93&lt;'Données projet'!$A$88,$BA$205^A93,IF(A93='Données projet'!$A$88,'Données projet'!$B$88,BD92+BC93-BL92)))</f>
        <v>221.00000000000009</v>
      </c>
      <c r="BE93" s="13">
        <f>BD93*VLOOKUP('Données projet'!$B$11,Paramètres!$A$1:$I$89,3,0)*VLOOKUP('Données projet'!$B$11,Paramètres!$A$1:$I$89,5,0)</f>
        <v>251.67480000000012</v>
      </c>
      <c r="BF93" s="13">
        <f t="shared" si="91"/>
        <v>60.944434584138499</v>
      </c>
      <c r="BG93" s="20">
        <f t="shared" si="61"/>
        <v>544.47850023404135</v>
      </c>
      <c r="BH93" s="59">
        <f t="shared" si="62"/>
        <v>837.81183356737461</v>
      </c>
      <c r="BI93" s="59">
        <f ca="1">AVERAGE(OFFSET($BH$3,0,0,'Données projet'!$E$11+1,1))-AVERAGE(OFFSET($H$3,0,0,'Données projet'!$E$11+1,1))</f>
        <v>249.01678065306629</v>
      </c>
      <c r="BJ93" s="59">
        <f t="shared" si="92"/>
        <v>99.639724892155641</v>
      </c>
      <c r="BK93" s="15">
        <f>IF(ISNA(VLOOKUP(A93,'Données projet'!$A$87:$I$107,3,0)),0,VLOOKUP(A93,'Données projet'!$A$87:$I$107,3,0))</f>
        <v>6</v>
      </c>
      <c r="BL93" s="15">
        <f>IF(ISNA(VLOOKUP(A93,'Données projet'!$A$87:$I$107,4,0)),0,VLOOKUP(A93,'Données projet'!$A$87:$I$107,4,0))</f>
        <v>28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0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>
        <f>BY93*VLOOKUP('Données projet'!$B$12,Paramètres!$A$1:$I$89,3,0)*VLOOKUP('Données projet'!$B$12,Paramètres!$A$1:$I$89,5,0)</f>
        <v>0</v>
      </c>
      <c r="CA93" s="13" t="e">
        <f t="shared" si="93"/>
        <v>#NUM!</v>
      </c>
      <c r="CB93" s="20" t="e">
        <f t="shared" si="64"/>
        <v>#NUM!</v>
      </c>
      <c r="CC93" s="59" t="e">
        <f t="shared" si="65"/>
        <v>#NUM!</v>
      </c>
      <c r="CD93" s="59">
        <f ca="1">AVERAGE(OFFSET($CC$3,0,0,'Données projet'!$E$12+1,1))-AVERAGE(OFFSET($H$3,0,0,'Données projet'!$E$12+1,1))</f>
        <v>0</v>
      </c>
      <c r="CE93" s="59">
        <f t="shared" si="94"/>
        <v>0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0</v>
      </c>
      <c r="CL93" s="21">
        <f>EXP(-LN(2)/25)*CL92+(1-EXP(-LN(2)/25))/(LN(2)/25)*Calculateur!CG93*Calculateur!CI93*VLOOKUP('Données projet'!$B$12,Paramètres!$A$1:$I$89,3,0)*0.475*44/12</f>
        <v>0</v>
      </c>
      <c r="CM93" s="21">
        <f>EXP(-LN(2)/2)*CM92+(1-EXP(-LN(2)/2))/(LN(2)/2)*CG93*CJ93*VLOOKUP('Données projet'!$B$12,Paramètres!$A$1:$I$89,3,0)*0.475*44/12</f>
        <v>0</v>
      </c>
      <c r="CN93" s="22">
        <f t="shared" si="66"/>
        <v>0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>
        <f>CT93*VLOOKUP('Données projet'!$B$13,Paramètres!$A$1:$I$89,3,0)*VLOOKUP('Données projet'!$B$13,Paramètres!$A$1:$I$89,5,0)</f>
        <v>0</v>
      </c>
      <c r="CV93" s="13" t="e">
        <f t="shared" si="95"/>
        <v>#NUM!</v>
      </c>
      <c r="CW93" s="20" t="e">
        <f t="shared" si="67"/>
        <v>#NUM!</v>
      </c>
      <c r="CX93" s="59" t="e">
        <f t="shared" si="68"/>
        <v>#NUM!</v>
      </c>
      <c r="CY93" s="59">
        <f ca="1">AVERAGE(OFFSET($CX$3,0,0,'Données projet'!$E$13+1,1))-AVERAGE(OFFSET($H$3,0,0,'Données projet'!$E$13+1,1))</f>
        <v>0</v>
      </c>
      <c r="CZ93" s="59">
        <f t="shared" si="96"/>
        <v>0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0</v>
      </c>
      <c r="DG93" s="21">
        <f>EXP(-LN(2)/25)*DG92+(1-EXP(-LN(2)/25))/(LN(2)/25)*Calculateur!DB93*Calculateur!DD93*VLOOKUP('Données projet'!$B$13,Paramètres!$A$1:$I$89,3,0)*0.475*44/12</f>
        <v>0</v>
      </c>
      <c r="DH93" s="21">
        <f>EXP(-LN(2)/2)*DH92+(1-EXP(-LN(2)/2))/(LN(2)/2)*DB93*DE93*VLOOKUP('Données projet'!$B$13,Paramètres!$A$1:$I$89,3,0)*0.475*44/12</f>
        <v>0</v>
      </c>
      <c r="DI93" s="22">
        <f t="shared" si="69"/>
        <v>0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-2.2737367544323206E-13</v>
      </c>
      <c r="O94" s="13">
        <f>N94*VLOOKUP('Données projet'!$B$9,Paramètres!$A$1:$I$89,3,0)*VLOOKUP('Données projet'!$B$9,Paramètres!$A$1:$I$89,5,0)</f>
        <v>-1.3596945791505279E-13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181.92766225683107</v>
      </c>
      <c r="T94" s="59">
        <f t="shared" si="88"/>
        <v>370.52917139565756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19.638356123923163</v>
      </c>
      <c r="AA94" s="21">
        <f>EXP(-LN(2)/25)*AA93+(1-EXP(-LN(2)/25))/(LN(2)/25)*Calculateur!V94*Calculateur!X94*VLOOKUP('Données projet'!$B$9,Paramètres!$A$1:$I$89,3,0)*0.475*44/12</f>
        <v>10.84833703109989</v>
      </c>
      <c r="AB94" s="21">
        <f>EXP(-LN(2)/2)*AB93+(1-EXP(-LN(2)/2))/(LN(2)/2)*V94*Y94*VLOOKUP('Données projet'!$B$9,Paramètres!$A$1:$I$89,3,0)*0.475*44/12</f>
        <v>2.9925281270843027E-7</v>
      </c>
      <c r="AC94" s="22">
        <f t="shared" si="57"/>
        <v>30.486693454275866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5.6843418860808015E-14</v>
      </c>
      <c r="AJ94" s="13">
        <f>AI94*VLOOKUP('Données projet'!$B$10,Paramètres!$A$1:$I$89,3,0)*VLOOKUP('Données projet'!$B$10,Paramètres!$A$1:$I$89,5,0)</f>
        <v>4.6111381379887463E-14</v>
      </c>
      <c r="AK94" s="13">
        <f t="shared" si="89"/>
        <v>7.5804141040779151E-13</v>
      </c>
      <c r="AL94" s="20">
        <f t="shared" si="58"/>
        <v>1.4005661123635408E-12</v>
      </c>
      <c r="AM94" s="59">
        <f t="shared" si="59"/>
        <v>293.33333333333474</v>
      </c>
      <c r="AN94" s="59">
        <f ca="1">AVERAGE(OFFSET($AM$3,0,0,'Données projet'!$E$10+1,1))-AVERAGE(OFFSET($H$3,0,0,'Données projet'!$E$10+1,1))</f>
        <v>235.31102883830971</v>
      </c>
      <c r="AO94" s="59">
        <f t="shared" si="90"/>
        <v>271.48630853790422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0</v>
      </c>
      <c r="AV94" s="21">
        <f>EXP(-LN(2)/25)*AV93+(1-EXP(-LN(2)/25))/(LN(2)/25)*Calculateur!AQ94*Calculateur!AS94*VLOOKUP('Données projet'!$B$10,Paramètres!$A$1:$I$89,3,0)*0.475*44/12</f>
        <v>1.5675861080427786</v>
      </c>
      <c r="AW94" s="21">
        <f>EXP(-LN(2)/2)*AW93+(1-EXP(-LN(2)/2))/(LN(2)/2)*AQ94*AT94*VLOOKUP('Données projet'!$B$10,Paramètres!$A$1:$I$89,3,0)*0.475*44/12</f>
        <v>7.2259252787040704E-9</v>
      </c>
      <c r="AX94" s="21">
        <f t="shared" si="60"/>
        <v>1.5675861152687038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3.7</v>
      </c>
      <c r="BD94" s="12">
        <f>IF('Données projet'!$A$88&gt;35,BD93+BC94-BL93,IF(A94&lt;'Données projet'!$A$88,$BA$205^A94,IF(A94='Données projet'!$A$88,'Données projet'!$B$88,BD93+BC94-BL93)))</f>
        <v>196.70000000000007</v>
      </c>
      <c r="BE94" s="13">
        <f>BD94*VLOOKUP('Données projet'!$B$11,Paramètres!$A$1:$I$89,3,0)*VLOOKUP('Données projet'!$B$11,Paramètres!$A$1:$I$89,5,0)</f>
        <v>224.00196000000005</v>
      </c>
      <c r="BF94" s="13">
        <f t="shared" si="91"/>
        <v>54.983777263895249</v>
      </c>
      <c r="BG94" s="20">
        <f t="shared" si="61"/>
        <v>485.90015906795094</v>
      </c>
      <c r="BH94" s="59">
        <f t="shared" si="62"/>
        <v>779.23349240128425</v>
      </c>
      <c r="BI94" s="59">
        <f ca="1">AVERAGE(OFFSET($BH$3,0,0,'Données projet'!$E$11+1,1))-AVERAGE(OFFSET($H$3,0,0,'Données projet'!$E$11+1,1))</f>
        <v>249.01678065306629</v>
      </c>
      <c r="BJ94" s="59">
        <f t="shared" si="92"/>
        <v>99.639724892155641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0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>
        <f>BY94*VLOOKUP('Données projet'!$B$12,Paramètres!$A$1:$I$89,3,0)*VLOOKUP('Données projet'!$B$12,Paramètres!$A$1:$I$89,5,0)</f>
        <v>0</v>
      </c>
      <c r="CA94" s="13" t="e">
        <f t="shared" si="93"/>
        <v>#NUM!</v>
      </c>
      <c r="CB94" s="20" t="e">
        <f t="shared" si="64"/>
        <v>#NUM!</v>
      </c>
      <c r="CC94" s="59" t="e">
        <f t="shared" si="65"/>
        <v>#NUM!</v>
      </c>
      <c r="CD94" s="59">
        <f ca="1">AVERAGE(OFFSET($CC$3,0,0,'Données projet'!$E$12+1,1))-AVERAGE(OFFSET($H$3,0,0,'Données projet'!$E$12+1,1))</f>
        <v>0</v>
      </c>
      <c r="CE94" s="59">
        <f t="shared" si="94"/>
        <v>0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0</v>
      </c>
      <c r="CL94" s="21">
        <f>EXP(-LN(2)/25)*CL93+(1-EXP(-LN(2)/25))/(LN(2)/25)*Calculateur!CG94*Calculateur!CI94*VLOOKUP('Données projet'!$B$12,Paramètres!$A$1:$I$89,3,0)*0.475*44/12</f>
        <v>0</v>
      </c>
      <c r="CM94" s="21">
        <f>EXP(-LN(2)/2)*CM93+(1-EXP(-LN(2)/2))/(LN(2)/2)*CG94*CJ94*VLOOKUP('Données projet'!$B$12,Paramètres!$A$1:$I$89,3,0)*0.475*44/12</f>
        <v>0</v>
      </c>
      <c r="CN94" s="22">
        <f t="shared" si="66"/>
        <v>0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>
        <f>CT94*VLOOKUP('Données projet'!$B$13,Paramètres!$A$1:$I$89,3,0)*VLOOKUP('Données projet'!$B$13,Paramètres!$A$1:$I$89,5,0)</f>
        <v>0</v>
      </c>
      <c r="CV94" s="13" t="e">
        <f t="shared" si="95"/>
        <v>#NUM!</v>
      </c>
      <c r="CW94" s="20" t="e">
        <f t="shared" si="67"/>
        <v>#NUM!</v>
      </c>
      <c r="CX94" s="59" t="e">
        <f t="shared" si="68"/>
        <v>#NUM!</v>
      </c>
      <c r="CY94" s="59">
        <f ca="1">AVERAGE(OFFSET($CX$3,0,0,'Données projet'!$E$13+1,1))-AVERAGE(OFFSET($H$3,0,0,'Données projet'!$E$13+1,1))</f>
        <v>0</v>
      </c>
      <c r="CZ94" s="59">
        <f t="shared" si="96"/>
        <v>0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0</v>
      </c>
      <c r="DG94" s="21">
        <f>EXP(-LN(2)/25)*DG93+(1-EXP(-LN(2)/25))/(LN(2)/25)*Calculateur!DB94*Calculateur!DD94*VLOOKUP('Données projet'!$B$13,Paramètres!$A$1:$I$89,3,0)*0.475*44/12</f>
        <v>0</v>
      </c>
      <c r="DH94" s="21">
        <f>EXP(-LN(2)/2)*DH93+(1-EXP(-LN(2)/2))/(LN(2)/2)*DB94*DE94*VLOOKUP('Données projet'!$B$13,Paramètres!$A$1:$I$89,3,0)*0.475*44/12</f>
        <v>0</v>
      </c>
      <c r="DI94" s="22">
        <f t="shared" si="69"/>
        <v>0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-2.2737367544323206E-13</v>
      </c>
      <c r="O95" s="13">
        <f>N95*VLOOKUP('Données projet'!$B$9,Paramètres!$A$1:$I$89,3,0)*VLOOKUP('Données projet'!$B$9,Paramètres!$A$1:$I$89,5,0)</f>
        <v>-1.3596945791505279E-13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181.92766225683107</v>
      </c>
      <c r="T95" s="59">
        <f t="shared" si="88"/>
        <v>370.52917139565756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19.253259938547515</v>
      </c>
      <c r="AA95" s="21">
        <f>EXP(-LN(2)/25)*AA94+(1-EXP(-LN(2)/25))/(LN(2)/25)*Calculateur!V95*Calculateur!X95*VLOOKUP('Données projet'!$B$9,Paramètres!$A$1:$I$89,3,0)*0.475*44/12</f>
        <v>10.551688684495213</v>
      </c>
      <c r="AB95" s="21">
        <f>EXP(-LN(2)/2)*AB94+(1-EXP(-LN(2)/2))/(LN(2)/2)*V95*Y95*VLOOKUP('Données projet'!$B$9,Paramètres!$A$1:$I$89,3,0)*0.475*44/12</f>
        <v>2.1160369315527889E-7</v>
      </c>
      <c r="AC95" s="22">
        <f t="shared" si="57"/>
        <v>29.804948834646421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5.6843418860808015E-14</v>
      </c>
      <c r="AJ95" s="13">
        <f>AI95*VLOOKUP('Données projet'!$B$10,Paramètres!$A$1:$I$89,3,0)*VLOOKUP('Données projet'!$B$10,Paramètres!$A$1:$I$89,5,0)</f>
        <v>4.6111381379887463E-14</v>
      </c>
      <c r="AK95" s="13">
        <f t="shared" si="89"/>
        <v>7.5804141040779151E-13</v>
      </c>
      <c r="AL95" s="20">
        <f t="shared" si="58"/>
        <v>1.4005661123635408E-12</v>
      </c>
      <c r="AM95" s="59">
        <f t="shared" si="59"/>
        <v>293.33333333333474</v>
      </c>
      <c r="AN95" s="59">
        <f ca="1">AVERAGE(OFFSET($AM$3,0,0,'Données projet'!$E$10+1,1))-AVERAGE(OFFSET($H$3,0,0,'Données projet'!$E$10+1,1))</f>
        <v>235.31102883830971</v>
      </c>
      <c r="AO95" s="59">
        <f t="shared" si="90"/>
        <v>271.48630853790422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0</v>
      </c>
      <c r="AV95" s="21">
        <f>EXP(-LN(2)/25)*AV94+(1-EXP(-LN(2)/25))/(LN(2)/25)*Calculateur!AQ95*Calculateur!AS95*VLOOKUP('Données projet'!$B$10,Paramètres!$A$1:$I$89,3,0)*0.475*44/12</f>
        <v>1.5247203834825782</v>
      </c>
      <c r="AW95" s="21">
        <f>EXP(-LN(2)/2)*AW94+(1-EXP(-LN(2)/2))/(LN(2)/2)*AQ95*AT95*VLOOKUP('Données projet'!$B$10,Paramètres!$A$1:$I$89,3,0)*0.475*44/12</f>
        <v>5.1095007649189415E-9</v>
      </c>
      <c r="AX95" s="21">
        <f t="shared" si="60"/>
        <v>1.524720388592079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3.7</v>
      </c>
      <c r="BD95" s="12">
        <f>IF('Données projet'!$A$88&gt;35,BD94+BC95-BL94,IF(A95&lt;'Données projet'!$A$88,$BA$205^A95,IF(A95='Données projet'!$A$88,'Données projet'!$B$88,BD94+BC95-BL94)))</f>
        <v>200.40000000000006</v>
      </c>
      <c r="BE95" s="13">
        <f>BD95*VLOOKUP('Données projet'!$B$11,Paramètres!$A$1:$I$89,3,0)*VLOOKUP('Données projet'!$B$11,Paramètres!$A$1:$I$89,5,0)</f>
        <v>228.21552000000005</v>
      </c>
      <c r="BF95" s="13">
        <f t="shared" si="91"/>
        <v>55.896660499583824</v>
      </c>
      <c r="BG95" s="20">
        <f t="shared" si="61"/>
        <v>494.82871437010857</v>
      </c>
      <c r="BH95" s="59">
        <f t="shared" si="62"/>
        <v>788.16204770344189</v>
      </c>
      <c r="BI95" s="59">
        <f ca="1">AVERAGE(OFFSET($BH$3,0,0,'Données projet'!$E$11+1,1))-AVERAGE(OFFSET($H$3,0,0,'Données projet'!$E$11+1,1))</f>
        <v>249.01678065306629</v>
      </c>
      <c r="BJ95" s="59">
        <f t="shared" si="92"/>
        <v>99.639724892155641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0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>
        <f>BY95*VLOOKUP('Données projet'!$B$12,Paramètres!$A$1:$I$89,3,0)*VLOOKUP('Données projet'!$B$12,Paramètres!$A$1:$I$89,5,0)</f>
        <v>0</v>
      </c>
      <c r="CA95" s="13" t="e">
        <f t="shared" si="93"/>
        <v>#NUM!</v>
      </c>
      <c r="CB95" s="20" t="e">
        <f t="shared" si="64"/>
        <v>#NUM!</v>
      </c>
      <c r="CC95" s="59" t="e">
        <f t="shared" si="65"/>
        <v>#NUM!</v>
      </c>
      <c r="CD95" s="59">
        <f ca="1">AVERAGE(OFFSET($CC$3,0,0,'Données projet'!$E$12+1,1))-AVERAGE(OFFSET($H$3,0,0,'Données projet'!$E$12+1,1))</f>
        <v>0</v>
      </c>
      <c r="CE95" s="59">
        <f t="shared" si="94"/>
        <v>0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0</v>
      </c>
      <c r="CL95" s="21">
        <f>EXP(-LN(2)/25)*CL94+(1-EXP(-LN(2)/25))/(LN(2)/25)*Calculateur!CG95*Calculateur!CI95*VLOOKUP('Données projet'!$B$12,Paramètres!$A$1:$I$89,3,0)*0.475*44/12</f>
        <v>0</v>
      </c>
      <c r="CM95" s="21">
        <f>EXP(-LN(2)/2)*CM94+(1-EXP(-LN(2)/2))/(LN(2)/2)*CG95*CJ95*VLOOKUP('Données projet'!$B$12,Paramètres!$A$1:$I$89,3,0)*0.475*44/12</f>
        <v>0</v>
      </c>
      <c r="CN95" s="22">
        <f t="shared" si="66"/>
        <v>0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>
        <f>CT95*VLOOKUP('Données projet'!$B$13,Paramètres!$A$1:$I$89,3,0)*VLOOKUP('Données projet'!$B$13,Paramètres!$A$1:$I$89,5,0)</f>
        <v>0</v>
      </c>
      <c r="CV95" s="13" t="e">
        <f t="shared" si="95"/>
        <v>#NUM!</v>
      </c>
      <c r="CW95" s="20" t="e">
        <f t="shared" si="67"/>
        <v>#NUM!</v>
      </c>
      <c r="CX95" s="59" t="e">
        <f t="shared" si="68"/>
        <v>#NUM!</v>
      </c>
      <c r="CY95" s="59">
        <f ca="1">AVERAGE(OFFSET($CX$3,0,0,'Données projet'!$E$13+1,1))-AVERAGE(OFFSET($H$3,0,0,'Données projet'!$E$13+1,1))</f>
        <v>0</v>
      </c>
      <c r="CZ95" s="59">
        <f t="shared" si="96"/>
        <v>0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0</v>
      </c>
      <c r="DG95" s="21">
        <f>EXP(-LN(2)/25)*DG94+(1-EXP(-LN(2)/25))/(LN(2)/25)*Calculateur!DB95*Calculateur!DD95*VLOOKUP('Données projet'!$B$13,Paramètres!$A$1:$I$89,3,0)*0.475*44/12</f>
        <v>0</v>
      </c>
      <c r="DH95" s="21">
        <f>EXP(-LN(2)/2)*DH94+(1-EXP(-LN(2)/2))/(LN(2)/2)*DB95*DE95*VLOOKUP('Données projet'!$B$13,Paramètres!$A$1:$I$89,3,0)*0.475*44/12</f>
        <v>0</v>
      </c>
      <c r="DI95" s="22">
        <f t="shared" si="69"/>
        <v>0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-2.2737367544323206E-13</v>
      </c>
      <c r="O96" s="13">
        <f>N96*VLOOKUP('Données projet'!$B$9,Paramètres!$A$1:$I$89,3,0)*VLOOKUP('Données projet'!$B$9,Paramètres!$A$1:$I$89,5,0)</f>
        <v>-1.3596945791505279E-13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181.92766225683107</v>
      </c>
      <c r="T96" s="59">
        <f t="shared" si="88"/>
        <v>370.52917139565756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18.875715254481605</v>
      </c>
      <c r="AA96" s="21">
        <f>EXP(-LN(2)/25)*AA95+(1-EXP(-LN(2)/25))/(LN(2)/25)*Calculateur!V96*Calculateur!X96*VLOOKUP('Données projet'!$B$9,Paramètres!$A$1:$I$89,3,0)*0.475*44/12</f>
        <v>10.2631522025285</v>
      </c>
      <c r="AB96" s="21">
        <f>EXP(-LN(2)/2)*AB95+(1-EXP(-LN(2)/2))/(LN(2)/2)*V96*Y96*VLOOKUP('Données projet'!$B$9,Paramètres!$A$1:$I$89,3,0)*0.475*44/12</f>
        <v>1.4962640635421513E-7</v>
      </c>
      <c r="AC96" s="22">
        <f t="shared" si="57"/>
        <v>29.138867606636513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5.6843418860808015E-14</v>
      </c>
      <c r="AJ96" s="13">
        <f>AI96*VLOOKUP('Données projet'!$B$10,Paramètres!$A$1:$I$89,3,0)*VLOOKUP('Données projet'!$B$10,Paramètres!$A$1:$I$89,5,0)</f>
        <v>4.6111381379887463E-14</v>
      </c>
      <c r="AK96" s="13">
        <f t="shared" si="89"/>
        <v>7.5804141040779151E-13</v>
      </c>
      <c r="AL96" s="20">
        <f t="shared" si="58"/>
        <v>1.4005661123635408E-12</v>
      </c>
      <c r="AM96" s="59">
        <f t="shared" si="59"/>
        <v>293.33333333333474</v>
      </c>
      <c r="AN96" s="59">
        <f ca="1">AVERAGE(OFFSET($AM$3,0,0,'Données projet'!$E$10+1,1))-AVERAGE(OFFSET($H$3,0,0,'Données projet'!$E$10+1,1))</f>
        <v>235.31102883830971</v>
      </c>
      <c r="AO96" s="59">
        <f t="shared" si="90"/>
        <v>271.48630853790422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0</v>
      </c>
      <c r="AV96" s="21">
        <f>EXP(-LN(2)/25)*AV95+(1-EXP(-LN(2)/25))/(LN(2)/25)*Calculateur!AQ96*Calculateur!AS96*VLOOKUP('Données projet'!$B$10,Paramètres!$A$1:$I$89,3,0)*0.475*44/12</f>
        <v>1.4830268244146869</v>
      </c>
      <c r="AW96" s="21">
        <f>EXP(-LN(2)/2)*AW95+(1-EXP(-LN(2)/2))/(LN(2)/2)*AQ96*AT96*VLOOKUP('Données projet'!$B$10,Paramètres!$A$1:$I$89,3,0)*0.475*44/12</f>
        <v>3.6129626393520352E-9</v>
      </c>
      <c r="AX96" s="21">
        <f t="shared" si="60"/>
        <v>1.4830268280276495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3.7</v>
      </c>
      <c r="BD96" s="12">
        <f>IF('Données projet'!$A$88&gt;35,BD95+BC96-BL95,IF(A96&lt;'Données projet'!$A$88,$BA$205^A96,IF(A96='Données projet'!$A$88,'Données projet'!$B$88,BD95+BC96-BL95)))</f>
        <v>204.10000000000005</v>
      </c>
      <c r="BE96" s="13">
        <f>BD96*VLOOKUP('Données projet'!$B$11,Paramètres!$A$1:$I$89,3,0)*VLOOKUP('Données projet'!$B$11,Paramètres!$A$1:$I$89,5,0)</f>
        <v>232.42908000000006</v>
      </c>
      <c r="BF96" s="13">
        <f t="shared" si="91"/>
        <v>56.80758384518689</v>
      </c>
      <c r="BG96" s="20">
        <f t="shared" si="61"/>
        <v>503.75385619703394</v>
      </c>
      <c r="BH96" s="59">
        <f t="shared" si="62"/>
        <v>797.08718953036725</v>
      </c>
      <c r="BI96" s="59">
        <f ca="1">AVERAGE(OFFSET($BH$3,0,0,'Données projet'!$E$11+1,1))-AVERAGE(OFFSET($H$3,0,0,'Données projet'!$E$11+1,1))</f>
        <v>249.01678065306629</v>
      </c>
      <c r="BJ96" s="59">
        <f t="shared" si="92"/>
        <v>99.639724892155641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0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>
        <f>BY96*VLOOKUP('Données projet'!$B$12,Paramètres!$A$1:$I$89,3,0)*VLOOKUP('Données projet'!$B$12,Paramètres!$A$1:$I$89,5,0)</f>
        <v>0</v>
      </c>
      <c r="CA96" s="13" t="e">
        <f t="shared" si="93"/>
        <v>#NUM!</v>
      </c>
      <c r="CB96" s="20" t="e">
        <f t="shared" si="64"/>
        <v>#NUM!</v>
      </c>
      <c r="CC96" s="59" t="e">
        <f t="shared" si="65"/>
        <v>#NUM!</v>
      </c>
      <c r="CD96" s="59">
        <f ca="1">AVERAGE(OFFSET($CC$3,0,0,'Données projet'!$E$12+1,1))-AVERAGE(OFFSET($H$3,0,0,'Données projet'!$E$12+1,1))</f>
        <v>0</v>
      </c>
      <c r="CE96" s="59">
        <f t="shared" si="94"/>
        <v>0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0</v>
      </c>
      <c r="CL96" s="21">
        <f>EXP(-LN(2)/25)*CL95+(1-EXP(-LN(2)/25))/(LN(2)/25)*Calculateur!CG96*Calculateur!CI96*VLOOKUP('Données projet'!$B$12,Paramètres!$A$1:$I$89,3,0)*0.475*44/12</f>
        <v>0</v>
      </c>
      <c r="CM96" s="21">
        <f>EXP(-LN(2)/2)*CM95+(1-EXP(-LN(2)/2))/(LN(2)/2)*CG96*CJ96*VLOOKUP('Données projet'!$B$12,Paramètres!$A$1:$I$89,3,0)*0.475*44/12</f>
        <v>0</v>
      </c>
      <c r="CN96" s="22">
        <f t="shared" si="66"/>
        <v>0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>
        <f>CT96*VLOOKUP('Données projet'!$B$13,Paramètres!$A$1:$I$89,3,0)*VLOOKUP('Données projet'!$B$13,Paramètres!$A$1:$I$89,5,0)</f>
        <v>0</v>
      </c>
      <c r="CV96" s="13" t="e">
        <f t="shared" si="95"/>
        <v>#NUM!</v>
      </c>
      <c r="CW96" s="20" t="e">
        <f t="shared" si="67"/>
        <v>#NUM!</v>
      </c>
      <c r="CX96" s="59" t="e">
        <f t="shared" si="68"/>
        <v>#NUM!</v>
      </c>
      <c r="CY96" s="59">
        <f ca="1">AVERAGE(OFFSET($CX$3,0,0,'Données projet'!$E$13+1,1))-AVERAGE(OFFSET($H$3,0,0,'Données projet'!$E$13+1,1))</f>
        <v>0</v>
      </c>
      <c r="CZ96" s="59">
        <f t="shared" si="96"/>
        <v>0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0</v>
      </c>
      <c r="DG96" s="21">
        <f>EXP(-LN(2)/25)*DG95+(1-EXP(-LN(2)/25))/(LN(2)/25)*Calculateur!DB96*Calculateur!DD96*VLOOKUP('Données projet'!$B$13,Paramètres!$A$1:$I$89,3,0)*0.475*44/12</f>
        <v>0</v>
      </c>
      <c r="DH96" s="21">
        <f>EXP(-LN(2)/2)*DH95+(1-EXP(-LN(2)/2))/(LN(2)/2)*DB96*DE96*VLOOKUP('Données projet'!$B$13,Paramètres!$A$1:$I$89,3,0)*0.475*44/12</f>
        <v>0</v>
      </c>
      <c r="DI96" s="22">
        <f t="shared" si="69"/>
        <v>0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-2.2737367544323206E-13</v>
      </c>
      <c r="O97" s="13">
        <f>N97*VLOOKUP('Données projet'!$B$9,Paramètres!$A$1:$I$89,3,0)*VLOOKUP('Données projet'!$B$9,Paramètres!$A$1:$I$89,5,0)</f>
        <v>-1.3596945791505279E-13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181.92766225683107</v>
      </c>
      <c r="T97" s="59">
        <f t="shared" si="88"/>
        <v>370.52917139565756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18.505573991390708</v>
      </c>
      <c r="AA97" s="21">
        <f>EXP(-LN(2)/25)*AA96+(1-EXP(-LN(2)/25))/(LN(2)/25)*Calculateur!V97*Calculateur!X97*VLOOKUP('Données projet'!$B$9,Paramètres!$A$1:$I$89,3,0)*0.475*44/12</f>
        <v>9.9825057658346417</v>
      </c>
      <c r="AB97" s="21">
        <f>EXP(-LN(2)/2)*AB96+(1-EXP(-LN(2)/2))/(LN(2)/2)*V97*Y97*VLOOKUP('Données projet'!$B$9,Paramètres!$A$1:$I$89,3,0)*0.475*44/12</f>
        <v>1.0580184657763945E-7</v>
      </c>
      <c r="AC97" s="22">
        <f t="shared" si="57"/>
        <v>28.488079863027195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5.6843418860808015E-14</v>
      </c>
      <c r="AJ97" s="13">
        <f>AI97*VLOOKUP('Données projet'!$B$10,Paramètres!$A$1:$I$89,3,0)*VLOOKUP('Données projet'!$B$10,Paramètres!$A$1:$I$89,5,0)</f>
        <v>4.6111381379887463E-14</v>
      </c>
      <c r="AK97" s="13">
        <f t="shared" si="89"/>
        <v>7.5804141040779151E-13</v>
      </c>
      <c r="AL97" s="20">
        <f t="shared" si="58"/>
        <v>1.4005661123635408E-12</v>
      </c>
      <c r="AM97" s="59">
        <f t="shared" si="59"/>
        <v>293.33333333333474</v>
      </c>
      <c r="AN97" s="59">
        <f ca="1">AVERAGE(OFFSET($AM$3,0,0,'Données projet'!$E$10+1,1))-AVERAGE(OFFSET($H$3,0,0,'Données projet'!$E$10+1,1))</f>
        <v>235.31102883830971</v>
      </c>
      <c r="AO97" s="59">
        <f t="shared" si="90"/>
        <v>271.48630853790422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</v>
      </c>
      <c r="AV97" s="21">
        <f>EXP(-LN(2)/25)*AV96+(1-EXP(-LN(2)/25))/(LN(2)/25)*Calculateur!AQ97*Calculateur!AS97*VLOOKUP('Données projet'!$B$10,Paramètres!$A$1:$I$89,3,0)*0.475*44/12</f>
        <v>1.4424733779120762</v>
      </c>
      <c r="AW97" s="21">
        <f>EXP(-LN(2)/2)*AW96+(1-EXP(-LN(2)/2))/(LN(2)/2)*AQ97*AT97*VLOOKUP('Données projet'!$B$10,Paramètres!$A$1:$I$89,3,0)*0.475*44/12</f>
        <v>2.5547503824594707E-9</v>
      </c>
      <c r="AX97" s="21">
        <f t="shared" si="60"/>
        <v>1.4424733804668266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3.7</v>
      </c>
      <c r="BD97" s="12">
        <f>IF('Données projet'!$A$88&gt;35,BD96+BC97-BL96,IF(A97&lt;'Données projet'!$A$88,$BA$205^A97,IF(A97='Données projet'!$A$88,'Données projet'!$B$88,BD96+BC97-BL96)))</f>
        <v>207.80000000000004</v>
      </c>
      <c r="BE97" s="13">
        <f>BD97*VLOOKUP('Données projet'!$B$11,Paramètres!$A$1:$I$89,3,0)*VLOOKUP('Données projet'!$B$11,Paramètres!$A$1:$I$89,5,0)</f>
        <v>236.64264000000003</v>
      </c>
      <c r="BF97" s="13">
        <f t="shared" si="91"/>
        <v>57.716586928517103</v>
      </c>
      <c r="BG97" s="20">
        <f t="shared" si="61"/>
        <v>512.67565356716739</v>
      </c>
      <c r="BH97" s="59">
        <f t="shared" si="62"/>
        <v>806.00898690050076</v>
      </c>
      <c r="BI97" s="59">
        <f ca="1">AVERAGE(OFFSET($BH$3,0,0,'Données projet'!$E$11+1,1))-AVERAGE(OFFSET($H$3,0,0,'Données projet'!$E$11+1,1))</f>
        <v>249.01678065306629</v>
      </c>
      <c r="BJ97" s="59">
        <f t="shared" si="92"/>
        <v>99.639724892155641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0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>
        <f>BY97*VLOOKUP('Données projet'!$B$12,Paramètres!$A$1:$I$89,3,0)*VLOOKUP('Données projet'!$B$12,Paramètres!$A$1:$I$89,5,0)</f>
        <v>0</v>
      </c>
      <c r="CA97" s="13" t="e">
        <f t="shared" si="93"/>
        <v>#NUM!</v>
      </c>
      <c r="CB97" s="20" t="e">
        <f t="shared" si="64"/>
        <v>#NUM!</v>
      </c>
      <c r="CC97" s="59" t="e">
        <f t="shared" si="65"/>
        <v>#NUM!</v>
      </c>
      <c r="CD97" s="59">
        <f ca="1">AVERAGE(OFFSET($CC$3,0,0,'Données projet'!$E$12+1,1))-AVERAGE(OFFSET($H$3,0,0,'Données projet'!$E$12+1,1))</f>
        <v>0</v>
      </c>
      <c r="CE97" s="59">
        <f t="shared" si="94"/>
        <v>0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0</v>
      </c>
      <c r="CL97" s="21">
        <f>EXP(-LN(2)/25)*CL96+(1-EXP(-LN(2)/25))/(LN(2)/25)*Calculateur!CG97*Calculateur!CI97*VLOOKUP('Données projet'!$B$12,Paramètres!$A$1:$I$89,3,0)*0.475*44/12</f>
        <v>0</v>
      </c>
      <c r="CM97" s="21">
        <f>EXP(-LN(2)/2)*CM96+(1-EXP(-LN(2)/2))/(LN(2)/2)*CG97*CJ97*VLOOKUP('Données projet'!$B$12,Paramètres!$A$1:$I$89,3,0)*0.475*44/12</f>
        <v>0</v>
      </c>
      <c r="CN97" s="22">
        <f t="shared" si="66"/>
        <v>0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>
        <f>CT97*VLOOKUP('Données projet'!$B$13,Paramètres!$A$1:$I$89,3,0)*VLOOKUP('Données projet'!$B$13,Paramètres!$A$1:$I$89,5,0)</f>
        <v>0</v>
      </c>
      <c r="CV97" s="13" t="e">
        <f t="shared" si="95"/>
        <v>#NUM!</v>
      </c>
      <c r="CW97" s="20" t="e">
        <f t="shared" si="67"/>
        <v>#NUM!</v>
      </c>
      <c r="CX97" s="59" t="e">
        <f t="shared" si="68"/>
        <v>#NUM!</v>
      </c>
      <c r="CY97" s="59">
        <f ca="1">AVERAGE(OFFSET($CX$3,0,0,'Données projet'!$E$13+1,1))-AVERAGE(OFFSET($H$3,0,0,'Données projet'!$E$13+1,1))</f>
        <v>0</v>
      </c>
      <c r="CZ97" s="59">
        <f t="shared" si="96"/>
        <v>0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0</v>
      </c>
      <c r="DG97" s="21">
        <f>EXP(-LN(2)/25)*DG96+(1-EXP(-LN(2)/25))/(LN(2)/25)*Calculateur!DB97*Calculateur!DD97*VLOOKUP('Données projet'!$B$13,Paramètres!$A$1:$I$89,3,0)*0.475*44/12</f>
        <v>0</v>
      </c>
      <c r="DH97" s="21">
        <f>EXP(-LN(2)/2)*DH96+(1-EXP(-LN(2)/2))/(LN(2)/2)*DB97*DE97*VLOOKUP('Données projet'!$B$13,Paramètres!$A$1:$I$89,3,0)*0.475*44/12</f>
        <v>0</v>
      </c>
      <c r="DI97" s="22">
        <f t="shared" si="69"/>
        <v>0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-2.2737367544323206E-13</v>
      </c>
      <c r="O98" s="13">
        <f>N98*VLOOKUP('Données projet'!$B$9,Paramètres!$A$1:$I$89,3,0)*VLOOKUP('Données projet'!$B$9,Paramètres!$A$1:$I$89,5,0)</f>
        <v>-1.3596945791505279E-13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181.92766225683107</v>
      </c>
      <c r="T98" s="59">
        <f t="shared" si="88"/>
        <v>370.52917139565756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18.142690972705143</v>
      </c>
      <c r="AA98" s="21">
        <f>EXP(-LN(2)/25)*AA97+(1-EXP(-LN(2)/25))/(LN(2)/25)*Calculateur!V98*Calculateur!X98*VLOOKUP('Données projet'!$B$9,Paramètres!$A$1:$I$89,3,0)*0.475*44/12</f>
        <v>9.7095336207107312</v>
      </c>
      <c r="AB98" s="21">
        <f>EXP(-LN(2)/2)*AB97+(1-EXP(-LN(2)/2))/(LN(2)/2)*V98*Y98*VLOOKUP('Données projet'!$B$9,Paramètres!$A$1:$I$89,3,0)*0.475*44/12</f>
        <v>7.4813203177107566E-8</v>
      </c>
      <c r="AC98" s="22">
        <f t="shared" si="57"/>
        <v>27.852224668229081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5.6843418860808015E-14</v>
      </c>
      <c r="AJ98" s="13">
        <f>AI98*VLOOKUP('Données projet'!$B$10,Paramètres!$A$1:$I$89,3,0)*VLOOKUP('Données projet'!$B$10,Paramètres!$A$1:$I$89,5,0)</f>
        <v>4.6111381379887463E-14</v>
      </c>
      <c r="AK98" s="13">
        <f t="shared" si="89"/>
        <v>7.5804141040779151E-13</v>
      </c>
      <c r="AL98" s="20">
        <f t="shared" si="58"/>
        <v>1.4005661123635408E-12</v>
      </c>
      <c r="AM98" s="59">
        <f t="shared" si="59"/>
        <v>293.33333333333474</v>
      </c>
      <c r="AN98" s="59">
        <f ca="1">AVERAGE(OFFSET($AM$3,0,0,'Données projet'!$E$10+1,1))-AVERAGE(OFFSET($H$3,0,0,'Données projet'!$E$10+1,1))</f>
        <v>235.31102883830971</v>
      </c>
      <c r="AO98" s="59">
        <f t="shared" si="90"/>
        <v>271.48630853790422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</v>
      </c>
      <c r="AV98" s="21">
        <f>EXP(-LN(2)/25)*AV97+(1-EXP(-LN(2)/25))/(LN(2)/25)*Calculateur!AQ98*Calculateur!AS98*VLOOKUP('Données projet'!$B$10,Paramètres!$A$1:$I$89,3,0)*0.475*44/12</f>
        <v>1.4030288675366924</v>
      </c>
      <c r="AW98" s="21">
        <f>EXP(-LN(2)/2)*AW97+(1-EXP(-LN(2)/2))/(LN(2)/2)*AQ98*AT98*VLOOKUP('Données projet'!$B$10,Paramètres!$A$1:$I$89,3,0)*0.475*44/12</f>
        <v>1.8064813196760176E-9</v>
      </c>
      <c r="AX98" s="21">
        <f t="shared" si="60"/>
        <v>1.4030288693431738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3.7</v>
      </c>
      <c r="BD98" s="12">
        <f>IF('Données projet'!$A$88&gt;35,BD97+BC98-BL97,IF(A98&lt;'Données projet'!$A$88,$BA$205^A98,IF(A98='Données projet'!$A$88,'Données projet'!$B$88,BD97+BC98-BL97)))</f>
        <v>211.50000000000003</v>
      </c>
      <c r="BE98" s="13">
        <f>BD98*VLOOKUP('Données projet'!$B$11,Paramètres!$A$1:$I$89,3,0)*VLOOKUP('Données projet'!$B$11,Paramètres!$A$1:$I$89,5,0)</f>
        <v>240.85620000000003</v>
      </c>
      <c r="BF98" s="13">
        <f t="shared" si="91"/>
        <v>58.623707885373882</v>
      </c>
      <c r="BG98" s="20">
        <f t="shared" si="61"/>
        <v>521.59417290035958</v>
      </c>
      <c r="BH98" s="59">
        <f t="shared" si="62"/>
        <v>814.92750623369284</v>
      </c>
      <c r="BI98" s="59">
        <f ca="1">AVERAGE(OFFSET($BH$3,0,0,'Données projet'!$E$11+1,1))-AVERAGE(OFFSET($H$3,0,0,'Données projet'!$E$11+1,1))</f>
        <v>249.01678065306629</v>
      </c>
      <c r="BJ98" s="59">
        <f t="shared" si="92"/>
        <v>99.639724892155641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0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>
        <f>BY98*VLOOKUP('Données projet'!$B$12,Paramètres!$A$1:$I$89,3,0)*VLOOKUP('Données projet'!$B$12,Paramètres!$A$1:$I$89,5,0)</f>
        <v>0</v>
      </c>
      <c r="CA98" s="13" t="e">
        <f t="shared" si="93"/>
        <v>#NUM!</v>
      </c>
      <c r="CB98" s="20" t="e">
        <f t="shared" si="64"/>
        <v>#NUM!</v>
      </c>
      <c r="CC98" s="59" t="e">
        <f t="shared" si="65"/>
        <v>#NUM!</v>
      </c>
      <c r="CD98" s="59">
        <f ca="1">AVERAGE(OFFSET($CC$3,0,0,'Données projet'!$E$12+1,1))-AVERAGE(OFFSET($H$3,0,0,'Données projet'!$E$12+1,1))</f>
        <v>0</v>
      </c>
      <c r="CE98" s="59">
        <f t="shared" si="94"/>
        <v>0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0</v>
      </c>
      <c r="CL98" s="21">
        <f>EXP(-LN(2)/25)*CL97+(1-EXP(-LN(2)/25))/(LN(2)/25)*Calculateur!CG98*Calculateur!CI98*VLOOKUP('Données projet'!$B$12,Paramètres!$A$1:$I$89,3,0)*0.475*44/12</f>
        <v>0</v>
      </c>
      <c r="CM98" s="21">
        <f>EXP(-LN(2)/2)*CM97+(1-EXP(-LN(2)/2))/(LN(2)/2)*CG98*CJ98*VLOOKUP('Données projet'!$B$12,Paramètres!$A$1:$I$89,3,0)*0.475*44/12</f>
        <v>0</v>
      </c>
      <c r="CN98" s="22">
        <f t="shared" si="66"/>
        <v>0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>
        <f>CT98*VLOOKUP('Données projet'!$B$13,Paramètres!$A$1:$I$89,3,0)*VLOOKUP('Données projet'!$B$13,Paramètres!$A$1:$I$89,5,0)</f>
        <v>0</v>
      </c>
      <c r="CV98" s="13" t="e">
        <f t="shared" si="95"/>
        <v>#NUM!</v>
      </c>
      <c r="CW98" s="20" t="e">
        <f t="shared" si="67"/>
        <v>#NUM!</v>
      </c>
      <c r="CX98" s="59" t="e">
        <f t="shared" si="68"/>
        <v>#NUM!</v>
      </c>
      <c r="CY98" s="59">
        <f ca="1">AVERAGE(OFFSET($CX$3,0,0,'Données projet'!$E$13+1,1))-AVERAGE(OFFSET($H$3,0,0,'Données projet'!$E$13+1,1))</f>
        <v>0</v>
      </c>
      <c r="CZ98" s="59">
        <f t="shared" si="96"/>
        <v>0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0</v>
      </c>
      <c r="DG98" s="21">
        <f>EXP(-LN(2)/25)*DG97+(1-EXP(-LN(2)/25))/(LN(2)/25)*Calculateur!DB98*Calculateur!DD98*VLOOKUP('Données projet'!$B$13,Paramètres!$A$1:$I$89,3,0)*0.475*44/12</f>
        <v>0</v>
      </c>
      <c r="DH98" s="21">
        <f>EXP(-LN(2)/2)*DH97+(1-EXP(-LN(2)/2))/(LN(2)/2)*DB98*DE98*VLOOKUP('Données projet'!$B$13,Paramètres!$A$1:$I$89,3,0)*0.475*44/12</f>
        <v>0</v>
      </c>
      <c r="DI98" s="22">
        <f t="shared" si="69"/>
        <v>0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-2.2737367544323206E-13</v>
      </c>
      <c r="O99" s="13">
        <f>N99*VLOOKUP('Données projet'!$B$9,Paramètres!$A$1:$I$89,3,0)*VLOOKUP('Données projet'!$B$9,Paramètres!$A$1:$I$89,5,0)</f>
        <v>-1.3596945791505279E-13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181.92766225683107</v>
      </c>
      <c r="T99" s="59">
        <f t="shared" si="88"/>
        <v>370.52917139565756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17.786923868679217</v>
      </c>
      <c r="AA99" s="21">
        <f>EXP(-LN(2)/25)*AA98+(1-EXP(-LN(2)/25))/(LN(2)/25)*Calculateur!V99*Calculateur!X99*VLOOKUP('Données projet'!$B$9,Paramètres!$A$1:$I$89,3,0)*0.475*44/12</f>
        <v>9.4440259132502149</v>
      </c>
      <c r="AB99" s="21">
        <f>EXP(-LN(2)/2)*AB98+(1-EXP(-LN(2)/2))/(LN(2)/2)*V99*Y99*VLOOKUP('Données projet'!$B$9,Paramètres!$A$1:$I$89,3,0)*0.475*44/12</f>
        <v>5.2900923288819723E-8</v>
      </c>
      <c r="AC99" s="22">
        <f t="shared" si="57"/>
        <v>27.230949834830355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5.6843418860808015E-14</v>
      </c>
      <c r="AJ99" s="13">
        <f>AI99*VLOOKUP('Données projet'!$B$10,Paramètres!$A$1:$I$89,3,0)*VLOOKUP('Données projet'!$B$10,Paramètres!$A$1:$I$89,5,0)</f>
        <v>4.6111381379887463E-14</v>
      </c>
      <c r="AK99" s="13">
        <f t="shared" si="89"/>
        <v>7.5804141040779151E-13</v>
      </c>
      <c r="AL99" s="20">
        <f t="shared" si="58"/>
        <v>1.4005661123635408E-12</v>
      </c>
      <c r="AM99" s="59">
        <f t="shared" si="59"/>
        <v>293.33333333333474</v>
      </c>
      <c r="AN99" s="59">
        <f ca="1">AVERAGE(OFFSET($AM$3,0,0,'Données projet'!$E$10+1,1))-AVERAGE(OFFSET($H$3,0,0,'Données projet'!$E$10+1,1))</f>
        <v>235.31102883830971</v>
      </c>
      <c r="AO99" s="59">
        <f t="shared" si="90"/>
        <v>271.48630853790422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</v>
      </c>
      <c r="AV99" s="21">
        <f>EXP(-LN(2)/25)*AV98+(1-EXP(-LN(2)/25))/(LN(2)/25)*Calculateur!AQ99*Calculateur!AS99*VLOOKUP('Données projet'!$B$10,Paramètres!$A$1:$I$89,3,0)*0.475*44/12</f>
        <v>1.3646629693718202</v>
      </c>
      <c r="AW99" s="21">
        <f>EXP(-LN(2)/2)*AW98+(1-EXP(-LN(2)/2))/(LN(2)/2)*AQ99*AT99*VLOOKUP('Données projet'!$B$10,Paramètres!$A$1:$I$89,3,0)*0.475*44/12</f>
        <v>1.2773751912297354E-9</v>
      </c>
      <c r="AX99" s="21">
        <f t="shared" si="60"/>
        <v>1.3646629706491953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3.7</v>
      </c>
      <c r="BD99" s="12">
        <f>IF('Données projet'!$A$88&gt;35,BD98+BC99-BL98,IF(A99&lt;'Données projet'!$A$88,$BA$205^A99,IF(A99='Données projet'!$A$88,'Données projet'!$B$88,BD98+BC99-BL98)))</f>
        <v>215.20000000000002</v>
      </c>
      <c r="BE99" s="13">
        <f>BD99*VLOOKUP('Données projet'!$B$11,Paramètres!$A$1:$I$89,3,0)*VLOOKUP('Données projet'!$B$11,Paramètres!$A$1:$I$89,5,0)</f>
        <v>245.06976</v>
      </c>
      <c r="BF99" s="13">
        <f t="shared" si="91"/>
        <v>59.528983440819111</v>
      </c>
      <c r="BG99" s="20">
        <f t="shared" si="61"/>
        <v>530.50947815942664</v>
      </c>
      <c r="BH99" s="59">
        <f t="shared" si="62"/>
        <v>823.84281149275989</v>
      </c>
      <c r="BI99" s="59">
        <f ca="1">AVERAGE(OFFSET($BH$3,0,0,'Données projet'!$E$11+1,1))-AVERAGE(OFFSET($H$3,0,0,'Données projet'!$E$11+1,1))</f>
        <v>249.01678065306629</v>
      </c>
      <c r="BJ99" s="59">
        <f t="shared" si="92"/>
        <v>99.639724892155641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0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>
        <f>BY99*VLOOKUP('Données projet'!$B$12,Paramètres!$A$1:$I$89,3,0)*VLOOKUP('Données projet'!$B$12,Paramètres!$A$1:$I$89,5,0)</f>
        <v>0</v>
      </c>
      <c r="CA99" s="13" t="e">
        <f t="shared" si="93"/>
        <v>#NUM!</v>
      </c>
      <c r="CB99" s="20" t="e">
        <f t="shared" si="64"/>
        <v>#NUM!</v>
      </c>
      <c r="CC99" s="59" t="e">
        <f t="shared" si="65"/>
        <v>#NUM!</v>
      </c>
      <c r="CD99" s="59">
        <f ca="1">AVERAGE(OFFSET($CC$3,0,0,'Données projet'!$E$12+1,1))-AVERAGE(OFFSET($H$3,0,0,'Données projet'!$E$12+1,1))</f>
        <v>0</v>
      </c>
      <c r="CE99" s="59">
        <f t="shared" si="94"/>
        <v>0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0</v>
      </c>
      <c r="CL99" s="21">
        <f>EXP(-LN(2)/25)*CL98+(1-EXP(-LN(2)/25))/(LN(2)/25)*Calculateur!CG99*Calculateur!CI99*VLOOKUP('Données projet'!$B$12,Paramètres!$A$1:$I$89,3,0)*0.475*44/12</f>
        <v>0</v>
      </c>
      <c r="CM99" s="21">
        <f>EXP(-LN(2)/2)*CM98+(1-EXP(-LN(2)/2))/(LN(2)/2)*CG99*CJ99*VLOOKUP('Données projet'!$B$12,Paramètres!$A$1:$I$89,3,0)*0.475*44/12</f>
        <v>0</v>
      </c>
      <c r="CN99" s="22">
        <f t="shared" si="66"/>
        <v>0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>
        <f>CT99*VLOOKUP('Données projet'!$B$13,Paramètres!$A$1:$I$89,3,0)*VLOOKUP('Données projet'!$B$13,Paramètres!$A$1:$I$89,5,0)</f>
        <v>0</v>
      </c>
      <c r="CV99" s="13" t="e">
        <f t="shared" si="95"/>
        <v>#NUM!</v>
      </c>
      <c r="CW99" s="20" t="e">
        <f t="shared" si="67"/>
        <v>#NUM!</v>
      </c>
      <c r="CX99" s="59" t="e">
        <f t="shared" si="68"/>
        <v>#NUM!</v>
      </c>
      <c r="CY99" s="59">
        <f ca="1">AVERAGE(OFFSET($CX$3,0,0,'Données projet'!$E$13+1,1))-AVERAGE(OFFSET($H$3,0,0,'Données projet'!$E$13+1,1))</f>
        <v>0</v>
      </c>
      <c r="CZ99" s="59">
        <f t="shared" si="96"/>
        <v>0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0</v>
      </c>
      <c r="DG99" s="21">
        <f>EXP(-LN(2)/25)*DG98+(1-EXP(-LN(2)/25))/(LN(2)/25)*Calculateur!DB99*Calculateur!DD99*VLOOKUP('Données projet'!$B$13,Paramètres!$A$1:$I$89,3,0)*0.475*44/12</f>
        <v>0</v>
      </c>
      <c r="DH99" s="21">
        <f>EXP(-LN(2)/2)*DH98+(1-EXP(-LN(2)/2))/(LN(2)/2)*DB99*DE99*VLOOKUP('Données projet'!$B$13,Paramètres!$A$1:$I$89,3,0)*0.475*44/12</f>
        <v>0</v>
      </c>
      <c r="DI99" s="22">
        <f t="shared" si="69"/>
        <v>0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-2.2737367544323206E-13</v>
      </c>
      <c r="O100" s="13">
        <f>N100*VLOOKUP('Données projet'!$B$9,Paramètres!$A$1:$I$89,3,0)*VLOOKUP('Données projet'!$B$9,Paramètres!$A$1:$I$89,5,0)</f>
        <v>-1.3596945791505279E-13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181.92766225683107</v>
      </c>
      <c r="T100" s="59">
        <f t="shared" si="88"/>
        <v>370.52917139565756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17.438133140566734</v>
      </c>
      <c r="AA100" s="21">
        <f>EXP(-LN(2)/25)*AA99+(1-EXP(-LN(2)/25))/(LN(2)/25)*Calculateur!V100*Calculateur!X100*VLOOKUP('Données projet'!$B$9,Paramètres!$A$1:$I$89,3,0)*0.475*44/12</f>
        <v>9.1857785280126496</v>
      </c>
      <c r="AB100" s="21">
        <f>EXP(-LN(2)/2)*AB99+(1-EXP(-LN(2)/2))/(LN(2)/2)*V100*Y100*VLOOKUP('Données projet'!$B$9,Paramètres!$A$1:$I$89,3,0)*0.475*44/12</f>
        <v>3.7406601588553783E-8</v>
      </c>
      <c r="AC100" s="22">
        <f t="shared" si="57"/>
        <v>26.623911705985982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5.6843418860808015E-14</v>
      </c>
      <c r="AJ100" s="13">
        <f>AI100*VLOOKUP('Données projet'!$B$10,Paramètres!$A$1:$I$89,3,0)*VLOOKUP('Données projet'!$B$10,Paramètres!$A$1:$I$89,5,0)</f>
        <v>4.6111381379887463E-14</v>
      </c>
      <c r="AK100" s="13">
        <f t="shared" si="89"/>
        <v>7.5804141040779151E-13</v>
      </c>
      <c r="AL100" s="20">
        <f t="shared" si="58"/>
        <v>1.4005661123635408E-12</v>
      </c>
      <c r="AM100" s="59">
        <f t="shared" si="59"/>
        <v>293.33333333333474</v>
      </c>
      <c r="AN100" s="59">
        <f ca="1">AVERAGE(OFFSET($AM$3,0,0,'Données projet'!$E$10+1,1))-AVERAGE(OFFSET($H$3,0,0,'Données projet'!$E$10+1,1))</f>
        <v>235.31102883830971</v>
      </c>
      <c r="AO100" s="59">
        <f t="shared" si="90"/>
        <v>271.48630853790422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</v>
      </c>
      <c r="AV100" s="21">
        <f>EXP(-LN(2)/25)*AV99+(1-EXP(-LN(2)/25))/(LN(2)/25)*Calculateur!AQ100*Calculateur!AS100*VLOOKUP('Données projet'!$B$10,Paramètres!$A$1:$I$89,3,0)*0.475*44/12</f>
        <v>1.3273461887098412</v>
      </c>
      <c r="AW100" s="21">
        <f>EXP(-LN(2)/2)*AW99+(1-EXP(-LN(2)/2))/(LN(2)/2)*AQ100*AT100*VLOOKUP('Données projet'!$B$10,Paramètres!$A$1:$I$89,3,0)*0.475*44/12</f>
        <v>9.0324065983800879E-10</v>
      </c>
      <c r="AX100" s="21">
        <f t="shared" si="60"/>
        <v>1.3273461896130818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3.7</v>
      </c>
      <c r="BD100" s="12">
        <f>IF('Données projet'!$A$88&gt;35,BD99+BC100-BL99,IF(A100&lt;'Données projet'!$A$88,$BA$205^A100,IF(A100='Données projet'!$A$88,'Données projet'!$B$88,BD99+BC100-BL99)))</f>
        <v>218.9</v>
      </c>
      <c r="BE100" s="13">
        <f>BD100*VLOOKUP('Données projet'!$B$11,Paramètres!$A$1:$I$89,3,0)*VLOOKUP('Données projet'!$B$11,Paramètres!$A$1:$I$89,5,0)</f>
        <v>249.28332</v>
      </c>
      <c r="BF100" s="13">
        <f t="shared" si="91"/>
        <v>60.432448984705822</v>
      </c>
      <c r="BG100" s="20">
        <f t="shared" si="61"/>
        <v>539.42163098169601</v>
      </c>
      <c r="BH100" s="59">
        <f t="shared" si="62"/>
        <v>832.75496431502938</v>
      </c>
      <c r="BI100" s="59">
        <f ca="1">AVERAGE(OFFSET($BH$3,0,0,'Données projet'!$E$11+1,1))-AVERAGE(OFFSET($H$3,0,0,'Données projet'!$E$11+1,1))</f>
        <v>249.01678065306629</v>
      </c>
      <c r="BJ100" s="59">
        <f t="shared" si="92"/>
        <v>99.639724892155641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0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>
        <f>BY100*VLOOKUP('Données projet'!$B$12,Paramètres!$A$1:$I$89,3,0)*VLOOKUP('Données projet'!$B$12,Paramètres!$A$1:$I$89,5,0)</f>
        <v>0</v>
      </c>
      <c r="CA100" s="13" t="e">
        <f t="shared" si="93"/>
        <v>#NUM!</v>
      </c>
      <c r="CB100" s="20" t="e">
        <f t="shared" si="64"/>
        <v>#NUM!</v>
      </c>
      <c r="CC100" s="59" t="e">
        <f t="shared" si="65"/>
        <v>#NUM!</v>
      </c>
      <c r="CD100" s="59">
        <f ca="1">AVERAGE(OFFSET($CC$3,0,0,'Données projet'!$E$12+1,1))-AVERAGE(OFFSET($H$3,0,0,'Données projet'!$E$12+1,1))</f>
        <v>0</v>
      </c>
      <c r="CE100" s="59">
        <f t="shared" si="94"/>
        <v>0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0</v>
      </c>
      <c r="CL100" s="21">
        <f>EXP(-LN(2)/25)*CL99+(1-EXP(-LN(2)/25))/(LN(2)/25)*Calculateur!CG100*Calculateur!CI100*VLOOKUP('Données projet'!$B$12,Paramètres!$A$1:$I$89,3,0)*0.475*44/12</f>
        <v>0</v>
      </c>
      <c r="CM100" s="21">
        <f>EXP(-LN(2)/2)*CM99+(1-EXP(-LN(2)/2))/(LN(2)/2)*CG100*CJ100*VLOOKUP('Données projet'!$B$12,Paramètres!$A$1:$I$89,3,0)*0.475*44/12</f>
        <v>0</v>
      </c>
      <c r="CN100" s="22">
        <f t="shared" si="66"/>
        <v>0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>
        <f>CT100*VLOOKUP('Données projet'!$B$13,Paramètres!$A$1:$I$89,3,0)*VLOOKUP('Données projet'!$B$13,Paramètres!$A$1:$I$89,5,0)</f>
        <v>0</v>
      </c>
      <c r="CV100" s="13" t="e">
        <f t="shared" si="95"/>
        <v>#NUM!</v>
      </c>
      <c r="CW100" s="20" t="e">
        <f t="shared" si="67"/>
        <v>#NUM!</v>
      </c>
      <c r="CX100" s="59" t="e">
        <f t="shared" si="68"/>
        <v>#NUM!</v>
      </c>
      <c r="CY100" s="59">
        <f ca="1">AVERAGE(OFFSET($CX$3,0,0,'Données projet'!$E$13+1,1))-AVERAGE(OFFSET($H$3,0,0,'Données projet'!$E$13+1,1))</f>
        <v>0</v>
      </c>
      <c r="CZ100" s="59">
        <f t="shared" si="96"/>
        <v>0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0</v>
      </c>
      <c r="DG100" s="21">
        <f>EXP(-LN(2)/25)*DG99+(1-EXP(-LN(2)/25))/(LN(2)/25)*Calculateur!DB100*Calculateur!DD100*VLOOKUP('Données projet'!$B$13,Paramètres!$A$1:$I$89,3,0)*0.475*44/12</f>
        <v>0</v>
      </c>
      <c r="DH100" s="21">
        <f>EXP(-LN(2)/2)*DH99+(1-EXP(-LN(2)/2))/(LN(2)/2)*DB100*DE100*VLOOKUP('Données projet'!$B$13,Paramètres!$A$1:$I$89,3,0)*0.475*44/12</f>
        <v>0</v>
      </c>
      <c r="DI100" s="22">
        <f t="shared" si="69"/>
        <v>0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-2.2737367544323206E-13</v>
      </c>
      <c r="O101" s="13">
        <f>N101*VLOOKUP('Données projet'!$B$9,Paramètres!$A$1:$I$89,3,0)*VLOOKUP('Données projet'!$B$9,Paramètres!$A$1:$I$89,5,0)</f>
        <v>-1.3596945791505279E-13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181.92766225683107</v>
      </c>
      <c r="T101" s="59">
        <f t="shared" si="88"/>
        <v>370.52917139565756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17.096181985891196</v>
      </c>
      <c r="AA101" s="21">
        <f>EXP(-LN(2)/25)*AA100+(1-EXP(-LN(2)/25))/(LN(2)/25)*Calculateur!V101*Calculateur!X101*VLOOKUP('Données projet'!$B$9,Paramètres!$A$1:$I$89,3,0)*0.475*44/12</f>
        <v>8.9345929311050458</v>
      </c>
      <c r="AB101" s="21">
        <f>EXP(-LN(2)/2)*AB100+(1-EXP(-LN(2)/2))/(LN(2)/2)*V101*Y101*VLOOKUP('Données projet'!$B$9,Paramètres!$A$1:$I$89,3,0)*0.475*44/12</f>
        <v>2.6450461644409862E-8</v>
      </c>
      <c r="AC101" s="22">
        <f t="shared" si="57"/>
        <v>26.030774943446705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5.6843418860808015E-14</v>
      </c>
      <c r="AJ101" s="13">
        <f>AI101*VLOOKUP('Données projet'!$B$10,Paramètres!$A$1:$I$89,3,0)*VLOOKUP('Données projet'!$B$10,Paramètres!$A$1:$I$89,5,0)</f>
        <v>4.6111381379887463E-14</v>
      </c>
      <c r="AK101" s="13">
        <f t="shared" si="89"/>
        <v>7.5804141040779151E-13</v>
      </c>
      <c r="AL101" s="20">
        <f t="shared" si="58"/>
        <v>1.4005661123635408E-12</v>
      </c>
      <c r="AM101" s="59">
        <f t="shared" si="59"/>
        <v>293.33333333333474</v>
      </c>
      <c r="AN101" s="59">
        <f ca="1">AVERAGE(OFFSET($AM$3,0,0,'Données projet'!$E$10+1,1))-AVERAGE(OFFSET($H$3,0,0,'Données projet'!$E$10+1,1))</f>
        <v>235.31102883830971</v>
      </c>
      <c r="AO101" s="59">
        <f t="shared" si="90"/>
        <v>271.48630853790422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</v>
      </c>
      <c r="AV101" s="21">
        <f>EXP(-LN(2)/25)*AV100+(1-EXP(-LN(2)/25))/(LN(2)/25)*Calculateur!AQ101*Calculateur!AS101*VLOOKUP('Données projet'!$B$10,Paramètres!$A$1:$I$89,3,0)*0.475*44/12</f>
        <v>1.2910498373774681</v>
      </c>
      <c r="AW101" s="21">
        <f>EXP(-LN(2)/2)*AW100+(1-EXP(-LN(2)/2))/(LN(2)/2)*AQ101*AT101*VLOOKUP('Données projet'!$B$10,Paramètres!$A$1:$I$89,3,0)*0.475*44/12</f>
        <v>6.3868759561486768E-10</v>
      </c>
      <c r="AX101" s="21">
        <f t="shared" si="60"/>
        <v>1.2910498380161557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3.7</v>
      </c>
      <c r="BD101" s="12">
        <f>IF('Données projet'!$A$88&gt;35,BD100+BC101-BL100,IF(A101&lt;'Données projet'!$A$88,$BA$205^A101,IF(A101='Données projet'!$A$88,'Données projet'!$B$88,BD100+BC101-BL100)))</f>
        <v>222.6</v>
      </c>
      <c r="BE101" s="13">
        <f>BD101*VLOOKUP('Données projet'!$B$11,Paramètres!$A$1:$I$89,3,0)*VLOOKUP('Données projet'!$B$11,Paramètres!$A$1:$I$89,5,0)</f>
        <v>253.49688</v>
      </c>
      <c r="BF101" s="13">
        <f t="shared" si="91"/>
        <v>61.334138641955136</v>
      </c>
      <c r="BG101" s="20">
        <f t="shared" si="61"/>
        <v>548.33069080140524</v>
      </c>
      <c r="BH101" s="59">
        <f t="shared" si="62"/>
        <v>841.66402413473861</v>
      </c>
      <c r="BI101" s="59">
        <f ca="1">AVERAGE(OFFSET($BH$3,0,0,'Données projet'!$E$11+1,1))-AVERAGE(OFFSET($H$3,0,0,'Données projet'!$E$11+1,1))</f>
        <v>249.01678065306629</v>
      </c>
      <c r="BJ101" s="59">
        <f t="shared" si="92"/>
        <v>99.639724892155641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0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>
        <f>BY101*VLOOKUP('Données projet'!$B$12,Paramètres!$A$1:$I$89,3,0)*VLOOKUP('Données projet'!$B$12,Paramètres!$A$1:$I$89,5,0)</f>
        <v>0</v>
      </c>
      <c r="CA101" s="13" t="e">
        <f t="shared" si="93"/>
        <v>#NUM!</v>
      </c>
      <c r="CB101" s="20" t="e">
        <f t="shared" si="64"/>
        <v>#NUM!</v>
      </c>
      <c r="CC101" s="59" t="e">
        <f t="shared" si="65"/>
        <v>#NUM!</v>
      </c>
      <c r="CD101" s="59">
        <f ca="1">AVERAGE(OFFSET($CC$3,0,0,'Données projet'!$E$12+1,1))-AVERAGE(OFFSET($H$3,0,0,'Données projet'!$E$12+1,1))</f>
        <v>0</v>
      </c>
      <c r="CE101" s="59">
        <f t="shared" si="94"/>
        <v>0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0</v>
      </c>
      <c r="CL101" s="21">
        <f>EXP(-LN(2)/25)*CL100+(1-EXP(-LN(2)/25))/(LN(2)/25)*Calculateur!CG101*Calculateur!CI101*VLOOKUP('Données projet'!$B$12,Paramètres!$A$1:$I$89,3,0)*0.475*44/12</f>
        <v>0</v>
      </c>
      <c r="CM101" s="21">
        <f>EXP(-LN(2)/2)*CM100+(1-EXP(-LN(2)/2))/(LN(2)/2)*CG101*CJ101*VLOOKUP('Données projet'!$B$12,Paramètres!$A$1:$I$89,3,0)*0.475*44/12</f>
        <v>0</v>
      </c>
      <c r="CN101" s="22">
        <f t="shared" si="66"/>
        <v>0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>
        <f>CT101*VLOOKUP('Données projet'!$B$13,Paramètres!$A$1:$I$89,3,0)*VLOOKUP('Données projet'!$B$13,Paramètres!$A$1:$I$89,5,0)</f>
        <v>0</v>
      </c>
      <c r="CV101" s="13" t="e">
        <f t="shared" si="95"/>
        <v>#NUM!</v>
      </c>
      <c r="CW101" s="20" t="e">
        <f t="shared" si="67"/>
        <v>#NUM!</v>
      </c>
      <c r="CX101" s="59" t="e">
        <f t="shared" si="68"/>
        <v>#NUM!</v>
      </c>
      <c r="CY101" s="59">
        <f ca="1">AVERAGE(OFFSET($CX$3,0,0,'Données projet'!$E$13+1,1))-AVERAGE(OFFSET($H$3,0,0,'Données projet'!$E$13+1,1))</f>
        <v>0</v>
      </c>
      <c r="CZ101" s="59">
        <f t="shared" si="96"/>
        <v>0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0</v>
      </c>
      <c r="DG101" s="21">
        <f>EXP(-LN(2)/25)*DG100+(1-EXP(-LN(2)/25))/(LN(2)/25)*Calculateur!DB101*Calculateur!DD101*VLOOKUP('Données projet'!$B$13,Paramètres!$A$1:$I$89,3,0)*0.475*44/12</f>
        <v>0</v>
      </c>
      <c r="DH101" s="21">
        <f>EXP(-LN(2)/2)*DH100+(1-EXP(-LN(2)/2))/(LN(2)/2)*DB101*DE101*VLOOKUP('Données projet'!$B$13,Paramètres!$A$1:$I$89,3,0)*0.475*44/12</f>
        <v>0</v>
      </c>
      <c r="DI101" s="22">
        <f t="shared" si="69"/>
        <v>0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-2.2737367544323206E-13</v>
      </c>
      <c r="O102" s="13">
        <f>N102*VLOOKUP('Données projet'!$B$9,Paramètres!$A$1:$I$89,3,0)*VLOOKUP('Données projet'!$B$9,Paramètres!$A$1:$I$89,5,0)</f>
        <v>-1.3596945791505279E-13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181.92766225683107</v>
      </c>
      <c r="T102" s="59">
        <f t="shared" si="88"/>
        <v>370.52917139565756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16.760936284789238</v>
      </c>
      <c r="AA102" s="21">
        <f>EXP(-LN(2)/25)*AA101+(1-EXP(-LN(2)/25))/(LN(2)/25)*Calculateur!V102*Calculateur!X102*VLOOKUP('Données projet'!$B$9,Paramètres!$A$1:$I$89,3,0)*0.475*44/12</f>
        <v>8.6902760175541562</v>
      </c>
      <c r="AB102" s="21">
        <f>EXP(-LN(2)/2)*AB101+(1-EXP(-LN(2)/2))/(LN(2)/2)*V102*Y102*VLOOKUP('Données projet'!$B$9,Paramètres!$A$1:$I$89,3,0)*0.475*44/12</f>
        <v>1.8703300794276892E-8</v>
      </c>
      <c r="AC102" s="22">
        <f t="shared" si="57"/>
        <v>25.451212321046693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5.6843418860808015E-14</v>
      </c>
      <c r="AJ102" s="13">
        <f>AI102*VLOOKUP('Données projet'!$B$10,Paramètres!$A$1:$I$89,3,0)*VLOOKUP('Données projet'!$B$10,Paramètres!$A$1:$I$89,5,0)</f>
        <v>4.6111381379887463E-14</v>
      </c>
      <c r="AK102" s="13">
        <f t="shared" si="89"/>
        <v>7.5804141040779151E-13</v>
      </c>
      <c r="AL102" s="20">
        <f t="shared" si="58"/>
        <v>1.4005661123635408E-12</v>
      </c>
      <c r="AM102" s="59">
        <f t="shared" si="59"/>
        <v>293.33333333333474</v>
      </c>
      <c r="AN102" s="59">
        <f ca="1">AVERAGE(OFFSET($AM$3,0,0,'Données projet'!$E$10+1,1))-AVERAGE(OFFSET($H$3,0,0,'Données projet'!$E$10+1,1))</f>
        <v>235.31102883830971</v>
      </c>
      <c r="AO102" s="59">
        <f t="shared" si="90"/>
        <v>271.48630853790422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</v>
      </c>
      <c r="AV102" s="21">
        <f>EXP(-LN(2)/25)*AV101+(1-EXP(-LN(2)/25))/(LN(2)/25)*Calculateur!AQ102*Calculateur!AS102*VLOOKUP('Données projet'!$B$10,Paramètres!$A$1:$I$89,3,0)*0.475*44/12</f>
        <v>1.2557460116810211</v>
      </c>
      <c r="AW102" s="21">
        <f>EXP(-LN(2)/2)*AW101+(1-EXP(-LN(2)/2))/(LN(2)/2)*AQ102*AT102*VLOOKUP('Données projet'!$B$10,Paramètres!$A$1:$I$89,3,0)*0.475*44/12</f>
        <v>4.516203299190044E-10</v>
      </c>
      <c r="AX102" s="21">
        <f t="shared" si="60"/>
        <v>1.2557460121326414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3.7</v>
      </c>
      <c r="BD102" s="12">
        <f>IF('Données projet'!$A$88&gt;35,BD101+BC102-BL101,IF(A102&lt;'Données projet'!$A$88,$BA$205^A102,IF(A102='Données projet'!$A$88,'Données projet'!$B$88,BD101+BC102-BL101)))</f>
        <v>226.29999999999998</v>
      </c>
      <c r="BE102" s="13">
        <f>BD102*VLOOKUP('Données projet'!$B$11,Paramètres!$A$1:$I$89,3,0)*VLOOKUP('Données projet'!$B$11,Paramètres!$A$1:$I$89,5,0)</f>
        <v>257.71044000000001</v>
      </c>
      <c r="BF102" s="13">
        <f t="shared" si="91"/>
        <v>62.234085338028265</v>
      </c>
      <c r="BG102" s="20">
        <f t="shared" si="61"/>
        <v>557.23671496373254</v>
      </c>
      <c r="BH102" s="59">
        <f t="shared" si="62"/>
        <v>850.5700482970658</v>
      </c>
      <c r="BI102" s="59">
        <f ca="1">AVERAGE(OFFSET($BH$3,0,0,'Données projet'!$E$11+1,1))-AVERAGE(OFFSET($H$3,0,0,'Données projet'!$E$11+1,1))</f>
        <v>249.01678065306629</v>
      </c>
      <c r="BJ102" s="59">
        <f t="shared" si="92"/>
        <v>99.639724892155641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0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>
        <f>BY102*VLOOKUP('Données projet'!$B$12,Paramètres!$A$1:$I$89,3,0)*VLOOKUP('Données projet'!$B$12,Paramètres!$A$1:$I$89,5,0)</f>
        <v>0</v>
      </c>
      <c r="CA102" s="13" t="e">
        <f t="shared" si="93"/>
        <v>#NUM!</v>
      </c>
      <c r="CB102" s="20" t="e">
        <f t="shared" si="64"/>
        <v>#NUM!</v>
      </c>
      <c r="CC102" s="59" t="e">
        <f t="shared" si="65"/>
        <v>#NUM!</v>
      </c>
      <c r="CD102" s="59">
        <f ca="1">AVERAGE(OFFSET($CC$3,0,0,'Données projet'!$E$12+1,1))-AVERAGE(OFFSET($H$3,0,0,'Données projet'!$E$12+1,1))</f>
        <v>0</v>
      </c>
      <c r="CE102" s="59">
        <f t="shared" si="94"/>
        <v>0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0</v>
      </c>
      <c r="CL102" s="21">
        <f>EXP(-LN(2)/25)*CL101+(1-EXP(-LN(2)/25))/(LN(2)/25)*Calculateur!CG102*Calculateur!CI102*VLOOKUP('Données projet'!$B$12,Paramètres!$A$1:$I$89,3,0)*0.475*44/12</f>
        <v>0</v>
      </c>
      <c r="CM102" s="21">
        <f>EXP(-LN(2)/2)*CM101+(1-EXP(-LN(2)/2))/(LN(2)/2)*CG102*CJ102*VLOOKUP('Données projet'!$B$12,Paramètres!$A$1:$I$89,3,0)*0.475*44/12</f>
        <v>0</v>
      </c>
      <c r="CN102" s="22">
        <f t="shared" si="66"/>
        <v>0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>
        <f>CT102*VLOOKUP('Données projet'!$B$13,Paramètres!$A$1:$I$89,3,0)*VLOOKUP('Données projet'!$B$13,Paramètres!$A$1:$I$89,5,0)</f>
        <v>0</v>
      </c>
      <c r="CV102" s="13" t="e">
        <f t="shared" si="95"/>
        <v>#NUM!</v>
      </c>
      <c r="CW102" s="20" t="e">
        <f t="shared" si="67"/>
        <v>#NUM!</v>
      </c>
      <c r="CX102" s="59" t="e">
        <f t="shared" si="68"/>
        <v>#NUM!</v>
      </c>
      <c r="CY102" s="59">
        <f ca="1">AVERAGE(OFFSET($CX$3,0,0,'Données projet'!$E$13+1,1))-AVERAGE(OFFSET($H$3,0,0,'Données projet'!$E$13+1,1))</f>
        <v>0</v>
      </c>
      <c r="CZ102" s="59">
        <f t="shared" si="96"/>
        <v>0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0</v>
      </c>
      <c r="DG102" s="21">
        <f>EXP(-LN(2)/25)*DG101+(1-EXP(-LN(2)/25))/(LN(2)/25)*Calculateur!DB102*Calculateur!DD102*VLOOKUP('Données projet'!$B$13,Paramètres!$A$1:$I$89,3,0)*0.475*44/12</f>
        <v>0</v>
      </c>
      <c r="DH102" s="21">
        <f>EXP(-LN(2)/2)*DH101+(1-EXP(-LN(2)/2))/(LN(2)/2)*DB102*DE102*VLOOKUP('Données projet'!$B$13,Paramètres!$A$1:$I$89,3,0)*0.475*44/12</f>
        <v>0</v>
      </c>
      <c r="DI102" s="22">
        <f t="shared" si="69"/>
        <v>0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-2.2737367544323206E-13</v>
      </c>
      <c r="O103" s="13">
        <f>N103*VLOOKUP('Données projet'!$B$9,Paramètres!$A$1:$I$89,3,0)*VLOOKUP('Données projet'!$B$9,Paramètres!$A$1:$I$89,5,0)</f>
        <v>-1.3596945791505279E-13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181.92766225683107</v>
      </c>
      <c r="T103" s="59">
        <f t="shared" si="88"/>
        <v>370.52917139565756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16.432264547406202</v>
      </c>
      <c r="AA103" s="21">
        <f>EXP(-LN(2)/25)*AA102+(1-EXP(-LN(2)/25))/(LN(2)/25)*Calculateur!V103*Calculateur!X103*VLOOKUP('Données projet'!$B$9,Paramètres!$A$1:$I$89,3,0)*0.475*44/12</f>
        <v>8.4526399628523841</v>
      </c>
      <c r="AB103" s="21">
        <f>EXP(-LN(2)/2)*AB102+(1-EXP(-LN(2)/2))/(LN(2)/2)*V103*Y103*VLOOKUP('Données projet'!$B$9,Paramètres!$A$1:$I$89,3,0)*0.475*44/12</f>
        <v>1.3225230822204931E-8</v>
      </c>
      <c r="AC103" s="22">
        <f t="shared" si="57"/>
        <v>24.884904523483819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5.6843418860808015E-14</v>
      </c>
      <c r="AJ103" s="13">
        <f>AI103*VLOOKUP('Données projet'!$B$10,Paramètres!$A$1:$I$89,3,0)*VLOOKUP('Données projet'!$B$10,Paramètres!$A$1:$I$89,5,0)</f>
        <v>4.6111381379887463E-14</v>
      </c>
      <c r="AK103" s="13">
        <f t="shared" si="89"/>
        <v>7.5804141040779151E-13</v>
      </c>
      <c r="AL103" s="20">
        <f t="shared" si="58"/>
        <v>1.4005661123635408E-12</v>
      </c>
      <c r="AM103" s="59">
        <f t="shared" si="59"/>
        <v>293.33333333333474</v>
      </c>
      <c r="AN103" s="59">
        <f ca="1">AVERAGE(OFFSET($AM$3,0,0,'Données projet'!$E$10+1,1))-AVERAGE(OFFSET($H$3,0,0,'Données projet'!$E$10+1,1))</f>
        <v>235.31102883830971</v>
      </c>
      <c r="AO103" s="59">
        <f t="shared" si="90"/>
        <v>271.48630853790422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</v>
      </c>
      <c r="AV103" s="21">
        <f>EXP(-LN(2)/25)*AV102+(1-EXP(-LN(2)/25))/(LN(2)/25)*Calculateur!AQ103*Calculateur!AS103*VLOOKUP('Données projet'!$B$10,Paramètres!$A$1:$I$89,3,0)*0.475*44/12</f>
        <v>1.2214075709547909</v>
      </c>
      <c r="AW103" s="21">
        <f>EXP(-LN(2)/2)*AW102+(1-EXP(-LN(2)/2))/(LN(2)/2)*AQ103*AT103*VLOOKUP('Données projet'!$B$10,Paramètres!$A$1:$I$89,3,0)*0.475*44/12</f>
        <v>3.1934379780743384E-10</v>
      </c>
      <c r="AX103" s="21">
        <f t="shared" si="60"/>
        <v>1.2214075712741348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>
        <f>VLOOKUP(A103,'Données projet'!$A$87:$I$107,2,0)</f>
        <v>230</v>
      </c>
      <c r="BB103" s="12">
        <f>VLOOKUP(A103,'Données projet'!$A$87:$I$107,9,0)</f>
        <v>3.7</v>
      </c>
      <c r="BC103" s="12">
        <f t="array" ref="BC103">INDEX(BB:BB,MIN(IF(ISNUMBER(BB103:BB299),ROW(BB103:BB299),"")))</f>
        <v>3.7</v>
      </c>
      <c r="BD103" s="12">
        <f>IF('Données projet'!$A$88&gt;35,BD102+BC103-BL102,IF(A103&lt;'Données projet'!$A$88,$BA$205^A103,IF(A103='Données projet'!$A$88,'Données projet'!$B$88,BD102+BC103-BL102)))</f>
        <v>229.99999999999997</v>
      </c>
      <c r="BE103" s="13">
        <f>BD103*VLOOKUP('Données projet'!$B$11,Paramètres!$A$1:$I$89,3,0)*VLOOKUP('Données projet'!$B$11,Paramètres!$A$1:$I$89,5,0)</f>
        <v>261.92399999999998</v>
      </c>
      <c r="BF103" s="13">
        <f t="shared" si="91"/>
        <v>63.132320859995644</v>
      </c>
      <c r="BG103" s="20">
        <f t="shared" si="61"/>
        <v>566.13975883115904</v>
      </c>
      <c r="BH103" s="59">
        <f t="shared" si="62"/>
        <v>859.4730921644923</v>
      </c>
      <c r="BI103" s="59">
        <f ca="1">AVERAGE(OFFSET($BH$3,0,0,'Données projet'!$E$11+1,1))-AVERAGE(OFFSET($H$3,0,0,'Données projet'!$E$11+1,1))</f>
        <v>249.01678065306629</v>
      </c>
      <c r="BJ103" s="59">
        <f t="shared" si="92"/>
        <v>99.639724892155641</v>
      </c>
      <c r="BK103" s="15">
        <f>IF(ISNA(VLOOKUP(A103,'Données projet'!$A$87:$I$107,3,0)),0,VLOOKUP(A103,'Données projet'!$A$87:$I$107,3,0))</f>
        <v>7</v>
      </c>
      <c r="BL103" s="15">
        <f>IF(ISNA(VLOOKUP(A103,'Données projet'!$A$87:$I$107,4,0)),0,VLOOKUP(A103,'Données projet'!$A$87:$I$107,4,0))</f>
        <v>28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0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>
        <f>BY103*VLOOKUP('Données projet'!$B$12,Paramètres!$A$1:$I$89,3,0)*VLOOKUP('Données projet'!$B$12,Paramètres!$A$1:$I$89,5,0)</f>
        <v>0</v>
      </c>
      <c r="CA103" s="13" t="e">
        <f t="shared" si="93"/>
        <v>#NUM!</v>
      </c>
      <c r="CB103" s="20" t="e">
        <f t="shared" si="64"/>
        <v>#NUM!</v>
      </c>
      <c r="CC103" s="59" t="e">
        <f t="shared" si="65"/>
        <v>#NUM!</v>
      </c>
      <c r="CD103" s="59">
        <f ca="1">AVERAGE(OFFSET($CC$3,0,0,'Données projet'!$E$12+1,1))-AVERAGE(OFFSET($H$3,0,0,'Données projet'!$E$12+1,1))</f>
        <v>0</v>
      </c>
      <c r="CE103" s="59">
        <f t="shared" si="94"/>
        <v>0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0</v>
      </c>
      <c r="CL103" s="21">
        <f>EXP(-LN(2)/25)*CL102+(1-EXP(-LN(2)/25))/(LN(2)/25)*Calculateur!CG103*Calculateur!CI103*VLOOKUP('Données projet'!$B$12,Paramètres!$A$1:$I$89,3,0)*0.475*44/12</f>
        <v>0</v>
      </c>
      <c r="CM103" s="21">
        <f>EXP(-LN(2)/2)*CM102+(1-EXP(-LN(2)/2))/(LN(2)/2)*CG103*CJ103*VLOOKUP('Données projet'!$B$12,Paramètres!$A$1:$I$89,3,0)*0.475*44/12</f>
        <v>0</v>
      </c>
      <c r="CN103" s="22">
        <f t="shared" si="66"/>
        <v>0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>
        <f>CT103*VLOOKUP('Données projet'!$B$13,Paramètres!$A$1:$I$89,3,0)*VLOOKUP('Données projet'!$B$13,Paramètres!$A$1:$I$89,5,0)</f>
        <v>0</v>
      </c>
      <c r="CV103" s="13" t="e">
        <f t="shared" si="95"/>
        <v>#NUM!</v>
      </c>
      <c r="CW103" s="20" t="e">
        <f t="shared" si="67"/>
        <v>#NUM!</v>
      </c>
      <c r="CX103" s="59" t="e">
        <f t="shared" si="68"/>
        <v>#NUM!</v>
      </c>
      <c r="CY103" s="59">
        <f ca="1">AVERAGE(OFFSET($CX$3,0,0,'Données projet'!$E$13+1,1))-AVERAGE(OFFSET($H$3,0,0,'Données projet'!$E$13+1,1))</f>
        <v>0</v>
      </c>
      <c r="CZ103" s="59">
        <f t="shared" si="96"/>
        <v>0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0</v>
      </c>
      <c r="DG103" s="21">
        <f>EXP(-LN(2)/25)*DG102+(1-EXP(-LN(2)/25))/(LN(2)/25)*Calculateur!DB103*Calculateur!DD103*VLOOKUP('Données projet'!$B$13,Paramètres!$A$1:$I$89,3,0)*0.475*44/12</f>
        <v>0</v>
      </c>
      <c r="DH103" s="21">
        <f>EXP(-LN(2)/2)*DH102+(1-EXP(-LN(2)/2))/(LN(2)/2)*DB103*DE103*VLOOKUP('Données projet'!$B$13,Paramètres!$A$1:$I$89,3,0)*0.475*44/12</f>
        <v>0</v>
      </c>
      <c r="DI103" s="22">
        <f t="shared" si="69"/>
        <v>0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-2.2737367544323206E-13</v>
      </c>
      <c r="O104" s="13">
        <f>N104*VLOOKUP('Données projet'!$B$9,Paramètres!$A$1:$I$89,3,0)*VLOOKUP('Données projet'!$B$9,Paramètres!$A$1:$I$89,5,0)</f>
        <v>-1.3596945791505279E-13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181.92766225683107</v>
      </c>
      <c r="T104" s="59">
        <f t="shared" si="88"/>
        <v>370.52917139565756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16.110037862323281</v>
      </c>
      <c r="AA104" s="21">
        <f>EXP(-LN(2)/25)*AA103+(1-EXP(-LN(2)/25))/(LN(2)/25)*Calculateur!V104*Calculateur!X104*VLOOKUP('Données projet'!$B$9,Paramètres!$A$1:$I$89,3,0)*0.475*44/12</f>
        <v>8.2215020785631694</v>
      </c>
      <c r="AB104" s="21">
        <f>EXP(-LN(2)/2)*AB103+(1-EXP(-LN(2)/2))/(LN(2)/2)*V104*Y104*VLOOKUP('Données projet'!$B$9,Paramètres!$A$1:$I$89,3,0)*0.475*44/12</f>
        <v>9.3516503971384458E-9</v>
      </c>
      <c r="AC104" s="22">
        <f t="shared" si="57"/>
        <v>24.331539950238103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5.6843418860808015E-14</v>
      </c>
      <c r="AJ104" s="13">
        <f>AI104*VLOOKUP('Données projet'!$B$10,Paramètres!$A$1:$I$89,3,0)*VLOOKUP('Données projet'!$B$10,Paramètres!$A$1:$I$89,5,0)</f>
        <v>4.6111381379887463E-14</v>
      </c>
      <c r="AK104" s="13">
        <f t="shared" si="89"/>
        <v>7.5804141040779151E-13</v>
      </c>
      <c r="AL104" s="20">
        <f t="shared" si="58"/>
        <v>1.4005661123635408E-12</v>
      </c>
      <c r="AM104" s="59">
        <f t="shared" si="59"/>
        <v>293.33333333333474</v>
      </c>
      <c r="AN104" s="59">
        <f ca="1">AVERAGE(OFFSET($AM$3,0,0,'Données projet'!$E$10+1,1))-AVERAGE(OFFSET($H$3,0,0,'Données projet'!$E$10+1,1))</f>
        <v>235.31102883830971</v>
      </c>
      <c r="AO104" s="59">
        <f t="shared" si="90"/>
        <v>271.48630853790422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</v>
      </c>
      <c r="AV104" s="21">
        <f>EXP(-LN(2)/25)*AV103+(1-EXP(-LN(2)/25))/(LN(2)/25)*Calculateur!AQ104*Calculateur!AS104*VLOOKUP('Données projet'!$B$10,Paramètres!$A$1:$I$89,3,0)*0.475*44/12</f>
        <v>1.1880081166959995</v>
      </c>
      <c r="AW104" s="21">
        <f>EXP(-LN(2)/2)*AW103+(1-EXP(-LN(2)/2))/(LN(2)/2)*AQ104*AT104*VLOOKUP('Données projet'!$B$10,Paramètres!$A$1:$I$89,3,0)*0.475*44/12</f>
        <v>2.258101649595022E-10</v>
      </c>
      <c r="AX104" s="21">
        <f t="shared" si="60"/>
        <v>1.1880081169218097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3.1</v>
      </c>
      <c r="BD104" s="12">
        <f>IF('Données projet'!$A$88&gt;35,BD103+BC104-BL103,IF(A104&lt;'Données projet'!$A$88,$BA$205^A104,IF(A104='Données projet'!$A$88,'Données projet'!$B$88,BD103+BC104-BL103)))</f>
        <v>205.09999999999997</v>
      </c>
      <c r="BE104" s="13">
        <f>BD104*VLOOKUP('Données projet'!$B$11,Paramètres!$A$1:$I$89,3,0)*VLOOKUP('Données projet'!$B$11,Paramètres!$A$1:$I$89,5,0)</f>
        <v>233.56787999999997</v>
      </c>
      <c r="BF104" s="13">
        <f t="shared" si="91"/>
        <v>57.053448096740226</v>
      </c>
      <c r="BG104" s="20">
        <f t="shared" si="61"/>
        <v>506.16547976848915</v>
      </c>
      <c r="BH104" s="59">
        <f t="shared" si="62"/>
        <v>799.49881310182241</v>
      </c>
      <c r="BI104" s="59">
        <f ca="1">AVERAGE(OFFSET($BH$3,0,0,'Données projet'!$E$11+1,1))-AVERAGE(OFFSET($H$3,0,0,'Données projet'!$E$11+1,1))</f>
        <v>249.01678065306629</v>
      </c>
      <c r="BJ104" s="59">
        <f t="shared" si="92"/>
        <v>99.639724892155641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0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>
        <f>BY104*VLOOKUP('Données projet'!$B$12,Paramètres!$A$1:$I$89,3,0)*VLOOKUP('Données projet'!$B$12,Paramètres!$A$1:$I$89,5,0)</f>
        <v>0</v>
      </c>
      <c r="CA104" s="13" t="e">
        <f t="shared" si="93"/>
        <v>#NUM!</v>
      </c>
      <c r="CB104" s="20" t="e">
        <f t="shared" si="64"/>
        <v>#NUM!</v>
      </c>
      <c r="CC104" s="59" t="e">
        <f t="shared" si="65"/>
        <v>#NUM!</v>
      </c>
      <c r="CD104" s="59">
        <f ca="1">AVERAGE(OFFSET($CC$3,0,0,'Données projet'!$E$12+1,1))-AVERAGE(OFFSET($H$3,0,0,'Données projet'!$E$12+1,1))</f>
        <v>0</v>
      </c>
      <c r="CE104" s="59">
        <f t="shared" si="94"/>
        <v>0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0</v>
      </c>
      <c r="CL104" s="21">
        <f>EXP(-LN(2)/25)*CL103+(1-EXP(-LN(2)/25))/(LN(2)/25)*Calculateur!CG104*Calculateur!CI104*VLOOKUP('Données projet'!$B$12,Paramètres!$A$1:$I$89,3,0)*0.475*44/12</f>
        <v>0</v>
      </c>
      <c r="CM104" s="21">
        <f>EXP(-LN(2)/2)*CM103+(1-EXP(-LN(2)/2))/(LN(2)/2)*CG104*CJ104*VLOOKUP('Données projet'!$B$12,Paramètres!$A$1:$I$89,3,0)*0.475*44/12</f>
        <v>0</v>
      </c>
      <c r="CN104" s="22">
        <f t="shared" si="66"/>
        <v>0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>
        <f>CT104*VLOOKUP('Données projet'!$B$13,Paramètres!$A$1:$I$89,3,0)*VLOOKUP('Données projet'!$B$13,Paramètres!$A$1:$I$89,5,0)</f>
        <v>0</v>
      </c>
      <c r="CV104" s="13" t="e">
        <f t="shared" si="95"/>
        <v>#NUM!</v>
      </c>
      <c r="CW104" s="20" t="e">
        <f t="shared" si="67"/>
        <v>#NUM!</v>
      </c>
      <c r="CX104" s="59" t="e">
        <f t="shared" si="68"/>
        <v>#NUM!</v>
      </c>
      <c r="CY104" s="59">
        <f ca="1">AVERAGE(OFFSET($CX$3,0,0,'Données projet'!$E$13+1,1))-AVERAGE(OFFSET($H$3,0,0,'Données projet'!$E$13+1,1))</f>
        <v>0</v>
      </c>
      <c r="CZ104" s="59">
        <f t="shared" si="96"/>
        <v>0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0</v>
      </c>
      <c r="DG104" s="21">
        <f>EXP(-LN(2)/25)*DG103+(1-EXP(-LN(2)/25))/(LN(2)/25)*Calculateur!DB104*Calculateur!DD104*VLOOKUP('Données projet'!$B$13,Paramètres!$A$1:$I$89,3,0)*0.475*44/12</f>
        <v>0</v>
      </c>
      <c r="DH104" s="21">
        <f>EXP(-LN(2)/2)*DH103+(1-EXP(-LN(2)/2))/(LN(2)/2)*DB104*DE104*VLOOKUP('Données projet'!$B$13,Paramètres!$A$1:$I$89,3,0)*0.475*44/12</f>
        <v>0</v>
      </c>
      <c r="DI104" s="22">
        <f t="shared" si="69"/>
        <v>0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-2.2737367544323206E-13</v>
      </c>
      <c r="O105" s="13">
        <f>N105*VLOOKUP('Données projet'!$B$9,Paramètres!$A$1:$I$89,3,0)*VLOOKUP('Données projet'!$B$9,Paramètres!$A$1:$I$89,5,0)</f>
        <v>-1.3596945791505279E-13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181.92766225683107</v>
      </c>
      <c r="T105" s="59">
        <f t="shared" si="88"/>
        <v>370.52917139565756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15.794129845995966</v>
      </c>
      <c r="AA105" s="21">
        <f>EXP(-LN(2)/25)*AA104+(1-EXP(-LN(2)/25))/(LN(2)/25)*Calculateur!V105*Calculateur!X105*VLOOKUP('Données projet'!$B$9,Paramètres!$A$1:$I$89,3,0)*0.475*44/12</f>
        <v>7.9966846718748554</v>
      </c>
      <c r="AB105" s="21">
        <f>EXP(-LN(2)/2)*AB104+(1-EXP(-LN(2)/2))/(LN(2)/2)*V105*Y105*VLOOKUP('Données projet'!$B$9,Paramètres!$A$1:$I$89,3,0)*0.475*44/12</f>
        <v>6.6126154111024654E-9</v>
      </c>
      <c r="AC105" s="22">
        <f t="shared" si="57"/>
        <v>23.790814524483437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5.6843418860808015E-14</v>
      </c>
      <c r="AJ105" s="13">
        <f>AI105*VLOOKUP('Données projet'!$B$10,Paramètres!$A$1:$I$89,3,0)*VLOOKUP('Données projet'!$B$10,Paramètres!$A$1:$I$89,5,0)</f>
        <v>4.6111381379887463E-14</v>
      </c>
      <c r="AK105" s="13">
        <f t="shared" si="89"/>
        <v>7.5804141040779151E-13</v>
      </c>
      <c r="AL105" s="20">
        <f t="shared" si="58"/>
        <v>1.4005661123635408E-12</v>
      </c>
      <c r="AM105" s="59">
        <f t="shared" si="59"/>
        <v>293.33333333333474</v>
      </c>
      <c r="AN105" s="59">
        <f ca="1">AVERAGE(OFFSET($AM$3,0,0,'Données projet'!$E$10+1,1))-AVERAGE(OFFSET($H$3,0,0,'Données projet'!$E$10+1,1))</f>
        <v>235.31102883830971</v>
      </c>
      <c r="AO105" s="59">
        <f t="shared" si="90"/>
        <v>271.48630853790422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</v>
      </c>
      <c r="AV105" s="21">
        <f>EXP(-LN(2)/25)*AV104+(1-EXP(-LN(2)/25))/(LN(2)/25)*Calculateur!AQ105*Calculateur!AS105*VLOOKUP('Données projet'!$B$10,Paramètres!$A$1:$I$89,3,0)*0.475*44/12</f>
        <v>1.1555219722703158</v>
      </c>
      <c r="AW105" s="21">
        <f>EXP(-LN(2)/2)*AW104+(1-EXP(-LN(2)/2))/(LN(2)/2)*AQ105*AT105*VLOOKUP('Données projet'!$B$10,Paramètres!$A$1:$I$89,3,0)*0.475*44/12</f>
        <v>1.5967189890371692E-10</v>
      </c>
      <c r="AX105" s="21">
        <f t="shared" si="60"/>
        <v>1.1555219724299877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3.1</v>
      </c>
      <c r="BD105" s="12">
        <f>IF('Données projet'!$A$88&gt;35,BD104+BC105-BL104,IF(A105&lt;'Données projet'!$A$88,$BA$205^A105,IF(A105='Données projet'!$A$88,'Données projet'!$B$88,BD104+BC105-BL104)))</f>
        <v>208.19999999999996</v>
      </c>
      <c r="BE105" s="13">
        <f>BD105*VLOOKUP('Données projet'!$B$11,Paramètres!$A$1:$I$89,3,0)*VLOOKUP('Données projet'!$B$11,Paramètres!$A$1:$I$89,5,0)</f>
        <v>237.09815999999995</v>
      </c>
      <c r="BF105" s="13">
        <f t="shared" si="91"/>
        <v>57.814744131423225</v>
      </c>
      <c r="BG105" s="20">
        <f t="shared" si="61"/>
        <v>513.63997469556193</v>
      </c>
      <c r="BH105" s="59">
        <f t="shared" si="62"/>
        <v>806.97330802889519</v>
      </c>
      <c r="BI105" s="59">
        <f ca="1">AVERAGE(OFFSET($BH$3,0,0,'Données projet'!$E$11+1,1))-AVERAGE(OFFSET($H$3,0,0,'Données projet'!$E$11+1,1))</f>
        <v>249.01678065306629</v>
      </c>
      <c r="BJ105" s="59">
        <f t="shared" si="92"/>
        <v>99.639724892155641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0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>
        <f>BY105*VLOOKUP('Données projet'!$B$12,Paramètres!$A$1:$I$89,3,0)*VLOOKUP('Données projet'!$B$12,Paramètres!$A$1:$I$89,5,0)</f>
        <v>0</v>
      </c>
      <c r="CA105" s="13" t="e">
        <f t="shared" si="93"/>
        <v>#NUM!</v>
      </c>
      <c r="CB105" s="20" t="e">
        <f t="shared" si="64"/>
        <v>#NUM!</v>
      </c>
      <c r="CC105" s="59" t="e">
        <f t="shared" si="65"/>
        <v>#NUM!</v>
      </c>
      <c r="CD105" s="59">
        <f ca="1">AVERAGE(OFFSET($CC$3,0,0,'Données projet'!$E$12+1,1))-AVERAGE(OFFSET($H$3,0,0,'Données projet'!$E$12+1,1))</f>
        <v>0</v>
      </c>
      <c r="CE105" s="59">
        <f t="shared" si="94"/>
        <v>0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0</v>
      </c>
      <c r="CL105" s="21">
        <f>EXP(-LN(2)/25)*CL104+(1-EXP(-LN(2)/25))/(LN(2)/25)*Calculateur!CG105*Calculateur!CI105*VLOOKUP('Données projet'!$B$12,Paramètres!$A$1:$I$89,3,0)*0.475*44/12</f>
        <v>0</v>
      </c>
      <c r="CM105" s="21">
        <f>EXP(-LN(2)/2)*CM104+(1-EXP(-LN(2)/2))/(LN(2)/2)*CG105*CJ105*VLOOKUP('Données projet'!$B$12,Paramètres!$A$1:$I$89,3,0)*0.475*44/12</f>
        <v>0</v>
      </c>
      <c r="CN105" s="22">
        <f t="shared" si="66"/>
        <v>0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>
        <f>CT105*VLOOKUP('Données projet'!$B$13,Paramètres!$A$1:$I$89,3,0)*VLOOKUP('Données projet'!$B$13,Paramètres!$A$1:$I$89,5,0)</f>
        <v>0</v>
      </c>
      <c r="CV105" s="13" t="e">
        <f t="shared" si="95"/>
        <v>#NUM!</v>
      </c>
      <c r="CW105" s="20" t="e">
        <f t="shared" si="67"/>
        <v>#NUM!</v>
      </c>
      <c r="CX105" s="59" t="e">
        <f t="shared" si="68"/>
        <v>#NUM!</v>
      </c>
      <c r="CY105" s="59">
        <f ca="1">AVERAGE(OFFSET($CX$3,0,0,'Données projet'!$E$13+1,1))-AVERAGE(OFFSET($H$3,0,0,'Données projet'!$E$13+1,1))</f>
        <v>0</v>
      </c>
      <c r="CZ105" s="59">
        <f t="shared" si="96"/>
        <v>0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0</v>
      </c>
      <c r="DG105" s="21">
        <f>EXP(-LN(2)/25)*DG104+(1-EXP(-LN(2)/25))/(LN(2)/25)*Calculateur!DB105*Calculateur!DD105*VLOOKUP('Données projet'!$B$13,Paramètres!$A$1:$I$89,3,0)*0.475*44/12</f>
        <v>0</v>
      </c>
      <c r="DH105" s="21">
        <f>EXP(-LN(2)/2)*DH104+(1-EXP(-LN(2)/2))/(LN(2)/2)*DB105*DE105*VLOOKUP('Données projet'!$B$13,Paramètres!$A$1:$I$89,3,0)*0.475*44/12</f>
        <v>0</v>
      </c>
      <c r="DI105" s="22">
        <f t="shared" si="69"/>
        <v>0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-2.2737367544323206E-13</v>
      </c>
      <c r="O106" s="13">
        <f>N106*VLOOKUP('Données projet'!$B$9,Paramètres!$A$1:$I$89,3,0)*VLOOKUP('Données projet'!$B$9,Paramètres!$A$1:$I$89,5,0)</f>
        <v>-1.3596945791505279E-13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181.92766225683107</v>
      </c>
      <c r="T106" s="59">
        <f t="shared" si="88"/>
        <v>370.52917139565756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15.484416593183965</v>
      </c>
      <c r="AA106" s="21">
        <f>EXP(-LN(2)/25)*AA105+(1-EXP(-LN(2)/25))/(LN(2)/25)*Calculateur!V106*Calculateur!X106*VLOOKUP('Données projet'!$B$9,Paramètres!$A$1:$I$89,3,0)*0.475*44/12</f>
        <v>7.7780149089950674</v>
      </c>
      <c r="AB106" s="21">
        <f>EXP(-LN(2)/2)*AB105+(1-EXP(-LN(2)/2))/(LN(2)/2)*V106*Y106*VLOOKUP('Données projet'!$B$9,Paramètres!$A$1:$I$89,3,0)*0.475*44/12</f>
        <v>4.6758251985692229E-9</v>
      </c>
      <c r="AC106" s="22">
        <f t="shared" si="57"/>
        <v>23.26243150685486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5.6843418860808015E-14</v>
      </c>
      <c r="AJ106" s="13">
        <f>AI106*VLOOKUP('Données projet'!$B$10,Paramètres!$A$1:$I$89,3,0)*VLOOKUP('Données projet'!$B$10,Paramètres!$A$1:$I$89,5,0)</f>
        <v>4.6111381379887463E-14</v>
      </c>
      <c r="AK106" s="13">
        <f t="shared" si="89"/>
        <v>7.5804141040779151E-13</v>
      </c>
      <c r="AL106" s="20">
        <f t="shared" si="58"/>
        <v>1.4005661123635408E-12</v>
      </c>
      <c r="AM106" s="59">
        <f t="shared" si="59"/>
        <v>293.33333333333474</v>
      </c>
      <c r="AN106" s="59">
        <f ca="1">AVERAGE(OFFSET($AM$3,0,0,'Données projet'!$E$10+1,1))-AVERAGE(OFFSET($H$3,0,0,'Données projet'!$E$10+1,1))</f>
        <v>235.31102883830971</v>
      </c>
      <c r="AO106" s="59">
        <f t="shared" si="90"/>
        <v>271.48630853790422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</v>
      </c>
      <c r="AV106" s="21">
        <f>EXP(-LN(2)/25)*AV105+(1-EXP(-LN(2)/25))/(LN(2)/25)*Calculateur!AQ106*Calculateur!AS106*VLOOKUP('Données projet'!$B$10,Paramètres!$A$1:$I$89,3,0)*0.475*44/12</f>
        <v>1.1239241631723245</v>
      </c>
      <c r="AW106" s="21">
        <f>EXP(-LN(2)/2)*AW105+(1-EXP(-LN(2)/2))/(LN(2)/2)*AQ106*AT106*VLOOKUP('Données projet'!$B$10,Paramètres!$A$1:$I$89,3,0)*0.475*44/12</f>
        <v>1.129050824797511E-10</v>
      </c>
      <c r="AX106" s="21">
        <f t="shared" si="60"/>
        <v>1.1239241632852295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3.1</v>
      </c>
      <c r="BD106" s="12">
        <f>IF('Données projet'!$A$88&gt;35,BD105+BC106-BL105,IF(A106&lt;'Données projet'!$A$88,$BA$205^A106,IF(A106='Données projet'!$A$88,'Données projet'!$B$88,BD105+BC106-BL105)))</f>
        <v>211.29999999999995</v>
      </c>
      <c r="BE106" s="13">
        <f>BD106*VLOOKUP('Données projet'!$B$11,Paramètres!$A$1:$I$89,3,0)*VLOOKUP('Données projet'!$B$11,Paramètres!$A$1:$I$89,5,0)</f>
        <v>240.62843999999996</v>
      </c>
      <c r="BF106" s="13">
        <f t="shared" si="91"/>
        <v>58.574721823791833</v>
      </c>
      <c r="BG106" s="20">
        <f t="shared" si="61"/>
        <v>521.11217350977063</v>
      </c>
      <c r="BH106" s="59">
        <f t="shared" si="62"/>
        <v>814.44550684310389</v>
      </c>
      <c r="BI106" s="59">
        <f ca="1">AVERAGE(OFFSET($BH$3,0,0,'Données projet'!$E$11+1,1))-AVERAGE(OFFSET($H$3,0,0,'Données projet'!$E$11+1,1))</f>
        <v>249.01678065306629</v>
      </c>
      <c r="BJ106" s="59">
        <f t="shared" si="92"/>
        <v>99.639724892155641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0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>
        <f>BY106*VLOOKUP('Données projet'!$B$12,Paramètres!$A$1:$I$89,3,0)*VLOOKUP('Données projet'!$B$12,Paramètres!$A$1:$I$89,5,0)</f>
        <v>0</v>
      </c>
      <c r="CA106" s="13" t="e">
        <f t="shared" si="93"/>
        <v>#NUM!</v>
      </c>
      <c r="CB106" s="20" t="e">
        <f t="shared" si="64"/>
        <v>#NUM!</v>
      </c>
      <c r="CC106" s="59" t="e">
        <f t="shared" si="65"/>
        <v>#NUM!</v>
      </c>
      <c r="CD106" s="59">
        <f ca="1">AVERAGE(OFFSET($CC$3,0,0,'Données projet'!$E$12+1,1))-AVERAGE(OFFSET($H$3,0,0,'Données projet'!$E$12+1,1))</f>
        <v>0</v>
      </c>
      <c r="CE106" s="59">
        <f t="shared" si="94"/>
        <v>0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0</v>
      </c>
      <c r="CL106" s="21">
        <f>EXP(-LN(2)/25)*CL105+(1-EXP(-LN(2)/25))/(LN(2)/25)*Calculateur!CG106*Calculateur!CI106*VLOOKUP('Données projet'!$B$12,Paramètres!$A$1:$I$89,3,0)*0.475*44/12</f>
        <v>0</v>
      </c>
      <c r="CM106" s="21">
        <f>EXP(-LN(2)/2)*CM105+(1-EXP(-LN(2)/2))/(LN(2)/2)*CG106*CJ106*VLOOKUP('Données projet'!$B$12,Paramètres!$A$1:$I$89,3,0)*0.475*44/12</f>
        <v>0</v>
      </c>
      <c r="CN106" s="22">
        <f t="shared" si="66"/>
        <v>0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>
        <f>CT106*VLOOKUP('Données projet'!$B$13,Paramètres!$A$1:$I$89,3,0)*VLOOKUP('Données projet'!$B$13,Paramètres!$A$1:$I$89,5,0)</f>
        <v>0</v>
      </c>
      <c r="CV106" s="13" t="e">
        <f t="shared" si="95"/>
        <v>#NUM!</v>
      </c>
      <c r="CW106" s="20" t="e">
        <f t="shared" si="67"/>
        <v>#NUM!</v>
      </c>
      <c r="CX106" s="59" t="e">
        <f t="shared" si="68"/>
        <v>#NUM!</v>
      </c>
      <c r="CY106" s="59">
        <f ca="1">AVERAGE(OFFSET($CX$3,0,0,'Données projet'!$E$13+1,1))-AVERAGE(OFFSET($H$3,0,0,'Données projet'!$E$13+1,1))</f>
        <v>0</v>
      </c>
      <c r="CZ106" s="59">
        <f t="shared" si="96"/>
        <v>0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0</v>
      </c>
      <c r="DG106" s="21">
        <f>EXP(-LN(2)/25)*DG105+(1-EXP(-LN(2)/25))/(LN(2)/25)*Calculateur!DB106*Calculateur!DD106*VLOOKUP('Données projet'!$B$13,Paramètres!$A$1:$I$89,3,0)*0.475*44/12</f>
        <v>0</v>
      </c>
      <c r="DH106" s="21">
        <f>EXP(-LN(2)/2)*DH105+(1-EXP(-LN(2)/2))/(LN(2)/2)*DB106*DE106*VLOOKUP('Données projet'!$B$13,Paramètres!$A$1:$I$89,3,0)*0.475*44/12</f>
        <v>0</v>
      </c>
      <c r="DI106" s="22">
        <f t="shared" si="69"/>
        <v>0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-2.2737367544323206E-13</v>
      </c>
      <c r="O107" s="13">
        <f>N107*VLOOKUP('Données projet'!$B$9,Paramètres!$A$1:$I$89,3,0)*VLOOKUP('Données projet'!$B$9,Paramètres!$A$1:$I$89,5,0)</f>
        <v>-1.3596945791505279E-13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181.92766225683107</v>
      </c>
      <c r="T107" s="59">
        <f t="shared" si="88"/>
        <v>370.52917139565756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15.180776628353177</v>
      </c>
      <c r="AA107" s="21">
        <f>EXP(-LN(2)/25)*AA106+(1-EXP(-LN(2)/25))/(LN(2)/25)*Calculateur!V107*Calculateur!X107*VLOOKUP('Données projet'!$B$9,Paramètres!$A$1:$I$89,3,0)*0.475*44/12</f>
        <v>7.5653246822805702</v>
      </c>
      <c r="AB107" s="21">
        <f>EXP(-LN(2)/2)*AB106+(1-EXP(-LN(2)/2))/(LN(2)/2)*V107*Y107*VLOOKUP('Données projet'!$B$9,Paramètres!$A$1:$I$89,3,0)*0.475*44/12</f>
        <v>3.3063077055512327E-9</v>
      </c>
      <c r="AC107" s="22">
        <f t="shared" si="57"/>
        <v>22.746101313940056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5.6843418860808015E-14</v>
      </c>
      <c r="AJ107" s="13">
        <f>AI107*VLOOKUP('Données projet'!$B$10,Paramètres!$A$1:$I$89,3,0)*VLOOKUP('Données projet'!$B$10,Paramètres!$A$1:$I$89,5,0)</f>
        <v>4.6111381379887463E-14</v>
      </c>
      <c r="AK107" s="13">
        <f t="shared" si="89"/>
        <v>7.5804141040779151E-13</v>
      </c>
      <c r="AL107" s="20">
        <f t="shared" si="58"/>
        <v>1.4005661123635408E-12</v>
      </c>
      <c r="AM107" s="59">
        <f t="shared" si="59"/>
        <v>293.33333333333474</v>
      </c>
      <c r="AN107" s="59">
        <f ca="1">AVERAGE(OFFSET($AM$3,0,0,'Données projet'!$E$10+1,1))-AVERAGE(OFFSET($H$3,0,0,'Données projet'!$E$10+1,1))</f>
        <v>235.31102883830971</v>
      </c>
      <c r="AO107" s="59">
        <f t="shared" si="90"/>
        <v>271.48630853790422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</v>
      </c>
      <c r="AV107" s="21">
        <f>EXP(-LN(2)/25)*AV106+(1-EXP(-LN(2)/25))/(LN(2)/25)*Calculateur!AQ107*Calculateur!AS107*VLOOKUP('Données projet'!$B$10,Paramètres!$A$1:$I$89,3,0)*0.475*44/12</f>
        <v>1.0931903978257742</v>
      </c>
      <c r="AW107" s="21">
        <f>EXP(-LN(2)/2)*AW106+(1-EXP(-LN(2)/2))/(LN(2)/2)*AQ107*AT107*VLOOKUP('Données projet'!$B$10,Paramètres!$A$1:$I$89,3,0)*0.475*44/12</f>
        <v>7.983594945185846E-11</v>
      </c>
      <c r="AX107" s="21">
        <f t="shared" si="60"/>
        <v>1.0931903979056101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3.1</v>
      </c>
      <c r="BD107" s="12">
        <f>IF('Données projet'!$A$88&gt;35,BD106+BC107-BL106,IF(A107&lt;'Données projet'!$A$88,$BA$205^A107,IF(A107='Données projet'!$A$88,'Données projet'!$B$88,BD106+BC107-BL106)))</f>
        <v>214.39999999999995</v>
      </c>
      <c r="BE107" s="13">
        <f>BD107*VLOOKUP('Données projet'!$B$11,Paramètres!$A$1:$I$89,3,0)*VLOOKUP('Données projet'!$B$11,Paramètres!$A$1:$I$89,5,0)</f>
        <v>244.15871999999996</v>
      </c>
      <c r="BF107" s="13">
        <f t="shared" si="91"/>
        <v>59.333402749839792</v>
      </c>
      <c r="BG107" s="20">
        <f t="shared" si="61"/>
        <v>528.58211378930412</v>
      </c>
      <c r="BH107" s="59">
        <f t="shared" si="62"/>
        <v>821.91544712263749</v>
      </c>
      <c r="BI107" s="59">
        <f ca="1">AVERAGE(OFFSET($BH$3,0,0,'Données projet'!$E$11+1,1))-AVERAGE(OFFSET($H$3,0,0,'Données projet'!$E$11+1,1))</f>
        <v>249.01678065306629</v>
      </c>
      <c r="BJ107" s="59">
        <f t="shared" si="92"/>
        <v>99.639724892155641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0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>
        <f>BY107*VLOOKUP('Données projet'!$B$12,Paramètres!$A$1:$I$89,3,0)*VLOOKUP('Données projet'!$B$12,Paramètres!$A$1:$I$89,5,0)</f>
        <v>0</v>
      </c>
      <c r="CA107" s="13" t="e">
        <f t="shared" si="93"/>
        <v>#NUM!</v>
      </c>
      <c r="CB107" s="20" t="e">
        <f t="shared" si="64"/>
        <v>#NUM!</v>
      </c>
      <c r="CC107" s="59" t="e">
        <f t="shared" si="65"/>
        <v>#NUM!</v>
      </c>
      <c r="CD107" s="59">
        <f ca="1">AVERAGE(OFFSET($CC$3,0,0,'Données projet'!$E$12+1,1))-AVERAGE(OFFSET($H$3,0,0,'Données projet'!$E$12+1,1))</f>
        <v>0</v>
      </c>
      <c r="CE107" s="59">
        <f t="shared" si="94"/>
        <v>0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0</v>
      </c>
      <c r="CL107" s="21">
        <f>EXP(-LN(2)/25)*CL106+(1-EXP(-LN(2)/25))/(LN(2)/25)*Calculateur!CG107*Calculateur!CI107*VLOOKUP('Données projet'!$B$12,Paramètres!$A$1:$I$89,3,0)*0.475*44/12</f>
        <v>0</v>
      </c>
      <c r="CM107" s="21">
        <f>EXP(-LN(2)/2)*CM106+(1-EXP(-LN(2)/2))/(LN(2)/2)*CG107*CJ107*VLOOKUP('Données projet'!$B$12,Paramètres!$A$1:$I$89,3,0)*0.475*44/12</f>
        <v>0</v>
      </c>
      <c r="CN107" s="22">
        <f t="shared" si="66"/>
        <v>0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>
        <f>CT107*VLOOKUP('Données projet'!$B$13,Paramètres!$A$1:$I$89,3,0)*VLOOKUP('Données projet'!$B$13,Paramètres!$A$1:$I$89,5,0)</f>
        <v>0</v>
      </c>
      <c r="CV107" s="13" t="e">
        <f t="shared" si="95"/>
        <v>#NUM!</v>
      </c>
      <c r="CW107" s="20" t="e">
        <f t="shared" si="67"/>
        <v>#NUM!</v>
      </c>
      <c r="CX107" s="59" t="e">
        <f t="shared" si="68"/>
        <v>#NUM!</v>
      </c>
      <c r="CY107" s="59">
        <f ca="1">AVERAGE(OFFSET($CX$3,0,0,'Données projet'!$E$13+1,1))-AVERAGE(OFFSET($H$3,0,0,'Données projet'!$E$13+1,1))</f>
        <v>0</v>
      </c>
      <c r="CZ107" s="59">
        <f t="shared" si="96"/>
        <v>0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0</v>
      </c>
      <c r="DG107" s="21">
        <f>EXP(-LN(2)/25)*DG106+(1-EXP(-LN(2)/25))/(LN(2)/25)*Calculateur!DB107*Calculateur!DD107*VLOOKUP('Données projet'!$B$13,Paramètres!$A$1:$I$89,3,0)*0.475*44/12</f>
        <v>0</v>
      </c>
      <c r="DH107" s="21">
        <f>EXP(-LN(2)/2)*DH106+(1-EXP(-LN(2)/2))/(LN(2)/2)*DB107*DE107*VLOOKUP('Données projet'!$B$13,Paramètres!$A$1:$I$89,3,0)*0.475*44/12</f>
        <v>0</v>
      </c>
      <c r="DI107" s="22">
        <f t="shared" si="69"/>
        <v>0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-2.2737367544323206E-13</v>
      </c>
      <c r="O108" s="13">
        <f>N108*VLOOKUP('Données projet'!$B$9,Paramètres!$A$1:$I$89,3,0)*VLOOKUP('Données projet'!$B$9,Paramètres!$A$1:$I$89,5,0)</f>
        <v>-1.3596945791505279E-13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181.92766225683107</v>
      </c>
      <c r="T108" s="59">
        <f t="shared" si="88"/>
        <v>370.52917139565756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14.883090858030629</v>
      </c>
      <c r="AA108" s="21">
        <f>EXP(-LN(2)/25)*AA107+(1-EXP(-LN(2)/25))/(LN(2)/25)*Calculateur!V108*Calculateur!X108*VLOOKUP('Données projet'!$B$9,Paramètres!$A$1:$I$89,3,0)*0.475*44/12</f>
        <v>7.3584504810004736</v>
      </c>
      <c r="AB108" s="21">
        <f>EXP(-LN(2)/2)*AB107+(1-EXP(-LN(2)/2))/(LN(2)/2)*V108*Y108*VLOOKUP('Données projet'!$B$9,Paramètres!$A$1:$I$89,3,0)*0.475*44/12</f>
        <v>2.3379125992846114E-9</v>
      </c>
      <c r="AC108" s="22">
        <f t="shared" si="57"/>
        <v>22.241541341369015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5.6843418860808015E-14</v>
      </c>
      <c r="AJ108" s="13">
        <f>AI108*VLOOKUP('Données projet'!$B$10,Paramètres!$A$1:$I$89,3,0)*VLOOKUP('Données projet'!$B$10,Paramètres!$A$1:$I$89,5,0)</f>
        <v>4.6111381379887463E-14</v>
      </c>
      <c r="AK108" s="13">
        <f t="shared" si="89"/>
        <v>7.5804141040779151E-13</v>
      </c>
      <c r="AL108" s="20">
        <f t="shared" si="58"/>
        <v>1.4005661123635408E-12</v>
      </c>
      <c r="AM108" s="59">
        <f t="shared" si="59"/>
        <v>293.33333333333474</v>
      </c>
      <c r="AN108" s="59">
        <f ca="1">AVERAGE(OFFSET($AM$3,0,0,'Données projet'!$E$10+1,1))-AVERAGE(OFFSET($H$3,0,0,'Données projet'!$E$10+1,1))</f>
        <v>235.31102883830971</v>
      </c>
      <c r="AO108" s="59">
        <f t="shared" si="90"/>
        <v>271.48630853790422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</v>
      </c>
      <c r="AV108" s="21">
        <f>EXP(-LN(2)/25)*AV107+(1-EXP(-LN(2)/25))/(LN(2)/25)*Calculateur!AQ108*Calculateur!AS108*VLOOKUP('Données projet'!$B$10,Paramètres!$A$1:$I$89,3,0)*0.475*44/12</f>
        <v>1.0632970489088438</v>
      </c>
      <c r="AW108" s="21">
        <f>EXP(-LN(2)/2)*AW107+(1-EXP(-LN(2)/2))/(LN(2)/2)*AQ108*AT108*VLOOKUP('Données projet'!$B$10,Paramètres!$A$1:$I$89,3,0)*0.475*44/12</f>
        <v>5.645254123987555E-11</v>
      </c>
      <c r="AX108" s="21">
        <f t="shared" si="60"/>
        <v>1.0632970489652964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3.1</v>
      </c>
      <c r="BD108" s="12">
        <f>IF('Données projet'!$A$88&gt;35,BD107+BC108-BL107,IF(A108&lt;'Données projet'!$A$88,$BA$205^A108,IF(A108='Données projet'!$A$88,'Données projet'!$B$88,BD107+BC108-BL107)))</f>
        <v>217.49999999999994</v>
      </c>
      <c r="BE108" s="13">
        <f>BD108*VLOOKUP('Données projet'!$B$11,Paramètres!$A$1:$I$89,3,0)*VLOOKUP('Données projet'!$B$11,Paramètres!$A$1:$I$89,5,0)</f>
        <v>247.68899999999994</v>
      </c>
      <c r="BF108" s="13">
        <f t="shared" si="91"/>
        <v>60.090807825802337</v>
      </c>
      <c r="BG108" s="20">
        <f t="shared" si="61"/>
        <v>536.04983196327225</v>
      </c>
      <c r="BH108" s="59">
        <f t="shared" si="62"/>
        <v>829.38316529660551</v>
      </c>
      <c r="BI108" s="59">
        <f ca="1">AVERAGE(OFFSET($BH$3,0,0,'Données projet'!$E$11+1,1))-AVERAGE(OFFSET($H$3,0,0,'Données projet'!$E$11+1,1))</f>
        <v>249.01678065306629</v>
      </c>
      <c r="BJ108" s="59">
        <f t="shared" si="92"/>
        <v>99.639724892155641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0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>
        <f>BY108*VLOOKUP('Données projet'!$B$12,Paramètres!$A$1:$I$89,3,0)*VLOOKUP('Données projet'!$B$12,Paramètres!$A$1:$I$89,5,0)</f>
        <v>0</v>
      </c>
      <c r="CA108" s="13" t="e">
        <f t="shared" si="93"/>
        <v>#NUM!</v>
      </c>
      <c r="CB108" s="20" t="e">
        <f t="shared" si="64"/>
        <v>#NUM!</v>
      </c>
      <c r="CC108" s="59" t="e">
        <f t="shared" si="65"/>
        <v>#NUM!</v>
      </c>
      <c r="CD108" s="59">
        <f ca="1">AVERAGE(OFFSET($CC$3,0,0,'Données projet'!$E$12+1,1))-AVERAGE(OFFSET($H$3,0,0,'Données projet'!$E$12+1,1))</f>
        <v>0</v>
      </c>
      <c r="CE108" s="59">
        <f t="shared" si="94"/>
        <v>0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0</v>
      </c>
      <c r="CL108" s="21">
        <f>EXP(-LN(2)/25)*CL107+(1-EXP(-LN(2)/25))/(LN(2)/25)*Calculateur!CG108*Calculateur!CI108*VLOOKUP('Données projet'!$B$12,Paramètres!$A$1:$I$89,3,0)*0.475*44/12</f>
        <v>0</v>
      </c>
      <c r="CM108" s="21">
        <f>EXP(-LN(2)/2)*CM107+(1-EXP(-LN(2)/2))/(LN(2)/2)*CG108*CJ108*VLOOKUP('Données projet'!$B$12,Paramètres!$A$1:$I$89,3,0)*0.475*44/12</f>
        <v>0</v>
      </c>
      <c r="CN108" s="22">
        <f t="shared" si="66"/>
        <v>0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>
        <f>CT108*VLOOKUP('Données projet'!$B$13,Paramètres!$A$1:$I$89,3,0)*VLOOKUP('Données projet'!$B$13,Paramètres!$A$1:$I$89,5,0)</f>
        <v>0</v>
      </c>
      <c r="CV108" s="13" t="e">
        <f t="shared" si="95"/>
        <v>#NUM!</v>
      </c>
      <c r="CW108" s="20" t="e">
        <f t="shared" si="67"/>
        <v>#NUM!</v>
      </c>
      <c r="CX108" s="59" t="e">
        <f t="shared" si="68"/>
        <v>#NUM!</v>
      </c>
      <c r="CY108" s="59">
        <f ca="1">AVERAGE(OFFSET($CX$3,0,0,'Données projet'!$E$13+1,1))-AVERAGE(OFFSET($H$3,0,0,'Données projet'!$E$13+1,1))</f>
        <v>0</v>
      </c>
      <c r="CZ108" s="59">
        <f t="shared" si="96"/>
        <v>0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0</v>
      </c>
      <c r="DG108" s="21">
        <f>EXP(-LN(2)/25)*DG107+(1-EXP(-LN(2)/25))/(LN(2)/25)*Calculateur!DB108*Calculateur!DD108*VLOOKUP('Données projet'!$B$13,Paramètres!$A$1:$I$89,3,0)*0.475*44/12</f>
        <v>0</v>
      </c>
      <c r="DH108" s="21">
        <f>EXP(-LN(2)/2)*DH107+(1-EXP(-LN(2)/2))/(LN(2)/2)*DB108*DE108*VLOOKUP('Données projet'!$B$13,Paramètres!$A$1:$I$89,3,0)*0.475*44/12</f>
        <v>0</v>
      </c>
      <c r="DI108" s="22">
        <f t="shared" si="69"/>
        <v>0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-2.2737367544323206E-13</v>
      </c>
      <c r="O109" s="13">
        <f>N109*VLOOKUP('Données projet'!$B$9,Paramètres!$A$1:$I$89,3,0)*VLOOKUP('Données projet'!$B$9,Paramètres!$A$1:$I$89,5,0)</f>
        <v>-1.3596945791505279E-13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181.92766225683107</v>
      </c>
      <c r="T109" s="59">
        <f t="shared" si="88"/>
        <v>370.52917139565756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14.591242524093714</v>
      </c>
      <c r="AA109" s="21">
        <f>EXP(-LN(2)/25)*AA108+(1-EXP(-LN(2)/25))/(LN(2)/25)*Calculateur!V109*Calculateur!X109*VLOOKUP('Données projet'!$B$9,Paramètres!$A$1:$I$89,3,0)*0.475*44/12</f>
        <v>7.1572332656334225</v>
      </c>
      <c r="AB109" s="21">
        <f>EXP(-LN(2)/2)*AB108+(1-EXP(-LN(2)/2))/(LN(2)/2)*V109*Y109*VLOOKUP('Données projet'!$B$9,Paramètres!$A$1:$I$89,3,0)*0.475*44/12</f>
        <v>1.6531538527756163E-9</v>
      </c>
      <c r="AC109" s="22">
        <f t="shared" si="57"/>
        <v>21.74847579138029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5.6843418860808015E-14</v>
      </c>
      <c r="AJ109" s="13">
        <f>AI109*VLOOKUP('Données projet'!$B$10,Paramètres!$A$1:$I$89,3,0)*VLOOKUP('Données projet'!$B$10,Paramètres!$A$1:$I$89,5,0)</f>
        <v>4.6111381379887463E-14</v>
      </c>
      <c r="AK109" s="13">
        <f t="shared" si="89"/>
        <v>7.5804141040779151E-13</v>
      </c>
      <c r="AL109" s="20">
        <f t="shared" si="58"/>
        <v>1.4005661123635408E-12</v>
      </c>
      <c r="AM109" s="59">
        <f t="shared" si="59"/>
        <v>293.33333333333474</v>
      </c>
      <c r="AN109" s="59">
        <f ca="1">AVERAGE(OFFSET($AM$3,0,0,'Données projet'!$E$10+1,1))-AVERAGE(OFFSET($H$3,0,0,'Données projet'!$E$10+1,1))</f>
        <v>235.31102883830971</v>
      </c>
      <c r="AO109" s="59">
        <f t="shared" si="90"/>
        <v>271.48630853790422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</v>
      </c>
      <c r="AV109" s="21">
        <f>EXP(-LN(2)/25)*AV108+(1-EXP(-LN(2)/25))/(LN(2)/25)*Calculateur!AQ109*Calculateur!AS109*VLOOKUP('Données projet'!$B$10,Paramètres!$A$1:$I$89,3,0)*0.475*44/12</f>
        <v>1.0342211351900699</v>
      </c>
      <c r="AW109" s="21">
        <f>EXP(-LN(2)/2)*AW108+(1-EXP(-LN(2)/2))/(LN(2)/2)*AQ109*AT109*VLOOKUP('Données projet'!$B$10,Paramètres!$A$1:$I$89,3,0)*0.475*44/12</f>
        <v>3.991797472592923E-11</v>
      </c>
      <c r="AX109" s="21">
        <f t="shared" si="60"/>
        <v>1.0342211352299879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3.1</v>
      </c>
      <c r="BD109" s="12">
        <f>IF('Données projet'!$A$88&gt;35,BD108+BC109-BL108,IF(A109&lt;'Données projet'!$A$88,$BA$205^A109,IF(A109='Données projet'!$A$88,'Données projet'!$B$88,BD108+BC109-BL108)))</f>
        <v>220.59999999999994</v>
      </c>
      <c r="BE109" s="13">
        <f>BD109*VLOOKUP('Données projet'!$B$11,Paramètres!$A$1:$I$89,3,0)*VLOOKUP('Données projet'!$B$11,Paramètres!$A$1:$I$89,5,0)</f>
        <v>251.21927999999994</v>
      </c>
      <c r="BF109" s="13">
        <f t="shared" si="91"/>
        <v>60.846957337440259</v>
      </c>
      <c r="BG109" s="20">
        <f t="shared" si="61"/>
        <v>543.51536336270829</v>
      </c>
      <c r="BH109" s="59">
        <f t="shared" si="62"/>
        <v>836.84869669604154</v>
      </c>
      <c r="BI109" s="59">
        <f ca="1">AVERAGE(OFFSET($BH$3,0,0,'Données projet'!$E$11+1,1))-AVERAGE(OFFSET($H$3,0,0,'Données projet'!$E$11+1,1))</f>
        <v>249.01678065306629</v>
      </c>
      <c r="BJ109" s="59">
        <f t="shared" si="92"/>
        <v>99.639724892155641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0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>
        <f>BY109*VLOOKUP('Données projet'!$B$12,Paramètres!$A$1:$I$89,3,0)*VLOOKUP('Données projet'!$B$12,Paramètres!$A$1:$I$89,5,0)</f>
        <v>0</v>
      </c>
      <c r="CA109" s="13" t="e">
        <f t="shared" si="93"/>
        <v>#NUM!</v>
      </c>
      <c r="CB109" s="20" t="e">
        <f t="shared" si="64"/>
        <v>#NUM!</v>
      </c>
      <c r="CC109" s="59" t="e">
        <f t="shared" si="65"/>
        <v>#NUM!</v>
      </c>
      <c r="CD109" s="59">
        <f ca="1">AVERAGE(OFFSET($CC$3,0,0,'Données projet'!$E$12+1,1))-AVERAGE(OFFSET($H$3,0,0,'Données projet'!$E$12+1,1))</f>
        <v>0</v>
      </c>
      <c r="CE109" s="59">
        <f t="shared" si="94"/>
        <v>0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0</v>
      </c>
      <c r="CL109" s="21">
        <f>EXP(-LN(2)/25)*CL108+(1-EXP(-LN(2)/25))/(LN(2)/25)*Calculateur!CG109*Calculateur!CI109*VLOOKUP('Données projet'!$B$12,Paramètres!$A$1:$I$89,3,0)*0.475*44/12</f>
        <v>0</v>
      </c>
      <c r="CM109" s="21">
        <f>EXP(-LN(2)/2)*CM108+(1-EXP(-LN(2)/2))/(LN(2)/2)*CG109*CJ109*VLOOKUP('Données projet'!$B$12,Paramètres!$A$1:$I$89,3,0)*0.475*44/12</f>
        <v>0</v>
      </c>
      <c r="CN109" s="22">
        <f t="shared" si="66"/>
        <v>0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>
        <f>CT109*VLOOKUP('Données projet'!$B$13,Paramètres!$A$1:$I$89,3,0)*VLOOKUP('Données projet'!$B$13,Paramètres!$A$1:$I$89,5,0)</f>
        <v>0</v>
      </c>
      <c r="CV109" s="13" t="e">
        <f t="shared" si="95"/>
        <v>#NUM!</v>
      </c>
      <c r="CW109" s="20" t="e">
        <f t="shared" si="67"/>
        <v>#NUM!</v>
      </c>
      <c r="CX109" s="59" t="e">
        <f t="shared" si="68"/>
        <v>#NUM!</v>
      </c>
      <c r="CY109" s="59">
        <f ca="1">AVERAGE(OFFSET($CX$3,0,0,'Données projet'!$E$13+1,1))-AVERAGE(OFFSET($H$3,0,0,'Données projet'!$E$13+1,1))</f>
        <v>0</v>
      </c>
      <c r="CZ109" s="59">
        <f t="shared" si="96"/>
        <v>0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0</v>
      </c>
      <c r="DG109" s="21">
        <f>EXP(-LN(2)/25)*DG108+(1-EXP(-LN(2)/25))/(LN(2)/25)*Calculateur!DB109*Calculateur!DD109*VLOOKUP('Données projet'!$B$13,Paramètres!$A$1:$I$89,3,0)*0.475*44/12</f>
        <v>0</v>
      </c>
      <c r="DH109" s="21">
        <f>EXP(-LN(2)/2)*DH108+(1-EXP(-LN(2)/2))/(LN(2)/2)*DB109*DE109*VLOOKUP('Données projet'!$B$13,Paramètres!$A$1:$I$89,3,0)*0.475*44/12</f>
        <v>0</v>
      </c>
      <c r="DI109" s="22">
        <f t="shared" si="69"/>
        <v>0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-2.2737367544323206E-13</v>
      </c>
      <c r="O110" s="13">
        <f>N110*VLOOKUP('Données projet'!$B$9,Paramètres!$A$1:$I$89,3,0)*VLOOKUP('Données projet'!$B$9,Paramètres!$A$1:$I$89,5,0)</f>
        <v>-1.3596945791505279E-13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181.92766225683107</v>
      </c>
      <c r="T110" s="59">
        <f t="shared" si="88"/>
        <v>370.52917139565756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14.305117157975396</v>
      </c>
      <c r="AA110" s="21">
        <f>EXP(-LN(2)/25)*AA109+(1-EXP(-LN(2)/25))/(LN(2)/25)*Calculateur!V110*Calculateur!X110*VLOOKUP('Données projet'!$B$9,Paramètres!$A$1:$I$89,3,0)*0.475*44/12</f>
        <v>6.961518345602137</v>
      </c>
      <c r="AB110" s="21">
        <f>EXP(-LN(2)/2)*AB109+(1-EXP(-LN(2)/2))/(LN(2)/2)*V110*Y110*VLOOKUP('Données projet'!$B$9,Paramètres!$A$1:$I$89,3,0)*0.475*44/12</f>
        <v>1.1689562996423057E-9</v>
      </c>
      <c r="AC110" s="22">
        <f t="shared" si="57"/>
        <v>21.266635504746489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5.6843418860808015E-14</v>
      </c>
      <c r="AJ110" s="13">
        <f>AI110*VLOOKUP('Données projet'!$B$10,Paramètres!$A$1:$I$89,3,0)*VLOOKUP('Données projet'!$B$10,Paramètres!$A$1:$I$89,5,0)</f>
        <v>4.6111381379887463E-14</v>
      </c>
      <c r="AK110" s="13">
        <f t="shared" si="89"/>
        <v>7.5804141040779151E-13</v>
      </c>
      <c r="AL110" s="20">
        <f t="shared" si="58"/>
        <v>1.4005661123635408E-12</v>
      </c>
      <c r="AM110" s="59">
        <f t="shared" si="59"/>
        <v>293.33333333333474</v>
      </c>
      <c r="AN110" s="59">
        <f ca="1">AVERAGE(OFFSET($AM$3,0,0,'Données projet'!$E$10+1,1))-AVERAGE(OFFSET($H$3,0,0,'Données projet'!$E$10+1,1))</f>
        <v>235.31102883830971</v>
      </c>
      <c r="AO110" s="59">
        <f t="shared" si="90"/>
        <v>271.48630853790422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</v>
      </c>
      <c r="AV110" s="21">
        <f>EXP(-LN(2)/25)*AV109+(1-EXP(-LN(2)/25))/(LN(2)/25)*Calculateur!AQ110*Calculateur!AS110*VLOOKUP('Données projet'!$B$10,Paramètres!$A$1:$I$89,3,0)*0.475*44/12</f>
        <v>1.0059403038609716</v>
      </c>
      <c r="AW110" s="21">
        <f>EXP(-LN(2)/2)*AW109+(1-EXP(-LN(2)/2))/(LN(2)/2)*AQ110*AT110*VLOOKUP('Données projet'!$B$10,Paramètres!$A$1:$I$89,3,0)*0.475*44/12</f>
        <v>2.8226270619937775E-11</v>
      </c>
      <c r="AX110" s="21">
        <f t="shared" si="60"/>
        <v>1.0059403038891979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3.1</v>
      </c>
      <c r="BD110" s="12">
        <f>IF('Données projet'!$A$88&gt;35,BD109+BC110-BL109,IF(A110&lt;'Données projet'!$A$88,$BA$205^A110,IF(A110='Données projet'!$A$88,'Données projet'!$B$88,BD109+BC110-BL109)))</f>
        <v>223.69999999999993</v>
      </c>
      <c r="BE110" s="13">
        <f>BD110*VLOOKUP('Données projet'!$B$11,Paramètres!$A$1:$I$89,3,0)*VLOOKUP('Données projet'!$B$11,Paramètres!$A$1:$I$89,5,0)</f>
        <v>254.74955999999995</v>
      </c>
      <c r="BF110" s="13">
        <f t="shared" si="91"/>
        <v>61.601870967631797</v>
      </c>
      <c r="BG110" s="20">
        <f t="shared" si="61"/>
        <v>550.9787422686253</v>
      </c>
      <c r="BH110" s="59">
        <f t="shared" si="62"/>
        <v>844.31207560195867</v>
      </c>
      <c r="BI110" s="59">
        <f ca="1">AVERAGE(OFFSET($BH$3,0,0,'Données projet'!$E$11+1,1))-AVERAGE(OFFSET($H$3,0,0,'Données projet'!$E$11+1,1))</f>
        <v>249.01678065306629</v>
      </c>
      <c r="BJ110" s="59">
        <f t="shared" si="92"/>
        <v>99.639724892155641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0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>
        <f>BY110*VLOOKUP('Données projet'!$B$12,Paramètres!$A$1:$I$89,3,0)*VLOOKUP('Données projet'!$B$12,Paramètres!$A$1:$I$89,5,0)</f>
        <v>0</v>
      </c>
      <c r="CA110" s="13" t="e">
        <f t="shared" si="93"/>
        <v>#NUM!</v>
      </c>
      <c r="CB110" s="20" t="e">
        <f t="shared" si="64"/>
        <v>#NUM!</v>
      </c>
      <c r="CC110" s="59" t="e">
        <f t="shared" si="65"/>
        <v>#NUM!</v>
      </c>
      <c r="CD110" s="59">
        <f ca="1">AVERAGE(OFFSET($CC$3,0,0,'Données projet'!$E$12+1,1))-AVERAGE(OFFSET($H$3,0,0,'Données projet'!$E$12+1,1))</f>
        <v>0</v>
      </c>
      <c r="CE110" s="59">
        <f t="shared" si="94"/>
        <v>0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0</v>
      </c>
      <c r="CL110" s="21">
        <f>EXP(-LN(2)/25)*CL109+(1-EXP(-LN(2)/25))/(LN(2)/25)*Calculateur!CG110*Calculateur!CI110*VLOOKUP('Données projet'!$B$12,Paramètres!$A$1:$I$89,3,0)*0.475*44/12</f>
        <v>0</v>
      </c>
      <c r="CM110" s="21">
        <f>EXP(-LN(2)/2)*CM109+(1-EXP(-LN(2)/2))/(LN(2)/2)*CG110*CJ110*VLOOKUP('Données projet'!$B$12,Paramètres!$A$1:$I$89,3,0)*0.475*44/12</f>
        <v>0</v>
      </c>
      <c r="CN110" s="22">
        <f t="shared" si="66"/>
        <v>0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>
        <f>CT110*VLOOKUP('Données projet'!$B$13,Paramètres!$A$1:$I$89,3,0)*VLOOKUP('Données projet'!$B$13,Paramètres!$A$1:$I$89,5,0)</f>
        <v>0</v>
      </c>
      <c r="CV110" s="13" t="e">
        <f t="shared" si="95"/>
        <v>#NUM!</v>
      </c>
      <c r="CW110" s="20" t="e">
        <f t="shared" si="67"/>
        <v>#NUM!</v>
      </c>
      <c r="CX110" s="59" t="e">
        <f t="shared" si="68"/>
        <v>#NUM!</v>
      </c>
      <c r="CY110" s="59">
        <f ca="1">AVERAGE(OFFSET($CX$3,0,0,'Données projet'!$E$13+1,1))-AVERAGE(OFFSET($H$3,0,0,'Données projet'!$E$13+1,1))</f>
        <v>0</v>
      </c>
      <c r="CZ110" s="59">
        <f t="shared" si="96"/>
        <v>0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0</v>
      </c>
      <c r="DG110" s="21">
        <f>EXP(-LN(2)/25)*DG109+(1-EXP(-LN(2)/25))/(LN(2)/25)*Calculateur!DB110*Calculateur!DD110*VLOOKUP('Données projet'!$B$13,Paramètres!$A$1:$I$89,3,0)*0.475*44/12</f>
        <v>0</v>
      </c>
      <c r="DH110" s="21">
        <f>EXP(-LN(2)/2)*DH109+(1-EXP(-LN(2)/2))/(LN(2)/2)*DB110*DE110*VLOOKUP('Données projet'!$B$13,Paramètres!$A$1:$I$89,3,0)*0.475*44/12</f>
        <v>0</v>
      </c>
      <c r="DI110" s="22">
        <f t="shared" si="69"/>
        <v>0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-2.2737367544323206E-13</v>
      </c>
      <c r="O111" s="13">
        <f>N111*VLOOKUP('Données projet'!$B$9,Paramètres!$A$1:$I$89,3,0)*VLOOKUP('Données projet'!$B$9,Paramètres!$A$1:$I$89,5,0)</f>
        <v>-1.3596945791505279E-13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181.92766225683107</v>
      </c>
      <c r="T111" s="59">
        <f t="shared" si="88"/>
        <v>370.52917139565756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14.024602535767416</v>
      </c>
      <c r="AA111" s="21">
        <f>EXP(-LN(2)/25)*AA110+(1-EXP(-LN(2)/25))/(LN(2)/25)*Calculateur!V111*Calculateur!X111*VLOOKUP('Données projet'!$B$9,Paramètres!$A$1:$I$89,3,0)*0.475*44/12</f>
        <v>6.7711552603513079</v>
      </c>
      <c r="AB111" s="21">
        <f>EXP(-LN(2)/2)*AB110+(1-EXP(-LN(2)/2))/(LN(2)/2)*V111*Y111*VLOOKUP('Données projet'!$B$9,Paramètres!$A$1:$I$89,3,0)*0.475*44/12</f>
        <v>8.2657692638780817E-10</v>
      </c>
      <c r="AC111" s="22">
        <f t="shared" si="57"/>
        <v>20.795757796945303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5.6843418860808015E-14</v>
      </c>
      <c r="AJ111" s="13">
        <f>AI111*VLOOKUP('Données projet'!$B$10,Paramètres!$A$1:$I$89,3,0)*VLOOKUP('Données projet'!$B$10,Paramètres!$A$1:$I$89,5,0)</f>
        <v>4.6111381379887463E-14</v>
      </c>
      <c r="AK111" s="13">
        <f t="shared" si="89"/>
        <v>7.5804141040779151E-13</v>
      </c>
      <c r="AL111" s="20">
        <f t="shared" si="58"/>
        <v>1.4005661123635408E-12</v>
      </c>
      <c r="AM111" s="59">
        <f t="shared" si="59"/>
        <v>293.33333333333474</v>
      </c>
      <c r="AN111" s="59">
        <f ca="1">AVERAGE(OFFSET($AM$3,0,0,'Données projet'!$E$10+1,1))-AVERAGE(OFFSET($H$3,0,0,'Données projet'!$E$10+1,1))</f>
        <v>235.31102883830971</v>
      </c>
      <c r="AO111" s="59">
        <f t="shared" si="90"/>
        <v>271.48630853790422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</v>
      </c>
      <c r="AV111" s="21">
        <f>EXP(-LN(2)/25)*AV110+(1-EXP(-LN(2)/25))/(LN(2)/25)*Calculateur!AQ111*Calculateur!AS111*VLOOKUP('Données projet'!$B$10,Paramètres!$A$1:$I$89,3,0)*0.475*44/12</f>
        <v>0.97843281335179177</v>
      </c>
      <c r="AW111" s="21">
        <f>EXP(-LN(2)/2)*AW110+(1-EXP(-LN(2)/2))/(LN(2)/2)*AQ111*AT111*VLOOKUP('Données projet'!$B$10,Paramètres!$A$1:$I$89,3,0)*0.475*44/12</f>
        <v>1.9958987362964615E-11</v>
      </c>
      <c r="AX111" s="21">
        <f t="shared" si="60"/>
        <v>0.97843281337175081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3.1</v>
      </c>
      <c r="BD111" s="12">
        <f>IF('Données projet'!$A$88&gt;35,BD110+BC111-BL110,IF(A111&lt;'Données projet'!$A$88,$BA$205^A111,IF(A111='Données projet'!$A$88,'Données projet'!$B$88,BD110+BC111-BL110)))</f>
        <v>226.79999999999993</v>
      </c>
      <c r="BE111" s="13">
        <f>BD111*VLOOKUP('Données projet'!$B$11,Paramètres!$A$1:$I$89,3,0)*VLOOKUP('Données projet'!$B$11,Paramètres!$A$1:$I$89,5,0)</f>
        <v>258.27983999999992</v>
      </c>
      <c r="BF111" s="13">
        <f t="shared" si="91"/>
        <v>62.355567822391407</v>
      </c>
      <c r="BG111" s="20">
        <f t="shared" si="61"/>
        <v>558.44000195733156</v>
      </c>
      <c r="BH111" s="59">
        <f t="shared" si="62"/>
        <v>851.77333529066482</v>
      </c>
      <c r="BI111" s="59">
        <f ca="1">AVERAGE(OFFSET($BH$3,0,0,'Données projet'!$E$11+1,1))-AVERAGE(OFFSET($H$3,0,0,'Données projet'!$E$11+1,1))</f>
        <v>249.01678065306629</v>
      </c>
      <c r="BJ111" s="59">
        <f t="shared" si="92"/>
        <v>99.639724892155641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0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>
        <f>BY111*VLOOKUP('Données projet'!$B$12,Paramètres!$A$1:$I$89,3,0)*VLOOKUP('Données projet'!$B$12,Paramètres!$A$1:$I$89,5,0)</f>
        <v>0</v>
      </c>
      <c r="CA111" s="13" t="e">
        <f t="shared" si="93"/>
        <v>#NUM!</v>
      </c>
      <c r="CB111" s="20" t="e">
        <f t="shared" si="64"/>
        <v>#NUM!</v>
      </c>
      <c r="CC111" s="59" t="e">
        <f t="shared" si="65"/>
        <v>#NUM!</v>
      </c>
      <c r="CD111" s="59">
        <f ca="1">AVERAGE(OFFSET($CC$3,0,0,'Données projet'!$E$12+1,1))-AVERAGE(OFFSET($H$3,0,0,'Données projet'!$E$12+1,1))</f>
        <v>0</v>
      </c>
      <c r="CE111" s="59">
        <f t="shared" si="94"/>
        <v>0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0</v>
      </c>
      <c r="CL111" s="21">
        <f>EXP(-LN(2)/25)*CL110+(1-EXP(-LN(2)/25))/(LN(2)/25)*Calculateur!CG111*Calculateur!CI111*VLOOKUP('Données projet'!$B$12,Paramètres!$A$1:$I$89,3,0)*0.475*44/12</f>
        <v>0</v>
      </c>
      <c r="CM111" s="21">
        <f>EXP(-LN(2)/2)*CM110+(1-EXP(-LN(2)/2))/(LN(2)/2)*CG111*CJ111*VLOOKUP('Données projet'!$B$12,Paramètres!$A$1:$I$89,3,0)*0.475*44/12</f>
        <v>0</v>
      </c>
      <c r="CN111" s="22">
        <f t="shared" si="66"/>
        <v>0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>
        <f>CT111*VLOOKUP('Données projet'!$B$13,Paramètres!$A$1:$I$89,3,0)*VLOOKUP('Données projet'!$B$13,Paramètres!$A$1:$I$89,5,0)</f>
        <v>0</v>
      </c>
      <c r="CV111" s="13" t="e">
        <f t="shared" si="95"/>
        <v>#NUM!</v>
      </c>
      <c r="CW111" s="20" t="e">
        <f t="shared" si="67"/>
        <v>#NUM!</v>
      </c>
      <c r="CX111" s="59" t="e">
        <f t="shared" si="68"/>
        <v>#NUM!</v>
      </c>
      <c r="CY111" s="59">
        <f ca="1">AVERAGE(OFFSET($CX$3,0,0,'Données projet'!$E$13+1,1))-AVERAGE(OFFSET($H$3,0,0,'Données projet'!$E$13+1,1))</f>
        <v>0</v>
      </c>
      <c r="CZ111" s="59">
        <f t="shared" si="96"/>
        <v>0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0</v>
      </c>
      <c r="DG111" s="21">
        <f>EXP(-LN(2)/25)*DG110+(1-EXP(-LN(2)/25))/(LN(2)/25)*Calculateur!DB111*Calculateur!DD111*VLOOKUP('Données projet'!$B$13,Paramètres!$A$1:$I$89,3,0)*0.475*44/12</f>
        <v>0</v>
      </c>
      <c r="DH111" s="21">
        <f>EXP(-LN(2)/2)*DH110+(1-EXP(-LN(2)/2))/(LN(2)/2)*DB111*DE111*VLOOKUP('Données projet'!$B$13,Paramètres!$A$1:$I$89,3,0)*0.475*44/12</f>
        <v>0</v>
      </c>
      <c r="DI111" s="22">
        <f t="shared" si="69"/>
        <v>0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-2.2737367544323206E-13</v>
      </c>
      <c r="O112" s="13">
        <f>N112*VLOOKUP('Données projet'!$B$9,Paramètres!$A$1:$I$89,3,0)*VLOOKUP('Données projet'!$B$9,Paramètres!$A$1:$I$89,5,0)</f>
        <v>-1.3596945791505279E-13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181.92766225683107</v>
      </c>
      <c r="T112" s="59">
        <f t="shared" si="88"/>
        <v>370.52917139565756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13.74958863420391</v>
      </c>
      <c r="AA112" s="21">
        <f>EXP(-LN(2)/25)*AA111+(1-EXP(-LN(2)/25))/(LN(2)/25)*Calculateur!V112*Calculateur!X112*VLOOKUP('Données projet'!$B$9,Paramètres!$A$1:$I$89,3,0)*0.475*44/12</f>
        <v>6.5859976636774222</v>
      </c>
      <c r="AB112" s="21">
        <f>EXP(-LN(2)/2)*AB111+(1-EXP(-LN(2)/2))/(LN(2)/2)*V112*Y112*VLOOKUP('Données projet'!$B$9,Paramètres!$A$1:$I$89,3,0)*0.475*44/12</f>
        <v>5.8447814982115286E-10</v>
      </c>
      <c r="AC112" s="22">
        <f t="shared" si="57"/>
        <v>20.33558629846581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5.6843418860808015E-14</v>
      </c>
      <c r="AJ112" s="13">
        <f>AI112*VLOOKUP('Données projet'!$B$10,Paramètres!$A$1:$I$89,3,0)*VLOOKUP('Données projet'!$B$10,Paramètres!$A$1:$I$89,5,0)</f>
        <v>4.6111381379887463E-14</v>
      </c>
      <c r="AK112" s="13">
        <f t="shared" si="89"/>
        <v>7.5804141040779151E-13</v>
      </c>
      <c r="AL112" s="20">
        <f t="shared" si="58"/>
        <v>1.4005661123635408E-12</v>
      </c>
      <c r="AM112" s="59">
        <f t="shared" si="59"/>
        <v>293.33333333333474</v>
      </c>
      <c r="AN112" s="59">
        <f ca="1">AVERAGE(OFFSET($AM$3,0,0,'Données projet'!$E$10+1,1))-AVERAGE(OFFSET($H$3,0,0,'Données projet'!$E$10+1,1))</f>
        <v>235.31102883830971</v>
      </c>
      <c r="AO112" s="59">
        <f t="shared" si="90"/>
        <v>271.48630853790422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</v>
      </c>
      <c r="AV112" s="21">
        <f>EXP(-LN(2)/25)*AV111+(1-EXP(-LN(2)/25))/(LN(2)/25)*Calculateur!AQ112*Calculateur!AS112*VLOOKUP('Données projet'!$B$10,Paramètres!$A$1:$I$89,3,0)*0.475*44/12</f>
        <v>0.95167751661714162</v>
      </c>
      <c r="AW112" s="21">
        <f>EXP(-LN(2)/2)*AW111+(1-EXP(-LN(2)/2))/(LN(2)/2)*AQ112*AT112*VLOOKUP('Données projet'!$B$10,Paramètres!$A$1:$I$89,3,0)*0.475*44/12</f>
        <v>1.4113135309968887E-11</v>
      </c>
      <c r="AX112" s="21">
        <f t="shared" si="60"/>
        <v>0.95167751663125477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3.1</v>
      </c>
      <c r="BD112" s="12">
        <f>IF('Données projet'!$A$88&gt;35,BD111+BC112-BL111,IF(A112&lt;'Données projet'!$A$88,$BA$205^A112,IF(A112='Données projet'!$A$88,'Données projet'!$B$88,BD111+BC112-BL111)))</f>
        <v>229.89999999999992</v>
      </c>
      <c r="BE112" s="13">
        <f>BD112*VLOOKUP('Données projet'!$B$11,Paramètres!$A$1:$I$89,3,0)*VLOOKUP('Données projet'!$B$11,Paramètres!$A$1:$I$89,5,0)</f>
        <v>261.81011999999993</v>
      </c>
      <c r="BF112" s="13">
        <f t="shared" si="91"/>
        <v>63.108066455425636</v>
      </c>
      <c r="BG112" s="20">
        <f t="shared" si="61"/>
        <v>565.89917474319952</v>
      </c>
      <c r="BH112" s="59">
        <f t="shared" si="62"/>
        <v>859.23250807653289</v>
      </c>
      <c r="BI112" s="59">
        <f ca="1">AVERAGE(OFFSET($BH$3,0,0,'Données projet'!$E$11+1,1))-AVERAGE(OFFSET($H$3,0,0,'Données projet'!$E$11+1,1))</f>
        <v>249.01678065306629</v>
      </c>
      <c r="BJ112" s="59">
        <f t="shared" si="92"/>
        <v>99.639724892155641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0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>
        <f>BY112*VLOOKUP('Données projet'!$B$12,Paramètres!$A$1:$I$89,3,0)*VLOOKUP('Données projet'!$B$12,Paramètres!$A$1:$I$89,5,0)</f>
        <v>0</v>
      </c>
      <c r="CA112" s="13" t="e">
        <f t="shared" si="93"/>
        <v>#NUM!</v>
      </c>
      <c r="CB112" s="20" t="e">
        <f t="shared" si="64"/>
        <v>#NUM!</v>
      </c>
      <c r="CC112" s="59" t="e">
        <f t="shared" si="65"/>
        <v>#NUM!</v>
      </c>
      <c r="CD112" s="59">
        <f ca="1">AVERAGE(OFFSET($CC$3,0,0,'Données projet'!$E$12+1,1))-AVERAGE(OFFSET($H$3,0,0,'Données projet'!$E$12+1,1))</f>
        <v>0</v>
      </c>
      <c r="CE112" s="59">
        <f t="shared" si="94"/>
        <v>0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0</v>
      </c>
      <c r="CL112" s="21">
        <f>EXP(-LN(2)/25)*CL111+(1-EXP(-LN(2)/25))/(LN(2)/25)*Calculateur!CG112*Calculateur!CI112*VLOOKUP('Données projet'!$B$12,Paramètres!$A$1:$I$89,3,0)*0.475*44/12</f>
        <v>0</v>
      </c>
      <c r="CM112" s="21">
        <f>EXP(-LN(2)/2)*CM111+(1-EXP(-LN(2)/2))/(LN(2)/2)*CG112*CJ112*VLOOKUP('Données projet'!$B$12,Paramètres!$A$1:$I$89,3,0)*0.475*44/12</f>
        <v>0</v>
      </c>
      <c r="CN112" s="22">
        <f t="shared" si="66"/>
        <v>0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>
        <f>CT112*VLOOKUP('Données projet'!$B$13,Paramètres!$A$1:$I$89,3,0)*VLOOKUP('Données projet'!$B$13,Paramètres!$A$1:$I$89,5,0)</f>
        <v>0</v>
      </c>
      <c r="CV112" s="13" t="e">
        <f t="shared" si="95"/>
        <v>#NUM!</v>
      </c>
      <c r="CW112" s="20" t="e">
        <f t="shared" si="67"/>
        <v>#NUM!</v>
      </c>
      <c r="CX112" s="59" t="e">
        <f t="shared" si="68"/>
        <v>#NUM!</v>
      </c>
      <c r="CY112" s="59">
        <f ca="1">AVERAGE(OFFSET($CX$3,0,0,'Données projet'!$E$13+1,1))-AVERAGE(OFFSET($H$3,0,0,'Données projet'!$E$13+1,1))</f>
        <v>0</v>
      </c>
      <c r="CZ112" s="59">
        <f t="shared" si="96"/>
        <v>0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0</v>
      </c>
      <c r="DG112" s="21">
        <f>EXP(-LN(2)/25)*DG111+(1-EXP(-LN(2)/25))/(LN(2)/25)*Calculateur!DB112*Calculateur!DD112*VLOOKUP('Données projet'!$B$13,Paramètres!$A$1:$I$89,3,0)*0.475*44/12</f>
        <v>0</v>
      </c>
      <c r="DH112" s="21">
        <f>EXP(-LN(2)/2)*DH111+(1-EXP(-LN(2)/2))/(LN(2)/2)*DB112*DE112*VLOOKUP('Données projet'!$B$13,Paramètres!$A$1:$I$89,3,0)*0.475*44/12</f>
        <v>0</v>
      </c>
      <c r="DI112" s="22">
        <f t="shared" si="69"/>
        <v>0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-2.2737367544323206E-13</v>
      </c>
      <c r="O113" s="13">
        <f>N113*VLOOKUP('Données projet'!$B$9,Paramètres!$A$1:$I$89,3,0)*VLOOKUP('Données projet'!$B$9,Paramètres!$A$1:$I$89,5,0)</f>
        <v>-1.3596945791505279E-13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181.92766225683107</v>
      </c>
      <c r="T113" s="59">
        <f t="shared" si="88"/>
        <v>370.52917139565756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13.479967587508147</v>
      </c>
      <c r="AA113" s="21">
        <f>EXP(-LN(2)/25)*AA112+(1-EXP(-LN(2)/25))/(LN(2)/25)*Calculateur!V113*Calculateur!X113*VLOOKUP('Données projet'!$B$9,Paramètres!$A$1:$I$89,3,0)*0.475*44/12</f>
        <v>6.4059032112215988</v>
      </c>
      <c r="AB113" s="21">
        <f>EXP(-LN(2)/2)*AB112+(1-EXP(-LN(2)/2))/(LN(2)/2)*V113*Y113*VLOOKUP('Données projet'!$B$9,Paramètres!$A$1:$I$89,3,0)*0.475*44/12</f>
        <v>4.1328846319390409E-10</v>
      </c>
      <c r="AC113" s="22">
        <f t="shared" si="57"/>
        <v>19.885870799143035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5.6843418860808015E-14</v>
      </c>
      <c r="AJ113" s="13">
        <f>AI113*VLOOKUP('Données projet'!$B$10,Paramètres!$A$1:$I$89,3,0)*VLOOKUP('Données projet'!$B$10,Paramètres!$A$1:$I$89,5,0)</f>
        <v>4.6111381379887463E-14</v>
      </c>
      <c r="AK113" s="13">
        <f t="shared" si="89"/>
        <v>7.5804141040779151E-13</v>
      </c>
      <c r="AL113" s="20">
        <f t="shared" si="58"/>
        <v>1.4005661123635408E-12</v>
      </c>
      <c r="AM113" s="59">
        <f t="shared" si="59"/>
        <v>293.33333333333474</v>
      </c>
      <c r="AN113" s="59">
        <f ca="1">AVERAGE(OFFSET($AM$3,0,0,'Données projet'!$E$10+1,1))-AVERAGE(OFFSET($H$3,0,0,'Données projet'!$E$10+1,1))</f>
        <v>235.31102883830971</v>
      </c>
      <c r="AO113" s="59">
        <f t="shared" si="90"/>
        <v>271.48630853790422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</v>
      </c>
      <c r="AV113" s="21">
        <f>EXP(-LN(2)/25)*AV112+(1-EXP(-LN(2)/25))/(LN(2)/25)*Calculateur!AQ113*Calculateur!AS113*VLOOKUP('Données projet'!$B$10,Paramètres!$A$1:$I$89,3,0)*0.475*44/12</f>
        <v>0.92565384487870039</v>
      </c>
      <c r="AW113" s="21">
        <f>EXP(-LN(2)/2)*AW112+(1-EXP(-LN(2)/2))/(LN(2)/2)*AQ113*AT113*VLOOKUP('Données projet'!$B$10,Paramètres!$A$1:$I$89,3,0)*0.475*44/12</f>
        <v>9.9794936814823075E-12</v>
      </c>
      <c r="AX113" s="21">
        <f t="shared" si="60"/>
        <v>0.92565384488867986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>
        <f>VLOOKUP(A113,'Données projet'!$A$87:$I$107,2,0)</f>
        <v>233</v>
      </c>
      <c r="BB113" s="12">
        <f>VLOOKUP(A113,'Données projet'!$A$87:$I$107,9,0)</f>
        <v>3.1</v>
      </c>
      <c r="BC113" s="12">
        <f t="array" ref="BC113">INDEX(BB:BB,MIN(IF(ISNUMBER(BB113:BB309),ROW(BB113:BB309),"")))</f>
        <v>3.1</v>
      </c>
      <c r="BD113" s="12">
        <f>IF('Données projet'!$A$88&gt;35,BD112+BC113-BL112,IF(A113&lt;'Données projet'!$A$88,$BA$205^A113,IF(A113='Données projet'!$A$88,'Données projet'!$B$88,BD112+BC113-BL112)))</f>
        <v>232.99999999999991</v>
      </c>
      <c r="BE113" s="13">
        <f>BD113*VLOOKUP('Données projet'!$B$11,Paramètres!$A$1:$I$89,3,0)*VLOOKUP('Données projet'!$B$11,Paramètres!$A$1:$I$89,5,0)</f>
        <v>265.34039999999993</v>
      </c>
      <c r="BF113" s="13">
        <f t="shared" si="91"/>
        <v>63.85938489132635</v>
      </c>
      <c r="BG113" s="20">
        <f t="shared" si="61"/>
        <v>573.35629201905988</v>
      </c>
      <c r="BH113" s="59">
        <f t="shared" si="62"/>
        <v>866.68962535239325</v>
      </c>
      <c r="BI113" s="59">
        <f ca="1">AVERAGE(OFFSET($BH$3,0,0,'Données projet'!$E$11+1,1))-AVERAGE(OFFSET($H$3,0,0,'Données projet'!$E$11+1,1))</f>
        <v>249.01678065306629</v>
      </c>
      <c r="BJ113" s="59">
        <f t="shared" si="92"/>
        <v>99.639724892155641</v>
      </c>
      <c r="BK113" s="15">
        <f>IF(ISNA(VLOOKUP(A113,'Données projet'!$A$87:$I$107,3,0)),0,VLOOKUP(A113,'Données projet'!$A$87:$I$107,3,0))</f>
        <v>8</v>
      </c>
      <c r="BL113" s="15">
        <f>IF(ISNA(VLOOKUP(A113,'Données projet'!$A$87:$I$107,4,0)),0,VLOOKUP(A113,'Données projet'!$A$87:$I$107,4,0))</f>
        <v>27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0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>
        <f>BY113*VLOOKUP('Données projet'!$B$12,Paramètres!$A$1:$I$89,3,0)*VLOOKUP('Données projet'!$B$12,Paramètres!$A$1:$I$89,5,0)</f>
        <v>0</v>
      </c>
      <c r="CA113" s="13" t="e">
        <f t="shared" si="93"/>
        <v>#NUM!</v>
      </c>
      <c r="CB113" s="20" t="e">
        <f t="shared" si="64"/>
        <v>#NUM!</v>
      </c>
      <c r="CC113" s="59" t="e">
        <f t="shared" si="65"/>
        <v>#NUM!</v>
      </c>
      <c r="CD113" s="59">
        <f ca="1">AVERAGE(OFFSET($CC$3,0,0,'Données projet'!$E$12+1,1))-AVERAGE(OFFSET($H$3,0,0,'Données projet'!$E$12+1,1))</f>
        <v>0</v>
      </c>
      <c r="CE113" s="59">
        <f t="shared" si="94"/>
        <v>0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0</v>
      </c>
      <c r="CL113" s="21">
        <f>EXP(-LN(2)/25)*CL112+(1-EXP(-LN(2)/25))/(LN(2)/25)*Calculateur!CG113*Calculateur!CI113*VLOOKUP('Données projet'!$B$12,Paramètres!$A$1:$I$89,3,0)*0.475*44/12</f>
        <v>0</v>
      </c>
      <c r="CM113" s="21">
        <f>EXP(-LN(2)/2)*CM112+(1-EXP(-LN(2)/2))/(LN(2)/2)*CG113*CJ113*VLOOKUP('Données projet'!$B$12,Paramètres!$A$1:$I$89,3,0)*0.475*44/12</f>
        <v>0</v>
      </c>
      <c r="CN113" s="22">
        <f t="shared" si="66"/>
        <v>0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>
        <f>CT113*VLOOKUP('Données projet'!$B$13,Paramètres!$A$1:$I$89,3,0)*VLOOKUP('Données projet'!$B$13,Paramètres!$A$1:$I$89,5,0)</f>
        <v>0</v>
      </c>
      <c r="CV113" s="13" t="e">
        <f t="shared" si="95"/>
        <v>#NUM!</v>
      </c>
      <c r="CW113" s="20" t="e">
        <f t="shared" si="67"/>
        <v>#NUM!</v>
      </c>
      <c r="CX113" s="59" t="e">
        <f t="shared" si="68"/>
        <v>#NUM!</v>
      </c>
      <c r="CY113" s="59">
        <f ca="1">AVERAGE(OFFSET($CX$3,0,0,'Données projet'!$E$13+1,1))-AVERAGE(OFFSET($H$3,0,0,'Données projet'!$E$13+1,1))</f>
        <v>0</v>
      </c>
      <c r="CZ113" s="59">
        <f t="shared" si="96"/>
        <v>0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0</v>
      </c>
      <c r="DG113" s="21">
        <f>EXP(-LN(2)/25)*DG112+(1-EXP(-LN(2)/25))/(LN(2)/25)*Calculateur!DB113*Calculateur!DD113*VLOOKUP('Données projet'!$B$13,Paramètres!$A$1:$I$89,3,0)*0.475*44/12</f>
        <v>0</v>
      </c>
      <c r="DH113" s="21">
        <f>EXP(-LN(2)/2)*DH112+(1-EXP(-LN(2)/2))/(LN(2)/2)*DB113*DE113*VLOOKUP('Données projet'!$B$13,Paramètres!$A$1:$I$89,3,0)*0.475*44/12</f>
        <v>0</v>
      </c>
      <c r="DI113" s="22">
        <f t="shared" si="69"/>
        <v>0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-2.2737367544323206E-13</v>
      </c>
      <c r="O114" s="13">
        <f>N114*VLOOKUP('Données projet'!$B$9,Paramètres!$A$1:$I$89,3,0)*VLOOKUP('Données projet'!$B$9,Paramètres!$A$1:$I$89,5,0)</f>
        <v>-1.3596945791505279E-13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181.92766225683107</v>
      </c>
      <c r="T114" s="59">
        <f t="shared" si="88"/>
        <v>370.52917139565756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13.215633645085489</v>
      </c>
      <c r="AA114" s="21">
        <f>EXP(-LN(2)/25)*AA113+(1-EXP(-LN(2)/25))/(LN(2)/25)*Calculateur!V114*Calculateur!X114*VLOOKUP('Données projet'!$B$9,Paramètres!$A$1:$I$89,3,0)*0.475*44/12</f>
        <v>6.2307334510389349</v>
      </c>
      <c r="AB114" s="21">
        <f>EXP(-LN(2)/2)*AB113+(1-EXP(-LN(2)/2))/(LN(2)/2)*V114*Y114*VLOOKUP('Données projet'!$B$9,Paramètres!$A$1:$I$89,3,0)*0.475*44/12</f>
        <v>2.9223907491057643E-10</v>
      </c>
      <c r="AC114" s="22">
        <f t="shared" si="57"/>
        <v>19.446367096416665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5.6843418860808015E-14</v>
      </c>
      <c r="AJ114" s="13">
        <f>AI114*VLOOKUP('Données projet'!$B$10,Paramètres!$A$1:$I$89,3,0)*VLOOKUP('Données projet'!$B$10,Paramètres!$A$1:$I$89,5,0)</f>
        <v>4.6111381379887463E-14</v>
      </c>
      <c r="AK114" s="13">
        <f t="shared" si="89"/>
        <v>7.5804141040779151E-13</v>
      </c>
      <c r="AL114" s="20">
        <f t="shared" si="58"/>
        <v>1.4005661123635408E-12</v>
      </c>
      <c r="AM114" s="59">
        <f t="shared" si="59"/>
        <v>293.33333333333474</v>
      </c>
      <c r="AN114" s="59">
        <f ca="1">AVERAGE(OFFSET($AM$3,0,0,'Données projet'!$E$10+1,1))-AVERAGE(OFFSET($H$3,0,0,'Données projet'!$E$10+1,1))</f>
        <v>235.31102883830971</v>
      </c>
      <c r="AO114" s="59">
        <f t="shared" si="90"/>
        <v>271.48630853790422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</v>
      </c>
      <c r="AV114" s="21">
        <f>EXP(-LN(2)/25)*AV113+(1-EXP(-LN(2)/25))/(LN(2)/25)*Calculateur!AQ114*Calculateur!AS114*VLOOKUP('Données projet'!$B$10,Paramètres!$A$1:$I$89,3,0)*0.475*44/12</f>
        <v>0.9003417918124722</v>
      </c>
      <c r="AW114" s="21">
        <f>EXP(-LN(2)/2)*AW113+(1-EXP(-LN(2)/2))/(LN(2)/2)*AQ114*AT114*VLOOKUP('Données projet'!$B$10,Paramètres!$A$1:$I$89,3,0)*0.475*44/12</f>
        <v>7.0565676549844437E-12</v>
      </c>
      <c r="AX114" s="21">
        <f t="shared" si="60"/>
        <v>0.90034179181952878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2.8</v>
      </c>
      <c r="BD114" s="12">
        <f>IF('Données projet'!$A$88&gt;35,BD113+BC114-BL113,IF(A114&lt;'Données projet'!$A$88,$BA$205^A114,IF(A114='Données projet'!$A$88,'Données projet'!$B$88,BD113+BC114-BL113)))</f>
        <v>208.79999999999993</v>
      </c>
      <c r="BE114" s="13">
        <f>BD114*VLOOKUP('Données projet'!$B$11,Paramètres!$A$1:$I$89,3,0)*VLOOKUP('Données projet'!$B$11,Paramètres!$A$1:$I$89,5,0)</f>
        <v>237.78143999999992</v>
      </c>
      <c r="BF114" s="13">
        <f t="shared" si="91"/>
        <v>57.9619387969109</v>
      </c>
      <c r="BG114" s="20">
        <f t="shared" si="61"/>
        <v>515.08638473795293</v>
      </c>
      <c r="BH114" s="59">
        <f t="shared" si="62"/>
        <v>808.4197180712863</v>
      </c>
      <c r="BI114" s="59">
        <f ca="1">AVERAGE(OFFSET($BH$3,0,0,'Données projet'!$E$11+1,1))-AVERAGE(OFFSET($H$3,0,0,'Données projet'!$E$11+1,1))</f>
        <v>249.01678065306629</v>
      </c>
      <c r="BJ114" s="59">
        <f t="shared" si="92"/>
        <v>99.639724892155641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0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>
        <f>BY114*VLOOKUP('Données projet'!$B$12,Paramètres!$A$1:$I$89,3,0)*VLOOKUP('Données projet'!$B$12,Paramètres!$A$1:$I$89,5,0)</f>
        <v>0</v>
      </c>
      <c r="CA114" s="13" t="e">
        <f t="shared" si="93"/>
        <v>#NUM!</v>
      </c>
      <c r="CB114" s="20" t="e">
        <f t="shared" si="64"/>
        <v>#NUM!</v>
      </c>
      <c r="CC114" s="59" t="e">
        <f t="shared" si="65"/>
        <v>#NUM!</v>
      </c>
      <c r="CD114" s="59">
        <f ca="1">AVERAGE(OFFSET($CC$3,0,0,'Données projet'!$E$12+1,1))-AVERAGE(OFFSET($H$3,0,0,'Données projet'!$E$12+1,1))</f>
        <v>0</v>
      </c>
      <c r="CE114" s="59">
        <f t="shared" si="94"/>
        <v>0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0</v>
      </c>
      <c r="CL114" s="21">
        <f>EXP(-LN(2)/25)*CL113+(1-EXP(-LN(2)/25))/(LN(2)/25)*Calculateur!CG114*Calculateur!CI114*VLOOKUP('Données projet'!$B$12,Paramètres!$A$1:$I$89,3,0)*0.475*44/12</f>
        <v>0</v>
      </c>
      <c r="CM114" s="21">
        <f>EXP(-LN(2)/2)*CM113+(1-EXP(-LN(2)/2))/(LN(2)/2)*CG114*CJ114*VLOOKUP('Données projet'!$B$12,Paramètres!$A$1:$I$89,3,0)*0.475*44/12</f>
        <v>0</v>
      </c>
      <c r="CN114" s="22">
        <f t="shared" si="66"/>
        <v>0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>
        <f>CT114*VLOOKUP('Données projet'!$B$13,Paramètres!$A$1:$I$89,3,0)*VLOOKUP('Données projet'!$B$13,Paramètres!$A$1:$I$89,5,0)</f>
        <v>0</v>
      </c>
      <c r="CV114" s="13" t="e">
        <f t="shared" si="95"/>
        <v>#NUM!</v>
      </c>
      <c r="CW114" s="20" t="e">
        <f t="shared" si="67"/>
        <v>#NUM!</v>
      </c>
      <c r="CX114" s="59" t="e">
        <f t="shared" si="68"/>
        <v>#NUM!</v>
      </c>
      <c r="CY114" s="59">
        <f ca="1">AVERAGE(OFFSET($CX$3,0,0,'Données projet'!$E$13+1,1))-AVERAGE(OFFSET($H$3,0,0,'Données projet'!$E$13+1,1))</f>
        <v>0</v>
      </c>
      <c r="CZ114" s="59">
        <f t="shared" si="96"/>
        <v>0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0</v>
      </c>
      <c r="DG114" s="21">
        <f>EXP(-LN(2)/25)*DG113+(1-EXP(-LN(2)/25))/(LN(2)/25)*Calculateur!DB114*Calculateur!DD114*VLOOKUP('Données projet'!$B$13,Paramètres!$A$1:$I$89,3,0)*0.475*44/12</f>
        <v>0</v>
      </c>
      <c r="DH114" s="21">
        <f>EXP(-LN(2)/2)*DH113+(1-EXP(-LN(2)/2))/(LN(2)/2)*DB114*DE114*VLOOKUP('Données projet'!$B$13,Paramètres!$A$1:$I$89,3,0)*0.475*44/12</f>
        <v>0</v>
      </c>
      <c r="DI114" s="22">
        <f t="shared" si="69"/>
        <v>0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-2.2737367544323206E-13</v>
      </c>
      <c r="O115" s="13">
        <f>N115*VLOOKUP('Données projet'!$B$9,Paramètres!$A$1:$I$89,3,0)*VLOOKUP('Données projet'!$B$9,Paramètres!$A$1:$I$89,5,0)</f>
        <v>-1.3596945791505279E-13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181.92766225683107</v>
      </c>
      <c r="T115" s="59">
        <f t="shared" si="88"/>
        <v>370.52917139565756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12.956483130045955</v>
      </c>
      <c r="AA115" s="21">
        <f>EXP(-LN(2)/25)*AA114+(1-EXP(-LN(2)/25))/(LN(2)/25)*Calculateur!V115*Calculateur!X115*VLOOKUP('Données projet'!$B$9,Paramètres!$A$1:$I$89,3,0)*0.475*44/12</f>
        <v>6.0603537171602433</v>
      </c>
      <c r="AB115" s="21">
        <f>EXP(-LN(2)/2)*AB114+(1-EXP(-LN(2)/2))/(LN(2)/2)*V115*Y115*VLOOKUP('Données projet'!$B$9,Paramètres!$A$1:$I$89,3,0)*0.475*44/12</f>
        <v>2.0664423159695204E-10</v>
      </c>
      <c r="AC115" s="22">
        <f t="shared" si="57"/>
        <v>19.016836847412844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5.6843418860808015E-14</v>
      </c>
      <c r="AJ115" s="13">
        <f>AI115*VLOOKUP('Données projet'!$B$10,Paramètres!$A$1:$I$89,3,0)*VLOOKUP('Données projet'!$B$10,Paramètres!$A$1:$I$89,5,0)</f>
        <v>4.6111381379887463E-14</v>
      </c>
      <c r="AK115" s="13">
        <f t="shared" si="89"/>
        <v>7.5804141040779151E-13</v>
      </c>
      <c r="AL115" s="20">
        <f t="shared" si="58"/>
        <v>1.4005661123635408E-12</v>
      </c>
      <c r="AM115" s="59">
        <f t="shared" si="59"/>
        <v>293.33333333333474</v>
      </c>
      <c r="AN115" s="59">
        <f ca="1">AVERAGE(OFFSET($AM$3,0,0,'Données projet'!$E$10+1,1))-AVERAGE(OFFSET($H$3,0,0,'Données projet'!$E$10+1,1))</f>
        <v>235.31102883830971</v>
      </c>
      <c r="AO115" s="59">
        <f t="shared" si="90"/>
        <v>271.48630853790422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</v>
      </c>
      <c r="AV115" s="21">
        <f>EXP(-LN(2)/25)*AV114+(1-EXP(-LN(2)/25))/(LN(2)/25)*Calculateur!AQ115*Calculateur!AS115*VLOOKUP('Données projet'!$B$10,Paramètres!$A$1:$I$89,3,0)*0.475*44/12</f>
        <v>0.87572189816844304</v>
      </c>
      <c r="AW115" s="21">
        <f>EXP(-LN(2)/2)*AW114+(1-EXP(-LN(2)/2))/(LN(2)/2)*AQ115*AT115*VLOOKUP('Données projet'!$B$10,Paramètres!$A$1:$I$89,3,0)*0.475*44/12</f>
        <v>4.9897468407411538E-12</v>
      </c>
      <c r="AX115" s="21">
        <f t="shared" si="60"/>
        <v>0.87572189817343282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2.8</v>
      </c>
      <c r="BD115" s="12">
        <f>IF('Données projet'!$A$88&gt;35,BD114+BC115-BL114,IF(A115&lt;'Données projet'!$A$88,$BA$205^A115,IF(A115='Données projet'!$A$88,'Données projet'!$B$88,BD114+BC115-BL114)))</f>
        <v>211.59999999999994</v>
      </c>
      <c r="BE115" s="13">
        <f>BD115*VLOOKUP('Données projet'!$B$11,Paramètres!$A$1:$I$89,3,0)*VLOOKUP('Données projet'!$B$11,Paramètres!$A$1:$I$89,5,0)</f>
        <v>240.97007999999994</v>
      </c>
      <c r="BF115" s="13">
        <f t="shared" si="91"/>
        <v>58.648198893942364</v>
      </c>
      <c r="BG115" s="20">
        <f t="shared" si="61"/>
        <v>521.83516907361616</v>
      </c>
      <c r="BH115" s="59">
        <f t="shared" si="62"/>
        <v>815.16850240694953</v>
      </c>
      <c r="BI115" s="59">
        <f ca="1">AVERAGE(OFFSET($BH$3,0,0,'Données projet'!$E$11+1,1))-AVERAGE(OFFSET($H$3,0,0,'Données projet'!$E$11+1,1))</f>
        <v>249.01678065306629</v>
      </c>
      <c r="BJ115" s="59">
        <f t="shared" si="92"/>
        <v>99.639724892155641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0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>
        <f>BY115*VLOOKUP('Données projet'!$B$12,Paramètres!$A$1:$I$89,3,0)*VLOOKUP('Données projet'!$B$12,Paramètres!$A$1:$I$89,5,0)</f>
        <v>0</v>
      </c>
      <c r="CA115" s="13" t="e">
        <f t="shared" si="93"/>
        <v>#NUM!</v>
      </c>
      <c r="CB115" s="20" t="e">
        <f t="shared" si="64"/>
        <v>#NUM!</v>
      </c>
      <c r="CC115" s="59" t="e">
        <f t="shared" si="65"/>
        <v>#NUM!</v>
      </c>
      <c r="CD115" s="59">
        <f ca="1">AVERAGE(OFFSET($CC$3,0,0,'Données projet'!$E$12+1,1))-AVERAGE(OFFSET($H$3,0,0,'Données projet'!$E$12+1,1))</f>
        <v>0</v>
      </c>
      <c r="CE115" s="59">
        <f t="shared" si="94"/>
        <v>0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0</v>
      </c>
      <c r="CL115" s="21">
        <f>EXP(-LN(2)/25)*CL114+(1-EXP(-LN(2)/25))/(LN(2)/25)*Calculateur!CG115*Calculateur!CI115*VLOOKUP('Données projet'!$B$12,Paramètres!$A$1:$I$89,3,0)*0.475*44/12</f>
        <v>0</v>
      </c>
      <c r="CM115" s="21">
        <f>EXP(-LN(2)/2)*CM114+(1-EXP(-LN(2)/2))/(LN(2)/2)*CG115*CJ115*VLOOKUP('Données projet'!$B$12,Paramètres!$A$1:$I$89,3,0)*0.475*44/12</f>
        <v>0</v>
      </c>
      <c r="CN115" s="22">
        <f t="shared" si="66"/>
        <v>0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>
        <f>CT115*VLOOKUP('Données projet'!$B$13,Paramètres!$A$1:$I$89,3,0)*VLOOKUP('Données projet'!$B$13,Paramètres!$A$1:$I$89,5,0)</f>
        <v>0</v>
      </c>
      <c r="CV115" s="13" t="e">
        <f t="shared" si="95"/>
        <v>#NUM!</v>
      </c>
      <c r="CW115" s="20" t="e">
        <f t="shared" si="67"/>
        <v>#NUM!</v>
      </c>
      <c r="CX115" s="59" t="e">
        <f t="shared" si="68"/>
        <v>#NUM!</v>
      </c>
      <c r="CY115" s="59">
        <f ca="1">AVERAGE(OFFSET($CX$3,0,0,'Données projet'!$E$13+1,1))-AVERAGE(OFFSET($H$3,0,0,'Données projet'!$E$13+1,1))</f>
        <v>0</v>
      </c>
      <c r="CZ115" s="59">
        <f t="shared" si="96"/>
        <v>0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0</v>
      </c>
      <c r="DG115" s="21">
        <f>EXP(-LN(2)/25)*DG114+(1-EXP(-LN(2)/25))/(LN(2)/25)*Calculateur!DB115*Calculateur!DD115*VLOOKUP('Données projet'!$B$13,Paramètres!$A$1:$I$89,3,0)*0.475*44/12</f>
        <v>0</v>
      </c>
      <c r="DH115" s="21">
        <f>EXP(-LN(2)/2)*DH114+(1-EXP(-LN(2)/2))/(LN(2)/2)*DB115*DE115*VLOOKUP('Données projet'!$B$13,Paramètres!$A$1:$I$89,3,0)*0.475*44/12</f>
        <v>0</v>
      </c>
      <c r="DI115" s="22">
        <f t="shared" si="69"/>
        <v>0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-2.2737367544323206E-13</v>
      </c>
      <c r="O116" s="13">
        <f>N116*VLOOKUP('Données projet'!$B$9,Paramètres!$A$1:$I$89,3,0)*VLOOKUP('Données projet'!$B$9,Paramètres!$A$1:$I$89,5,0)</f>
        <v>-1.3596945791505279E-13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181.92766225683107</v>
      </c>
      <c r="T116" s="59">
        <f t="shared" si="88"/>
        <v>370.52917139565756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12.702414398540139</v>
      </c>
      <c r="AA116" s="21">
        <f>EXP(-LN(2)/25)*AA115+(1-EXP(-LN(2)/25))/(LN(2)/25)*Calculateur!V116*Calculateur!X116*VLOOKUP('Données projet'!$B$9,Paramètres!$A$1:$I$89,3,0)*0.475*44/12</f>
        <v>5.8946330260643451</v>
      </c>
      <c r="AB116" s="21">
        <f>EXP(-LN(2)/2)*AB115+(1-EXP(-LN(2)/2))/(LN(2)/2)*V116*Y116*VLOOKUP('Données projet'!$B$9,Paramètres!$A$1:$I$89,3,0)*0.475*44/12</f>
        <v>1.4611953745528822E-10</v>
      </c>
      <c r="AC116" s="22">
        <f t="shared" si="57"/>
        <v>18.597047424750603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5.6843418860808015E-14</v>
      </c>
      <c r="AJ116" s="13">
        <f>AI116*VLOOKUP('Données projet'!$B$10,Paramètres!$A$1:$I$89,3,0)*VLOOKUP('Données projet'!$B$10,Paramètres!$A$1:$I$89,5,0)</f>
        <v>4.6111381379887463E-14</v>
      </c>
      <c r="AK116" s="13">
        <f t="shared" si="89"/>
        <v>7.5804141040779151E-13</v>
      </c>
      <c r="AL116" s="20">
        <f t="shared" si="58"/>
        <v>1.4005661123635408E-12</v>
      </c>
      <c r="AM116" s="59">
        <f t="shared" si="59"/>
        <v>293.33333333333474</v>
      </c>
      <c r="AN116" s="59">
        <f ca="1">AVERAGE(OFFSET($AM$3,0,0,'Données projet'!$E$10+1,1))-AVERAGE(OFFSET($H$3,0,0,'Données projet'!$E$10+1,1))</f>
        <v>235.31102883830971</v>
      </c>
      <c r="AO116" s="59">
        <f t="shared" si="90"/>
        <v>271.48630853790422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</v>
      </c>
      <c r="AV116" s="21">
        <f>EXP(-LN(2)/25)*AV115+(1-EXP(-LN(2)/25))/(LN(2)/25)*Calculateur!AQ116*Calculateur!AS116*VLOOKUP('Données projet'!$B$10,Paramètres!$A$1:$I$89,3,0)*0.475*44/12</f>
        <v>0.8517752368108138</v>
      </c>
      <c r="AW116" s="21">
        <f>EXP(-LN(2)/2)*AW115+(1-EXP(-LN(2)/2))/(LN(2)/2)*AQ116*AT116*VLOOKUP('Données projet'!$B$10,Paramètres!$A$1:$I$89,3,0)*0.475*44/12</f>
        <v>3.5282838274922219E-12</v>
      </c>
      <c r="AX116" s="21">
        <f t="shared" si="60"/>
        <v>0.85177523681434208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2.8</v>
      </c>
      <c r="BD116" s="12">
        <f>IF('Données projet'!$A$88&gt;35,BD115+BC116-BL115,IF(A116&lt;'Données projet'!$A$88,$BA$205^A116,IF(A116='Données projet'!$A$88,'Données projet'!$B$88,BD115+BC116-BL115)))</f>
        <v>214.39999999999995</v>
      </c>
      <c r="BE116" s="13">
        <f>BD116*VLOOKUP('Données projet'!$B$11,Paramètres!$A$1:$I$89,3,0)*VLOOKUP('Données projet'!$B$11,Paramètres!$A$1:$I$89,5,0)</f>
        <v>244.15871999999996</v>
      </c>
      <c r="BF116" s="13">
        <f t="shared" si="91"/>
        <v>59.333402749839792</v>
      </c>
      <c r="BG116" s="20">
        <f t="shared" si="61"/>
        <v>528.58211378930412</v>
      </c>
      <c r="BH116" s="59">
        <f t="shared" si="62"/>
        <v>821.91544712263749</v>
      </c>
      <c r="BI116" s="59">
        <f ca="1">AVERAGE(OFFSET($BH$3,0,0,'Données projet'!$E$11+1,1))-AVERAGE(OFFSET($H$3,0,0,'Données projet'!$E$11+1,1))</f>
        <v>249.01678065306629</v>
      </c>
      <c r="BJ116" s="59">
        <f t="shared" si="92"/>
        <v>99.639724892155641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0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>
        <f>BY116*VLOOKUP('Données projet'!$B$12,Paramètres!$A$1:$I$89,3,0)*VLOOKUP('Données projet'!$B$12,Paramètres!$A$1:$I$89,5,0)</f>
        <v>0</v>
      </c>
      <c r="CA116" s="13" t="e">
        <f t="shared" si="93"/>
        <v>#NUM!</v>
      </c>
      <c r="CB116" s="20" t="e">
        <f t="shared" si="64"/>
        <v>#NUM!</v>
      </c>
      <c r="CC116" s="59" t="e">
        <f t="shared" si="65"/>
        <v>#NUM!</v>
      </c>
      <c r="CD116" s="59">
        <f ca="1">AVERAGE(OFFSET($CC$3,0,0,'Données projet'!$E$12+1,1))-AVERAGE(OFFSET($H$3,0,0,'Données projet'!$E$12+1,1))</f>
        <v>0</v>
      </c>
      <c r="CE116" s="59">
        <f t="shared" si="94"/>
        <v>0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0</v>
      </c>
      <c r="CL116" s="21">
        <f>EXP(-LN(2)/25)*CL115+(1-EXP(-LN(2)/25))/(LN(2)/25)*Calculateur!CG116*Calculateur!CI116*VLOOKUP('Données projet'!$B$12,Paramètres!$A$1:$I$89,3,0)*0.475*44/12</f>
        <v>0</v>
      </c>
      <c r="CM116" s="21">
        <f>EXP(-LN(2)/2)*CM115+(1-EXP(-LN(2)/2))/(LN(2)/2)*CG116*CJ116*VLOOKUP('Données projet'!$B$12,Paramètres!$A$1:$I$89,3,0)*0.475*44/12</f>
        <v>0</v>
      </c>
      <c r="CN116" s="22">
        <f t="shared" si="66"/>
        <v>0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>
        <f>CT116*VLOOKUP('Données projet'!$B$13,Paramètres!$A$1:$I$89,3,0)*VLOOKUP('Données projet'!$B$13,Paramètres!$A$1:$I$89,5,0)</f>
        <v>0</v>
      </c>
      <c r="CV116" s="13" t="e">
        <f t="shared" si="95"/>
        <v>#NUM!</v>
      </c>
      <c r="CW116" s="20" t="e">
        <f t="shared" si="67"/>
        <v>#NUM!</v>
      </c>
      <c r="CX116" s="59" t="e">
        <f t="shared" si="68"/>
        <v>#NUM!</v>
      </c>
      <c r="CY116" s="59">
        <f ca="1">AVERAGE(OFFSET($CX$3,0,0,'Données projet'!$E$13+1,1))-AVERAGE(OFFSET($H$3,0,0,'Données projet'!$E$13+1,1))</f>
        <v>0</v>
      </c>
      <c r="CZ116" s="59">
        <f t="shared" si="96"/>
        <v>0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0</v>
      </c>
      <c r="DG116" s="21">
        <f>EXP(-LN(2)/25)*DG115+(1-EXP(-LN(2)/25))/(LN(2)/25)*Calculateur!DB116*Calculateur!DD116*VLOOKUP('Données projet'!$B$13,Paramètres!$A$1:$I$89,3,0)*0.475*44/12</f>
        <v>0</v>
      </c>
      <c r="DH116" s="21">
        <f>EXP(-LN(2)/2)*DH115+(1-EXP(-LN(2)/2))/(LN(2)/2)*DB116*DE116*VLOOKUP('Données projet'!$B$13,Paramètres!$A$1:$I$89,3,0)*0.475*44/12</f>
        <v>0</v>
      </c>
      <c r="DI116" s="22">
        <f t="shared" si="69"/>
        <v>0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-2.2737367544323206E-13</v>
      </c>
      <c r="O117" s="13">
        <f>N117*VLOOKUP('Données projet'!$B$9,Paramètres!$A$1:$I$89,3,0)*VLOOKUP('Données projet'!$B$9,Paramètres!$A$1:$I$89,5,0)</f>
        <v>-1.3596945791505279E-13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181.92766225683107</v>
      </c>
      <c r="T117" s="59">
        <f t="shared" si="88"/>
        <v>370.52917139565756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12.453327799892527</v>
      </c>
      <c r="AA117" s="21">
        <f>EXP(-LN(2)/25)*AA116+(1-EXP(-LN(2)/25))/(LN(2)/25)*Calculateur!V117*Calculateur!X117*VLOOKUP('Données projet'!$B$9,Paramètres!$A$1:$I$89,3,0)*0.475*44/12</f>
        <v>5.7334439759813369</v>
      </c>
      <c r="AB117" s="21">
        <f>EXP(-LN(2)/2)*AB116+(1-EXP(-LN(2)/2))/(LN(2)/2)*V117*Y117*VLOOKUP('Données projet'!$B$9,Paramètres!$A$1:$I$89,3,0)*0.475*44/12</f>
        <v>1.0332211579847602E-10</v>
      </c>
      <c r="AC117" s="22">
        <f t="shared" si="57"/>
        <v>18.186771775977189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5.6843418860808015E-14</v>
      </c>
      <c r="AJ117" s="13">
        <f>AI117*VLOOKUP('Données projet'!$B$10,Paramètres!$A$1:$I$89,3,0)*VLOOKUP('Données projet'!$B$10,Paramètres!$A$1:$I$89,5,0)</f>
        <v>4.6111381379887463E-14</v>
      </c>
      <c r="AK117" s="13">
        <f t="shared" si="89"/>
        <v>7.5804141040779151E-13</v>
      </c>
      <c r="AL117" s="20">
        <f t="shared" si="58"/>
        <v>1.4005661123635408E-12</v>
      </c>
      <c r="AM117" s="59">
        <f t="shared" si="59"/>
        <v>293.33333333333474</v>
      </c>
      <c r="AN117" s="59">
        <f ca="1">AVERAGE(OFFSET($AM$3,0,0,'Données projet'!$E$10+1,1))-AVERAGE(OFFSET($H$3,0,0,'Données projet'!$E$10+1,1))</f>
        <v>235.31102883830971</v>
      </c>
      <c r="AO117" s="59">
        <f t="shared" si="90"/>
        <v>271.48630853790422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</v>
      </c>
      <c r="AV117" s="21">
        <f>EXP(-LN(2)/25)*AV116+(1-EXP(-LN(2)/25))/(LN(2)/25)*Calculateur!AQ117*Calculateur!AS117*VLOOKUP('Données projet'!$B$10,Paramètres!$A$1:$I$89,3,0)*0.475*44/12</f>
        <v>0.82848339816730909</v>
      </c>
      <c r="AW117" s="21">
        <f>EXP(-LN(2)/2)*AW116+(1-EXP(-LN(2)/2))/(LN(2)/2)*AQ117*AT117*VLOOKUP('Données projet'!$B$10,Paramètres!$A$1:$I$89,3,0)*0.475*44/12</f>
        <v>2.4948734203705769E-12</v>
      </c>
      <c r="AX117" s="21">
        <f t="shared" si="60"/>
        <v>0.82848339816980399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2.8</v>
      </c>
      <c r="BD117" s="12">
        <f>IF('Données projet'!$A$88&gt;35,BD116+BC117-BL116,IF(A117&lt;'Données projet'!$A$88,$BA$205^A117,IF(A117='Données projet'!$A$88,'Données projet'!$B$88,BD116+BC117-BL116)))</f>
        <v>217.19999999999996</v>
      </c>
      <c r="BE117" s="13">
        <f>BD117*VLOOKUP('Données projet'!$B$11,Paramètres!$A$1:$I$89,3,0)*VLOOKUP('Données projet'!$B$11,Paramètres!$A$1:$I$89,5,0)</f>
        <v>247.34735999999992</v>
      </c>
      <c r="BF117" s="13">
        <f t="shared" si="91"/>
        <v>60.017565753622286</v>
      </c>
      <c r="BG117" s="20">
        <f t="shared" si="61"/>
        <v>535.32724568755873</v>
      </c>
      <c r="BH117" s="59">
        <f t="shared" si="62"/>
        <v>828.6605790208921</v>
      </c>
      <c r="BI117" s="59">
        <f ca="1">AVERAGE(OFFSET($BH$3,0,0,'Données projet'!$E$11+1,1))-AVERAGE(OFFSET($H$3,0,0,'Données projet'!$E$11+1,1))</f>
        <v>249.01678065306629</v>
      </c>
      <c r="BJ117" s="59">
        <f t="shared" si="92"/>
        <v>99.639724892155641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0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>
        <f>BY117*VLOOKUP('Données projet'!$B$12,Paramètres!$A$1:$I$89,3,0)*VLOOKUP('Données projet'!$B$12,Paramètres!$A$1:$I$89,5,0)</f>
        <v>0</v>
      </c>
      <c r="CA117" s="13" t="e">
        <f t="shared" si="93"/>
        <v>#NUM!</v>
      </c>
      <c r="CB117" s="20" t="e">
        <f t="shared" si="64"/>
        <v>#NUM!</v>
      </c>
      <c r="CC117" s="59" t="e">
        <f t="shared" si="65"/>
        <v>#NUM!</v>
      </c>
      <c r="CD117" s="59">
        <f ca="1">AVERAGE(OFFSET($CC$3,0,0,'Données projet'!$E$12+1,1))-AVERAGE(OFFSET($H$3,0,0,'Données projet'!$E$12+1,1))</f>
        <v>0</v>
      </c>
      <c r="CE117" s="59">
        <f t="shared" si="94"/>
        <v>0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0</v>
      </c>
      <c r="CL117" s="21">
        <f>EXP(-LN(2)/25)*CL116+(1-EXP(-LN(2)/25))/(LN(2)/25)*Calculateur!CG117*Calculateur!CI117*VLOOKUP('Données projet'!$B$12,Paramètres!$A$1:$I$89,3,0)*0.475*44/12</f>
        <v>0</v>
      </c>
      <c r="CM117" s="21">
        <f>EXP(-LN(2)/2)*CM116+(1-EXP(-LN(2)/2))/(LN(2)/2)*CG117*CJ117*VLOOKUP('Données projet'!$B$12,Paramètres!$A$1:$I$89,3,0)*0.475*44/12</f>
        <v>0</v>
      </c>
      <c r="CN117" s="22">
        <f t="shared" si="66"/>
        <v>0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>
        <f>CT117*VLOOKUP('Données projet'!$B$13,Paramètres!$A$1:$I$89,3,0)*VLOOKUP('Données projet'!$B$13,Paramètres!$A$1:$I$89,5,0)</f>
        <v>0</v>
      </c>
      <c r="CV117" s="13" t="e">
        <f t="shared" si="95"/>
        <v>#NUM!</v>
      </c>
      <c r="CW117" s="20" t="e">
        <f t="shared" si="67"/>
        <v>#NUM!</v>
      </c>
      <c r="CX117" s="59" t="e">
        <f t="shared" si="68"/>
        <v>#NUM!</v>
      </c>
      <c r="CY117" s="59">
        <f ca="1">AVERAGE(OFFSET($CX$3,0,0,'Données projet'!$E$13+1,1))-AVERAGE(OFFSET($H$3,0,0,'Données projet'!$E$13+1,1))</f>
        <v>0</v>
      </c>
      <c r="CZ117" s="59">
        <f t="shared" si="96"/>
        <v>0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0</v>
      </c>
      <c r="DG117" s="21">
        <f>EXP(-LN(2)/25)*DG116+(1-EXP(-LN(2)/25))/(LN(2)/25)*Calculateur!DB117*Calculateur!DD117*VLOOKUP('Données projet'!$B$13,Paramètres!$A$1:$I$89,3,0)*0.475*44/12</f>
        <v>0</v>
      </c>
      <c r="DH117" s="21">
        <f>EXP(-LN(2)/2)*DH116+(1-EXP(-LN(2)/2))/(LN(2)/2)*DB117*DE117*VLOOKUP('Données projet'!$B$13,Paramètres!$A$1:$I$89,3,0)*0.475*44/12</f>
        <v>0</v>
      </c>
      <c r="DI117" s="22">
        <f t="shared" si="69"/>
        <v>0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-2.2737367544323206E-13</v>
      </c>
      <c r="O118" s="13">
        <f>N118*VLOOKUP('Données projet'!$B$9,Paramètres!$A$1:$I$89,3,0)*VLOOKUP('Données projet'!$B$9,Paramètres!$A$1:$I$89,5,0)</f>
        <v>-1.3596945791505279E-13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181.92766225683107</v>
      </c>
      <c r="T118" s="59">
        <f t="shared" si="88"/>
        <v>370.52917139565756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12.209125637516571</v>
      </c>
      <c r="AA118" s="21">
        <f>EXP(-LN(2)/25)*AA117+(1-EXP(-LN(2)/25))/(LN(2)/25)*Calculateur!V118*Calculateur!X118*VLOOKUP('Données projet'!$B$9,Paramètres!$A$1:$I$89,3,0)*0.475*44/12</f>
        <v>5.5766626489494122</v>
      </c>
      <c r="AB118" s="21">
        <f>EXP(-LN(2)/2)*AB117+(1-EXP(-LN(2)/2))/(LN(2)/2)*V118*Y118*VLOOKUP('Données projet'!$B$9,Paramètres!$A$1:$I$89,3,0)*0.475*44/12</f>
        <v>7.3059768727644108E-11</v>
      </c>
      <c r="AC118" s="22">
        <f t="shared" si="57"/>
        <v>17.785788286539042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5.6843418860808015E-14</v>
      </c>
      <c r="AJ118" s="13">
        <f>AI118*VLOOKUP('Données projet'!$B$10,Paramètres!$A$1:$I$89,3,0)*VLOOKUP('Données projet'!$B$10,Paramètres!$A$1:$I$89,5,0)</f>
        <v>4.6111381379887463E-14</v>
      </c>
      <c r="AK118" s="13">
        <f t="shared" si="89"/>
        <v>7.5804141040779151E-13</v>
      </c>
      <c r="AL118" s="20">
        <f t="shared" si="58"/>
        <v>1.4005661123635408E-12</v>
      </c>
      <c r="AM118" s="59">
        <f t="shared" si="59"/>
        <v>293.33333333333474</v>
      </c>
      <c r="AN118" s="59">
        <f ca="1">AVERAGE(OFFSET($AM$3,0,0,'Données projet'!$E$10+1,1))-AVERAGE(OFFSET($H$3,0,0,'Données projet'!$E$10+1,1))</f>
        <v>235.31102883830971</v>
      </c>
      <c r="AO118" s="59">
        <f t="shared" si="90"/>
        <v>271.48630853790422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</v>
      </c>
      <c r="AV118" s="21">
        <f>EXP(-LN(2)/25)*AV117+(1-EXP(-LN(2)/25))/(LN(2)/25)*Calculateur!AQ118*Calculateur!AS118*VLOOKUP('Données projet'!$B$10,Paramètres!$A$1:$I$89,3,0)*0.475*44/12</f>
        <v>0.80582847607637564</v>
      </c>
      <c r="AW118" s="21">
        <f>EXP(-LN(2)/2)*AW117+(1-EXP(-LN(2)/2))/(LN(2)/2)*AQ118*AT118*VLOOKUP('Données projet'!$B$10,Paramètres!$A$1:$I$89,3,0)*0.475*44/12</f>
        <v>1.7641419137461109E-12</v>
      </c>
      <c r="AX118" s="21">
        <f t="shared" si="60"/>
        <v>0.80582847607813979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2.8</v>
      </c>
      <c r="BD118" s="12">
        <f>IF('Données projet'!$A$88&gt;35,BD117+BC118-BL117,IF(A118&lt;'Données projet'!$A$88,$BA$205^A118,IF(A118='Données projet'!$A$88,'Données projet'!$B$88,BD117+BC118-BL117)))</f>
        <v>219.99999999999997</v>
      </c>
      <c r="BE118" s="13">
        <f>BD118*VLOOKUP('Données projet'!$B$11,Paramètres!$A$1:$I$89,3,0)*VLOOKUP('Données projet'!$B$11,Paramètres!$A$1:$I$89,5,0)</f>
        <v>250.53599999999994</v>
      </c>
      <c r="BF118" s="13">
        <f t="shared" si="91"/>
        <v>60.700702874726744</v>
      </c>
      <c r="BG118" s="20">
        <f t="shared" si="61"/>
        <v>542.07059084014895</v>
      </c>
      <c r="BH118" s="59">
        <f t="shared" si="62"/>
        <v>835.40392417348221</v>
      </c>
      <c r="BI118" s="59">
        <f ca="1">AVERAGE(OFFSET($BH$3,0,0,'Données projet'!$E$11+1,1))-AVERAGE(OFFSET($H$3,0,0,'Données projet'!$E$11+1,1))</f>
        <v>249.01678065306629</v>
      </c>
      <c r="BJ118" s="59">
        <f t="shared" si="92"/>
        <v>99.639724892155641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0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>
        <f>BY118*VLOOKUP('Données projet'!$B$12,Paramètres!$A$1:$I$89,3,0)*VLOOKUP('Données projet'!$B$12,Paramètres!$A$1:$I$89,5,0)</f>
        <v>0</v>
      </c>
      <c r="CA118" s="13" t="e">
        <f t="shared" si="93"/>
        <v>#NUM!</v>
      </c>
      <c r="CB118" s="20" t="e">
        <f t="shared" si="64"/>
        <v>#NUM!</v>
      </c>
      <c r="CC118" s="59" t="e">
        <f t="shared" si="65"/>
        <v>#NUM!</v>
      </c>
      <c r="CD118" s="59">
        <f ca="1">AVERAGE(OFFSET($CC$3,0,0,'Données projet'!$E$12+1,1))-AVERAGE(OFFSET($H$3,0,0,'Données projet'!$E$12+1,1))</f>
        <v>0</v>
      </c>
      <c r="CE118" s="59">
        <f t="shared" si="94"/>
        <v>0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0</v>
      </c>
      <c r="CL118" s="21">
        <f>EXP(-LN(2)/25)*CL117+(1-EXP(-LN(2)/25))/(LN(2)/25)*Calculateur!CG118*Calculateur!CI118*VLOOKUP('Données projet'!$B$12,Paramètres!$A$1:$I$89,3,0)*0.475*44/12</f>
        <v>0</v>
      </c>
      <c r="CM118" s="21">
        <f>EXP(-LN(2)/2)*CM117+(1-EXP(-LN(2)/2))/(LN(2)/2)*CG118*CJ118*VLOOKUP('Données projet'!$B$12,Paramètres!$A$1:$I$89,3,0)*0.475*44/12</f>
        <v>0</v>
      </c>
      <c r="CN118" s="22">
        <f t="shared" si="66"/>
        <v>0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>
        <f>CT118*VLOOKUP('Données projet'!$B$13,Paramètres!$A$1:$I$89,3,0)*VLOOKUP('Données projet'!$B$13,Paramètres!$A$1:$I$89,5,0)</f>
        <v>0</v>
      </c>
      <c r="CV118" s="13" t="e">
        <f t="shared" si="95"/>
        <v>#NUM!</v>
      </c>
      <c r="CW118" s="20" t="e">
        <f t="shared" si="67"/>
        <v>#NUM!</v>
      </c>
      <c r="CX118" s="59" t="e">
        <f t="shared" si="68"/>
        <v>#NUM!</v>
      </c>
      <c r="CY118" s="59">
        <f ca="1">AVERAGE(OFFSET($CX$3,0,0,'Données projet'!$E$13+1,1))-AVERAGE(OFFSET($H$3,0,0,'Données projet'!$E$13+1,1))</f>
        <v>0</v>
      </c>
      <c r="CZ118" s="59">
        <f t="shared" si="96"/>
        <v>0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0</v>
      </c>
      <c r="DG118" s="21">
        <f>EXP(-LN(2)/25)*DG117+(1-EXP(-LN(2)/25))/(LN(2)/25)*Calculateur!DB118*Calculateur!DD118*VLOOKUP('Données projet'!$B$13,Paramètres!$A$1:$I$89,3,0)*0.475*44/12</f>
        <v>0</v>
      </c>
      <c r="DH118" s="21">
        <f>EXP(-LN(2)/2)*DH117+(1-EXP(-LN(2)/2))/(LN(2)/2)*DB118*DE118*VLOOKUP('Données projet'!$B$13,Paramètres!$A$1:$I$89,3,0)*0.475*44/12</f>
        <v>0</v>
      </c>
      <c r="DI118" s="22">
        <f t="shared" si="69"/>
        <v>0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-2.2737367544323206E-13</v>
      </c>
      <c r="O119" s="13">
        <f>N119*VLOOKUP('Données projet'!$B$9,Paramètres!$A$1:$I$89,3,0)*VLOOKUP('Données projet'!$B$9,Paramètres!$A$1:$I$89,5,0)</f>
        <v>-1.3596945791505279E-13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181.92766225683107</v>
      </c>
      <c r="T119" s="59">
        <f t="shared" si="88"/>
        <v>370.52917139565756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11.969712130596196</v>
      </c>
      <c r="AA119" s="21">
        <f>EXP(-LN(2)/25)*AA118+(1-EXP(-LN(2)/25))/(LN(2)/25)*Calculateur!V119*Calculateur!X119*VLOOKUP('Données projet'!$B$9,Paramètres!$A$1:$I$89,3,0)*0.475*44/12</f>
        <v>5.4241685155499475</v>
      </c>
      <c r="AB119" s="21">
        <f>EXP(-LN(2)/2)*AB118+(1-EXP(-LN(2)/2))/(LN(2)/2)*V119*Y119*VLOOKUP('Données projet'!$B$9,Paramètres!$A$1:$I$89,3,0)*0.475*44/12</f>
        <v>5.1661057899238011E-11</v>
      </c>
      <c r="AC119" s="22">
        <f t="shared" si="57"/>
        <v>17.393880646197804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5.6843418860808015E-14</v>
      </c>
      <c r="AJ119" s="13">
        <f>AI119*VLOOKUP('Données projet'!$B$10,Paramètres!$A$1:$I$89,3,0)*VLOOKUP('Données projet'!$B$10,Paramètres!$A$1:$I$89,5,0)</f>
        <v>4.6111381379887463E-14</v>
      </c>
      <c r="AK119" s="13">
        <f t="shared" si="89"/>
        <v>7.5804141040779151E-13</v>
      </c>
      <c r="AL119" s="20">
        <f t="shared" si="58"/>
        <v>1.4005661123635408E-12</v>
      </c>
      <c r="AM119" s="59">
        <f t="shared" si="59"/>
        <v>293.33333333333474</v>
      </c>
      <c r="AN119" s="59">
        <f ca="1">AVERAGE(OFFSET($AM$3,0,0,'Données projet'!$E$10+1,1))-AVERAGE(OFFSET($H$3,0,0,'Données projet'!$E$10+1,1))</f>
        <v>235.31102883830971</v>
      </c>
      <c r="AO119" s="59">
        <f t="shared" si="90"/>
        <v>271.48630853790422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</v>
      </c>
      <c r="AV119" s="21">
        <f>EXP(-LN(2)/25)*AV118+(1-EXP(-LN(2)/25))/(LN(2)/25)*Calculateur!AQ119*Calculateur!AS119*VLOOKUP('Données projet'!$B$10,Paramètres!$A$1:$I$89,3,0)*0.475*44/12</f>
        <v>0.78379305402138932</v>
      </c>
      <c r="AW119" s="21">
        <f>EXP(-LN(2)/2)*AW118+(1-EXP(-LN(2)/2))/(LN(2)/2)*AQ119*AT119*VLOOKUP('Données projet'!$B$10,Paramètres!$A$1:$I$89,3,0)*0.475*44/12</f>
        <v>1.2474367101852884E-12</v>
      </c>
      <c r="AX119" s="21">
        <f t="shared" si="60"/>
        <v>0.78379305402263677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2.8</v>
      </c>
      <c r="BD119" s="12">
        <f>IF('Données projet'!$A$88&gt;35,BD118+BC119-BL118,IF(A119&lt;'Données projet'!$A$88,$BA$205^A119,IF(A119='Données projet'!$A$88,'Données projet'!$B$88,BD118+BC119-BL118)))</f>
        <v>222.79999999999998</v>
      </c>
      <c r="BE119" s="13">
        <f>BD119*VLOOKUP('Données projet'!$B$11,Paramètres!$A$1:$I$89,3,0)*VLOOKUP('Données projet'!$B$11,Paramètres!$A$1:$I$89,5,0)</f>
        <v>253.72463999999997</v>
      </c>
      <c r="BF119" s="13">
        <f t="shared" si="91"/>
        <v>61.382828679639545</v>
      </c>
      <c r="BG119" s="20">
        <f t="shared" si="61"/>
        <v>548.81217461703875</v>
      </c>
      <c r="BH119" s="59">
        <f t="shared" si="62"/>
        <v>842.14550795037212</v>
      </c>
      <c r="BI119" s="59">
        <f ca="1">AVERAGE(OFFSET($BH$3,0,0,'Données projet'!$E$11+1,1))-AVERAGE(OFFSET($H$3,0,0,'Données projet'!$E$11+1,1))</f>
        <v>249.01678065306629</v>
      </c>
      <c r="BJ119" s="59">
        <f t="shared" si="92"/>
        <v>99.639724892155641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0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>
        <f>BY119*VLOOKUP('Données projet'!$B$12,Paramètres!$A$1:$I$89,3,0)*VLOOKUP('Données projet'!$B$12,Paramètres!$A$1:$I$89,5,0)</f>
        <v>0</v>
      </c>
      <c r="CA119" s="13" t="e">
        <f t="shared" si="93"/>
        <v>#NUM!</v>
      </c>
      <c r="CB119" s="20" t="e">
        <f t="shared" si="64"/>
        <v>#NUM!</v>
      </c>
      <c r="CC119" s="59" t="e">
        <f t="shared" si="65"/>
        <v>#NUM!</v>
      </c>
      <c r="CD119" s="59">
        <f ca="1">AVERAGE(OFFSET($CC$3,0,0,'Données projet'!$E$12+1,1))-AVERAGE(OFFSET($H$3,0,0,'Données projet'!$E$12+1,1))</f>
        <v>0</v>
      </c>
      <c r="CE119" s="59">
        <f t="shared" si="94"/>
        <v>0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0</v>
      </c>
      <c r="CL119" s="21">
        <f>EXP(-LN(2)/25)*CL118+(1-EXP(-LN(2)/25))/(LN(2)/25)*Calculateur!CG119*Calculateur!CI119*VLOOKUP('Données projet'!$B$12,Paramètres!$A$1:$I$89,3,0)*0.475*44/12</f>
        <v>0</v>
      </c>
      <c r="CM119" s="21">
        <f>EXP(-LN(2)/2)*CM118+(1-EXP(-LN(2)/2))/(LN(2)/2)*CG119*CJ119*VLOOKUP('Données projet'!$B$12,Paramètres!$A$1:$I$89,3,0)*0.475*44/12</f>
        <v>0</v>
      </c>
      <c r="CN119" s="22">
        <f t="shared" si="66"/>
        <v>0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>
        <f>CT119*VLOOKUP('Données projet'!$B$13,Paramètres!$A$1:$I$89,3,0)*VLOOKUP('Données projet'!$B$13,Paramètres!$A$1:$I$89,5,0)</f>
        <v>0</v>
      </c>
      <c r="CV119" s="13" t="e">
        <f t="shared" si="95"/>
        <v>#NUM!</v>
      </c>
      <c r="CW119" s="20" t="e">
        <f t="shared" si="67"/>
        <v>#NUM!</v>
      </c>
      <c r="CX119" s="59" t="e">
        <f t="shared" si="68"/>
        <v>#NUM!</v>
      </c>
      <c r="CY119" s="59">
        <f ca="1">AVERAGE(OFFSET($CX$3,0,0,'Données projet'!$E$13+1,1))-AVERAGE(OFFSET($H$3,0,0,'Données projet'!$E$13+1,1))</f>
        <v>0</v>
      </c>
      <c r="CZ119" s="59">
        <f t="shared" si="96"/>
        <v>0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0</v>
      </c>
      <c r="DG119" s="21">
        <f>EXP(-LN(2)/25)*DG118+(1-EXP(-LN(2)/25))/(LN(2)/25)*Calculateur!DB119*Calculateur!DD119*VLOOKUP('Données projet'!$B$13,Paramètres!$A$1:$I$89,3,0)*0.475*44/12</f>
        <v>0</v>
      </c>
      <c r="DH119" s="21">
        <f>EXP(-LN(2)/2)*DH118+(1-EXP(-LN(2)/2))/(LN(2)/2)*DB119*DE119*VLOOKUP('Données projet'!$B$13,Paramètres!$A$1:$I$89,3,0)*0.475*44/12</f>
        <v>0</v>
      </c>
      <c r="DI119" s="22">
        <f t="shared" si="69"/>
        <v>0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-2.2737367544323206E-13</v>
      </c>
      <c r="O120" s="13">
        <f>N120*VLOOKUP('Données projet'!$B$9,Paramètres!$A$1:$I$89,3,0)*VLOOKUP('Données projet'!$B$9,Paramètres!$A$1:$I$89,5,0)</f>
        <v>-1.3596945791505279E-13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181.92766225683107</v>
      </c>
      <c r="T120" s="59">
        <f t="shared" si="88"/>
        <v>370.52917139565756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11.734993376518711</v>
      </c>
      <c r="AA120" s="21">
        <f>EXP(-LN(2)/25)*AA119+(1-EXP(-LN(2)/25))/(LN(2)/25)*Calculateur!V120*Calculateur!X120*VLOOKUP('Données projet'!$B$9,Paramètres!$A$1:$I$89,3,0)*0.475*44/12</f>
        <v>5.2758443422476091</v>
      </c>
      <c r="AB120" s="21">
        <f>EXP(-LN(2)/2)*AB119+(1-EXP(-LN(2)/2))/(LN(2)/2)*V120*Y120*VLOOKUP('Données projet'!$B$9,Paramètres!$A$1:$I$89,3,0)*0.475*44/12</f>
        <v>3.6529884363822054E-11</v>
      </c>
      <c r="AC120" s="22">
        <f t="shared" si="57"/>
        <v>17.010837718802847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5.6843418860808015E-14</v>
      </c>
      <c r="AJ120" s="13">
        <f>AI120*VLOOKUP('Données projet'!$B$10,Paramètres!$A$1:$I$89,3,0)*VLOOKUP('Données projet'!$B$10,Paramètres!$A$1:$I$89,5,0)</f>
        <v>4.6111381379887463E-14</v>
      </c>
      <c r="AK120" s="13">
        <f t="shared" si="89"/>
        <v>7.5804141040779151E-13</v>
      </c>
      <c r="AL120" s="20">
        <f t="shared" si="58"/>
        <v>1.4005661123635408E-12</v>
      </c>
      <c r="AM120" s="59">
        <f t="shared" si="59"/>
        <v>293.33333333333474</v>
      </c>
      <c r="AN120" s="59">
        <f ca="1">AVERAGE(OFFSET($AM$3,0,0,'Données projet'!$E$10+1,1))-AVERAGE(OFFSET($H$3,0,0,'Données projet'!$E$10+1,1))</f>
        <v>235.31102883830971</v>
      </c>
      <c r="AO120" s="59">
        <f t="shared" si="90"/>
        <v>271.48630853790422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</v>
      </c>
      <c r="AV120" s="21">
        <f>EXP(-LN(2)/25)*AV119+(1-EXP(-LN(2)/25))/(LN(2)/25)*Calculateur!AQ120*Calculateur!AS120*VLOOKUP('Données projet'!$B$10,Paramètres!$A$1:$I$89,3,0)*0.475*44/12</f>
        <v>0.76236019174128911</v>
      </c>
      <c r="AW120" s="21">
        <f>EXP(-LN(2)/2)*AW119+(1-EXP(-LN(2)/2))/(LN(2)/2)*AQ120*AT120*VLOOKUP('Données projet'!$B$10,Paramètres!$A$1:$I$89,3,0)*0.475*44/12</f>
        <v>8.8207095687305546E-13</v>
      </c>
      <c r="AX120" s="21">
        <f t="shared" si="60"/>
        <v>0.76236019174217118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2.8</v>
      </c>
      <c r="BD120" s="12">
        <f>IF('Données projet'!$A$88&gt;35,BD119+BC120-BL119,IF(A120&lt;'Données projet'!$A$88,$BA$205^A120,IF(A120='Données projet'!$A$88,'Données projet'!$B$88,BD119+BC120-BL119)))</f>
        <v>225.6</v>
      </c>
      <c r="BE120" s="13">
        <f>BD120*VLOOKUP('Données projet'!$B$11,Paramètres!$A$1:$I$89,3,0)*VLOOKUP('Données projet'!$B$11,Paramètres!$A$1:$I$89,5,0)</f>
        <v>256.91327999999999</v>
      </c>
      <c r="BF120" s="13">
        <f t="shared" si="91"/>
        <v>62.063957347667966</v>
      </c>
      <c r="BG120" s="20">
        <f t="shared" si="61"/>
        <v>555.55202171385497</v>
      </c>
      <c r="BH120" s="59">
        <f t="shared" si="62"/>
        <v>848.88535504718834</v>
      </c>
      <c r="BI120" s="59">
        <f ca="1">AVERAGE(OFFSET($BH$3,0,0,'Données projet'!$E$11+1,1))-AVERAGE(OFFSET($H$3,0,0,'Données projet'!$E$11+1,1))</f>
        <v>249.01678065306629</v>
      </c>
      <c r="BJ120" s="59">
        <f t="shared" si="92"/>
        <v>99.639724892155641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0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>
        <f>BY120*VLOOKUP('Données projet'!$B$12,Paramètres!$A$1:$I$89,3,0)*VLOOKUP('Données projet'!$B$12,Paramètres!$A$1:$I$89,5,0)</f>
        <v>0</v>
      </c>
      <c r="CA120" s="13" t="e">
        <f t="shared" si="93"/>
        <v>#NUM!</v>
      </c>
      <c r="CB120" s="20" t="e">
        <f t="shared" si="64"/>
        <v>#NUM!</v>
      </c>
      <c r="CC120" s="59" t="e">
        <f t="shared" si="65"/>
        <v>#NUM!</v>
      </c>
      <c r="CD120" s="59">
        <f ca="1">AVERAGE(OFFSET($CC$3,0,0,'Données projet'!$E$12+1,1))-AVERAGE(OFFSET($H$3,0,0,'Données projet'!$E$12+1,1))</f>
        <v>0</v>
      </c>
      <c r="CE120" s="59">
        <f t="shared" si="94"/>
        <v>0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0</v>
      </c>
      <c r="CL120" s="21">
        <f>EXP(-LN(2)/25)*CL119+(1-EXP(-LN(2)/25))/(LN(2)/25)*Calculateur!CG120*Calculateur!CI120*VLOOKUP('Données projet'!$B$12,Paramètres!$A$1:$I$89,3,0)*0.475*44/12</f>
        <v>0</v>
      </c>
      <c r="CM120" s="21">
        <f>EXP(-LN(2)/2)*CM119+(1-EXP(-LN(2)/2))/(LN(2)/2)*CG120*CJ120*VLOOKUP('Données projet'!$B$12,Paramètres!$A$1:$I$89,3,0)*0.475*44/12</f>
        <v>0</v>
      </c>
      <c r="CN120" s="22">
        <f t="shared" si="66"/>
        <v>0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>
        <f>CT120*VLOOKUP('Données projet'!$B$13,Paramètres!$A$1:$I$89,3,0)*VLOOKUP('Données projet'!$B$13,Paramètres!$A$1:$I$89,5,0)</f>
        <v>0</v>
      </c>
      <c r="CV120" s="13" t="e">
        <f t="shared" si="95"/>
        <v>#NUM!</v>
      </c>
      <c r="CW120" s="20" t="e">
        <f t="shared" si="67"/>
        <v>#NUM!</v>
      </c>
      <c r="CX120" s="59" t="e">
        <f t="shared" si="68"/>
        <v>#NUM!</v>
      </c>
      <c r="CY120" s="59">
        <f ca="1">AVERAGE(OFFSET($CX$3,0,0,'Données projet'!$E$13+1,1))-AVERAGE(OFFSET($H$3,0,0,'Données projet'!$E$13+1,1))</f>
        <v>0</v>
      </c>
      <c r="CZ120" s="59">
        <f t="shared" si="96"/>
        <v>0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0</v>
      </c>
      <c r="DG120" s="21">
        <f>EXP(-LN(2)/25)*DG119+(1-EXP(-LN(2)/25))/(LN(2)/25)*Calculateur!DB120*Calculateur!DD120*VLOOKUP('Données projet'!$B$13,Paramètres!$A$1:$I$89,3,0)*0.475*44/12</f>
        <v>0</v>
      </c>
      <c r="DH120" s="21">
        <f>EXP(-LN(2)/2)*DH119+(1-EXP(-LN(2)/2))/(LN(2)/2)*DB120*DE120*VLOOKUP('Données projet'!$B$13,Paramètres!$A$1:$I$89,3,0)*0.475*44/12</f>
        <v>0</v>
      </c>
      <c r="DI120" s="22">
        <f t="shared" si="69"/>
        <v>0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-2.2737367544323206E-13</v>
      </c>
      <c r="O121" s="13">
        <f>N121*VLOOKUP('Données projet'!$B$9,Paramètres!$A$1:$I$89,3,0)*VLOOKUP('Données projet'!$B$9,Paramètres!$A$1:$I$89,5,0)</f>
        <v>-1.3596945791505279E-13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181.92766225683107</v>
      </c>
      <c r="T121" s="59">
        <f t="shared" si="88"/>
        <v>370.52917139565756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11.50487731404438</v>
      </c>
      <c r="AA121" s="21">
        <f>EXP(-LN(2)/25)*AA120+(1-EXP(-LN(2)/25))/(LN(2)/25)*Calculateur!V121*Calculateur!X121*VLOOKUP('Données projet'!$B$9,Paramètres!$A$1:$I$89,3,0)*0.475*44/12</f>
        <v>5.131576101264252</v>
      </c>
      <c r="AB121" s="21">
        <f>EXP(-LN(2)/2)*AB120+(1-EXP(-LN(2)/2))/(LN(2)/2)*V121*Y121*VLOOKUP('Données projet'!$B$9,Paramètres!$A$1:$I$89,3,0)*0.475*44/12</f>
        <v>2.5830528949619005E-11</v>
      </c>
      <c r="AC121" s="22">
        <f t="shared" si="57"/>
        <v>16.636453415334465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5.6843418860808015E-14</v>
      </c>
      <c r="AJ121" s="13">
        <f>AI121*VLOOKUP('Données projet'!$B$10,Paramètres!$A$1:$I$89,3,0)*VLOOKUP('Données projet'!$B$10,Paramètres!$A$1:$I$89,5,0)</f>
        <v>4.6111381379887463E-14</v>
      </c>
      <c r="AK121" s="13">
        <f t="shared" si="89"/>
        <v>7.5804141040779151E-13</v>
      </c>
      <c r="AL121" s="20">
        <f t="shared" si="58"/>
        <v>1.4005661123635408E-12</v>
      </c>
      <c r="AM121" s="59">
        <f t="shared" si="59"/>
        <v>293.33333333333474</v>
      </c>
      <c r="AN121" s="59">
        <f ca="1">AVERAGE(OFFSET($AM$3,0,0,'Données projet'!$E$10+1,1))-AVERAGE(OFFSET($H$3,0,0,'Données projet'!$E$10+1,1))</f>
        <v>235.31102883830971</v>
      </c>
      <c r="AO121" s="59">
        <f t="shared" si="90"/>
        <v>271.48630853790422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</v>
      </c>
      <c r="AV121" s="21">
        <f>EXP(-LN(2)/25)*AV120+(1-EXP(-LN(2)/25))/(LN(2)/25)*Calculateur!AQ121*Calculateur!AS121*VLOOKUP('Données projet'!$B$10,Paramètres!$A$1:$I$89,3,0)*0.475*44/12</f>
        <v>0.74151341220734346</v>
      </c>
      <c r="AW121" s="21">
        <f>EXP(-LN(2)/2)*AW120+(1-EXP(-LN(2)/2))/(LN(2)/2)*AQ121*AT121*VLOOKUP('Données projet'!$B$10,Paramètres!$A$1:$I$89,3,0)*0.475*44/12</f>
        <v>6.2371835509264422E-13</v>
      </c>
      <c r="AX121" s="21">
        <f t="shared" si="60"/>
        <v>0.74151341220796718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2.8</v>
      </c>
      <c r="BD121" s="12">
        <f>IF('Données projet'!$A$88&gt;35,BD120+BC121-BL120,IF(A121&lt;'Données projet'!$A$88,$BA$205^A121,IF(A121='Données projet'!$A$88,'Données projet'!$B$88,BD120+BC121-BL120)))</f>
        <v>228.4</v>
      </c>
      <c r="BE121" s="13">
        <f>BD121*VLOOKUP('Données projet'!$B$11,Paramètres!$A$1:$I$89,3,0)*VLOOKUP('Données projet'!$B$11,Paramètres!$A$1:$I$89,5,0)</f>
        <v>260.10192000000001</v>
      </c>
      <c r="BF121" s="13">
        <f t="shared" si="91"/>
        <v>62.74410268590654</v>
      </c>
      <c r="BG121" s="20">
        <f t="shared" si="61"/>
        <v>562.2901561779538</v>
      </c>
      <c r="BH121" s="59">
        <f t="shared" si="62"/>
        <v>855.62348951128706</v>
      </c>
      <c r="BI121" s="59">
        <f ca="1">AVERAGE(OFFSET($BH$3,0,0,'Données projet'!$E$11+1,1))-AVERAGE(OFFSET($H$3,0,0,'Données projet'!$E$11+1,1))</f>
        <v>249.01678065306629</v>
      </c>
      <c r="BJ121" s="59">
        <f t="shared" si="92"/>
        <v>99.639724892155641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0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>
        <f>BY121*VLOOKUP('Données projet'!$B$12,Paramètres!$A$1:$I$89,3,0)*VLOOKUP('Données projet'!$B$12,Paramètres!$A$1:$I$89,5,0)</f>
        <v>0</v>
      </c>
      <c r="CA121" s="13" t="e">
        <f t="shared" si="93"/>
        <v>#NUM!</v>
      </c>
      <c r="CB121" s="20" t="e">
        <f t="shared" si="64"/>
        <v>#NUM!</v>
      </c>
      <c r="CC121" s="59" t="e">
        <f t="shared" si="65"/>
        <v>#NUM!</v>
      </c>
      <c r="CD121" s="59">
        <f ca="1">AVERAGE(OFFSET($CC$3,0,0,'Données projet'!$E$12+1,1))-AVERAGE(OFFSET($H$3,0,0,'Données projet'!$E$12+1,1))</f>
        <v>0</v>
      </c>
      <c r="CE121" s="59">
        <f t="shared" si="94"/>
        <v>0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0</v>
      </c>
      <c r="CL121" s="21">
        <f>EXP(-LN(2)/25)*CL120+(1-EXP(-LN(2)/25))/(LN(2)/25)*Calculateur!CG121*Calculateur!CI121*VLOOKUP('Données projet'!$B$12,Paramètres!$A$1:$I$89,3,0)*0.475*44/12</f>
        <v>0</v>
      </c>
      <c r="CM121" s="21">
        <f>EXP(-LN(2)/2)*CM120+(1-EXP(-LN(2)/2))/(LN(2)/2)*CG121*CJ121*VLOOKUP('Données projet'!$B$12,Paramètres!$A$1:$I$89,3,0)*0.475*44/12</f>
        <v>0</v>
      </c>
      <c r="CN121" s="22">
        <f t="shared" si="66"/>
        <v>0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>
        <f>CT121*VLOOKUP('Données projet'!$B$13,Paramètres!$A$1:$I$89,3,0)*VLOOKUP('Données projet'!$B$13,Paramètres!$A$1:$I$89,5,0)</f>
        <v>0</v>
      </c>
      <c r="CV121" s="13" t="e">
        <f t="shared" si="95"/>
        <v>#NUM!</v>
      </c>
      <c r="CW121" s="20" t="e">
        <f t="shared" si="67"/>
        <v>#NUM!</v>
      </c>
      <c r="CX121" s="59" t="e">
        <f t="shared" si="68"/>
        <v>#NUM!</v>
      </c>
      <c r="CY121" s="59">
        <f ca="1">AVERAGE(OFFSET($CX$3,0,0,'Données projet'!$E$13+1,1))-AVERAGE(OFFSET($H$3,0,0,'Données projet'!$E$13+1,1))</f>
        <v>0</v>
      </c>
      <c r="CZ121" s="59">
        <f t="shared" si="96"/>
        <v>0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0</v>
      </c>
      <c r="DG121" s="21">
        <f>EXP(-LN(2)/25)*DG120+(1-EXP(-LN(2)/25))/(LN(2)/25)*Calculateur!DB121*Calculateur!DD121*VLOOKUP('Données projet'!$B$13,Paramètres!$A$1:$I$89,3,0)*0.475*44/12</f>
        <v>0</v>
      </c>
      <c r="DH121" s="21">
        <f>EXP(-LN(2)/2)*DH120+(1-EXP(-LN(2)/2))/(LN(2)/2)*DB121*DE121*VLOOKUP('Données projet'!$B$13,Paramètres!$A$1:$I$89,3,0)*0.475*44/12</f>
        <v>0</v>
      </c>
      <c r="DI121" s="22">
        <f t="shared" si="69"/>
        <v>0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-2.2737367544323206E-13</v>
      </c>
      <c r="O122" s="13">
        <f>N122*VLOOKUP('Données projet'!$B$9,Paramètres!$A$1:$I$89,3,0)*VLOOKUP('Données projet'!$B$9,Paramètres!$A$1:$I$89,5,0)</f>
        <v>-1.3596945791505279E-13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181.92766225683107</v>
      </c>
      <c r="T122" s="59">
        <f t="shared" si="88"/>
        <v>370.52917139565756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11.279273687198232</v>
      </c>
      <c r="AA122" s="21">
        <f>EXP(-LN(2)/25)*AA121+(1-EXP(-LN(2)/25))/(LN(2)/25)*Calculateur!V122*Calculateur!X122*VLOOKUP('Données projet'!$B$9,Paramètres!$A$1:$I$89,3,0)*0.475*44/12</f>
        <v>4.9912528829173226</v>
      </c>
      <c r="AB122" s="21">
        <f>EXP(-LN(2)/2)*AB121+(1-EXP(-LN(2)/2))/(LN(2)/2)*V122*Y122*VLOOKUP('Données projet'!$B$9,Paramètres!$A$1:$I$89,3,0)*0.475*44/12</f>
        <v>1.8264942181911027E-11</v>
      </c>
      <c r="AC122" s="22">
        <f t="shared" si="57"/>
        <v>16.270526570133821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5.6843418860808015E-14</v>
      </c>
      <c r="AJ122" s="13">
        <f>AI122*VLOOKUP('Données projet'!$B$10,Paramètres!$A$1:$I$89,3,0)*VLOOKUP('Données projet'!$B$10,Paramètres!$A$1:$I$89,5,0)</f>
        <v>4.6111381379887463E-14</v>
      </c>
      <c r="AK122" s="13">
        <f t="shared" si="89"/>
        <v>7.5804141040779151E-13</v>
      </c>
      <c r="AL122" s="20">
        <f t="shared" si="58"/>
        <v>1.4005661123635408E-12</v>
      </c>
      <c r="AM122" s="59">
        <f t="shared" si="59"/>
        <v>293.33333333333474</v>
      </c>
      <c r="AN122" s="59">
        <f ca="1">AVERAGE(OFFSET($AM$3,0,0,'Données projet'!$E$10+1,1))-AVERAGE(OFFSET($H$3,0,0,'Données projet'!$E$10+1,1))</f>
        <v>235.31102883830971</v>
      </c>
      <c r="AO122" s="59">
        <f t="shared" si="90"/>
        <v>271.48630853790422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</v>
      </c>
      <c r="AV122" s="21">
        <f>EXP(-LN(2)/25)*AV121+(1-EXP(-LN(2)/25))/(LN(2)/25)*Calculateur!AQ122*Calculateur!AS122*VLOOKUP('Données projet'!$B$10,Paramètres!$A$1:$I$89,3,0)*0.475*44/12</f>
        <v>0.7212366889560381</v>
      </c>
      <c r="AW122" s="21">
        <f>EXP(-LN(2)/2)*AW121+(1-EXP(-LN(2)/2))/(LN(2)/2)*AQ122*AT122*VLOOKUP('Données projet'!$B$10,Paramètres!$A$1:$I$89,3,0)*0.475*44/12</f>
        <v>4.4103547843652773E-13</v>
      </c>
      <c r="AX122" s="21">
        <f t="shared" si="60"/>
        <v>0.72123668895647908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2.8</v>
      </c>
      <c r="BD122" s="12">
        <f>IF('Données projet'!$A$88&gt;35,BD121+BC122-BL121,IF(A122&lt;'Données projet'!$A$88,$BA$205^A122,IF(A122='Données projet'!$A$88,'Données projet'!$B$88,BD121+BC122-BL121)))</f>
        <v>231.20000000000002</v>
      </c>
      <c r="BE122" s="13">
        <f>BD122*VLOOKUP('Données projet'!$B$11,Paramètres!$A$1:$I$89,3,0)*VLOOKUP('Données projet'!$B$11,Paramètres!$A$1:$I$89,5,0)</f>
        <v>263.29056000000003</v>
      </c>
      <c r="BF122" s="13">
        <f t="shared" si="91"/>
        <v>63.423278143448627</v>
      </c>
      <c r="BG122" s="20">
        <f t="shared" si="61"/>
        <v>569.02660143317291</v>
      </c>
      <c r="BH122" s="59">
        <f t="shared" si="62"/>
        <v>862.35993476650629</v>
      </c>
      <c r="BI122" s="59">
        <f ca="1">AVERAGE(OFFSET($BH$3,0,0,'Données projet'!$E$11+1,1))-AVERAGE(OFFSET($H$3,0,0,'Données projet'!$E$11+1,1))</f>
        <v>249.01678065306629</v>
      </c>
      <c r="BJ122" s="59">
        <f t="shared" si="92"/>
        <v>99.639724892155641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0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>
        <f>BY122*VLOOKUP('Données projet'!$B$12,Paramètres!$A$1:$I$89,3,0)*VLOOKUP('Données projet'!$B$12,Paramètres!$A$1:$I$89,5,0)</f>
        <v>0</v>
      </c>
      <c r="CA122" s="13" t="e">
        <f t="shared" si="93"/>
        <v>#NUM!</v>
      </c>
      <c r="CB122" s="20" t="e">
        <f t="shared" si="64"/>
        <v>#NUM!</v>
      </c>
      <c r="CC122" s="59" t="e">
        <f t="shared" si="65"/>
        <v>#NUM!</v>
      </c>
      <c r="CD122" s="59">
        <f ca="1">AVERAGE(OFFSET($CC$3,0,0,'Données projet'!$E$12+1,1))-AVERAGE(OFFSET($H$3,0,0,'Données projet'!$E$12+1,1))</f>
        <v>0</v>
      </c>
      <c r="CE122" s="59">
        <f t="shared" si="94"/>
        <v>0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0</v>
      </c>
      <c r="CL122" s="21">
        <f>EXP(-LN(2)/25)*CL121+(1-EXP(-LN(2)/25))/(LN(2)/25)*Calculateur!CG122*Calculateur!CI122*VLOOKUP('Données projet'!$B$12,Paramètres!$A$1:$I$89,3,0)*0.475*44/12</f>
        <v>0</v>
      </c>
      <c r="CM122" s="21">
        <f>EXP(-LN(2)/2)*CM121+(1-EXP(-LN(2)/2))/(LN(2)/2)*CG122*CJ122*VLOOKUP('Données projet'!$B$12,Paramètres!$A$1:$I$89,3,0)*0.475*44/12</f>
        <v>0</v>
      </c>
      <c r="CN122" s="22">
        <f t="shared" si="66"/>
        <v>0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>
        <f>CT122*VLOOKUP('Données projet'!$B$13,Paramètres!$A$1:$I$89,3,0)*VLOOKUP('Données projet'!$B$13,Paramètres!$A$1:$I$89,5,0)</f>
        <v>0</v>
      </c>
      <c r="CV122" s="13" t="e">
        <f t="shared" si="95"/>
        <v>#NUM!</v>
      </c>
      <c r="CW122" s="20" t="e">
        <f t="shared" si="67"/>
        <v>#NUM!</v>
      </c>
      <c r="CX122" s="59" t="e">
        <f t="shared" si="68"/>
        <v>#NUM!</v>
      </c>
      <c r="CY122" s="59">
        <f ca="1">AVERAGE(OFFSET($CX$3,0,0,'Données projet'!$E$13+1,1))-AVERAGE(OFFSET($H$3,0,0,'Données projet'!$E$13+1,1))</f>
        <v>0</v>
      </c>
      <c r="CZ122" s="59">
        <f t="shared" si="96"/>
        <v>0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0</v>
      </c>
      <c r="DG122" s="21">
        <f>EXP(-LN(2)/25)*DG121+(1-EXP(-LN(2)/25))/(LN(2)/25)*Calculateur!DB122*Calculateur!DD122*VLOOKUP('Données projet'!$B$13,Paramètres!$A$1:$I$89,3,0)*0.475*44/12</f>
        <v>0</v>
      </c>
      <c r="DH122" s="21">
        <f>EXP(-LN(2)/2)*DH121+(1-EXP(-LN(2)/2))/(LN(2)/2)*DB122*DE122*VLOOKUP('Données projet'!$B$13,Paramètres!$A$1:$I$89,3,0)*0.475*44/12</f>
        <v>0</v>
      </c>
      <c r="DI122" s="22">
        <f t="shared" si="69"/>
        <v>0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-2.2737367544323206E-13</v>
      </c>
      <c r="O123" s="13">
        <f>N123*VLOOKUP('Données projet'!$B$9,Paramètres!$A$1:$I$89,3,0)*VLOOKUP('Données projet'!$B$9,Paramètres!$A$1:$I$89,5,0)</f>
        <v>-1.3596945791505279E-13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181.92766225683107</v>
      </c>
      <c r="T123" s="59">
        <f t="shared" si="88"/>
        <v>370.52917139565756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11.058094009869912</v>
      </c>
      <c r="AA123" s="21">
        <f>EXP(-LN(2)/25)*AA122+(1-EXP(-LN(2)/25))/(LN(2)/25)*Calculateur!V123*Calculateur!X123*VLOOKUP('Données projet'!$B$9,Paramètres!$A$1:$I$89,3,0)*0.475*44/12</f>
        <v>4.8547668103553674</v>
      </c>
      <c r="AB123" s="21">
        <f>EXP(-LN(2)/2)*AB122+(1-EXP(-LN(2)/2))/(LN(2)/2)*V123*Y123*VLOOKUP('Données projet'!$B$9,Paramètres!$A$1:$I$89,3,0)*0.475*44/12</f>
        <v>1.2915264474809503E-11</v>
      </c>
      <c r="AC123" s="22">
        <f t="shared" si="57"/>
        <v>15.912860820238196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5.6843418860808015E-14</v>
      </c>
      <c r="AJ123" s="13">
        <f>AI123*VLOOKUP('Données projet'!$B$10,Paramètres!$A$1:$I$89,3,0)*VLOOKUP('Données projet'!$B$10,Paramètres!$A$1:$I$89,5,0)</f>
        <v>4.6111381379887463E-14</v>
      </c>
      <c r="AK123" s="13">
        <f t="shared" si="89"/>
        <v>7.5804141040779151E-13</v>
      </c>
      <c r="AL123" s="20">
        <f t="shared" si="58"/>
        <v>1.4005661123635408E-12</v>
      </c>
      <c r="AM123" s="59">
        <f t="shared" si="59"/>
        <v>293.33333333333474</v>
      </c>
      <c r="AN123" s="59">
        <f ca="1">AVERAGE(OFFSET($AM$3,0,0,'Données projet'!$E$10+1,1))-AVERAGE(OFFSET($H$3,0,0,'Données projet'!$E$10+1,1))</f>
        <v>235.31102883830971</v>
      </c>
      <c r="AO123" s="59">
        <f t="shared" si="90"/>
        <v>271.48630853790422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</v>
      </c>
      <c r="AV123" s="21">
        <f>EXP(-LN(2)/25)*AV122+(1-EXP(-LN(2)/25))/(LN(2)/25)*Calculateur!AQ123*Calculateur!AS123*VLOOKUP('Données projet'!$B$10,Paramètres!$A$1:$I$89,3,0)*0.475*44/12</f>
        <v>0.70151443376834621</v>
      </c>
      <c r="AW123" s="21">
        <f>EXP(-LN(2)/2)*AW122+(1-EXP(-LN(2)/2))/(LN(2)/2)*AQ123*AT123*VLOOKUP('Données projet'!$B$10,Paramètres!$A$1:$I$89,3,0)*0.475*44/12</f>
        <v>3.1185917754632211E-13</v>
      </c>
      <c r="AX123" s="21">
        <f t="shared" si="60"/>
        <v>0.70151443376865807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>
        <f>VLOOKUP(A123,'Données projet'!$A$87:$I$107,2,0)</f>
        <v>234</v>
      </c>
      <c r="BB123" s="12">
        <f>VLOOKUP(A123,'Données projet'!$A$87:$I$107,9,0)</f>
        <v>2.8</v>
      </c>
      <c r="BC123" s="12">
        <f t="array" ref="BC123">INDEX(BB:BB,MIN(IF(ISNUMBER(BB123:BB319),ROW(BB123:BB319),"")))</f>
        <v>2.8</v>
      </c>
      <c r="BD123" s="12">
        <f>IF('Données projet'!$A$88&gt;35,BD122+BC123-BL122,IF(A123&lt;'Données projet'!$A$88,$BA$205^A123,IF(A123='Données projet'!$A$88,'Données projet'!$B$88,BD122+BC123-BL122)))</f>
        <v>234.00000000000003</v>
      </c>
      <c r="BE123" s="13">
        <f>BD123*VLOOKUP('Données projet'!$B$11,Paramètres!$A$1:$I$89,3,0)*VLOOKUP('Données projet'!$B$11,Paramètres!$A$1:$I$89,5,0)</f>
        <v>266.47920000000005</v>
      </c>
      <c r="BF123" s="13">
        <f t="shared" si="91"/>
        <v>64.101496824889679</v>
      </c>
      <c r="BG123" s="20">
        <f t="shared" si="61"/>
        <v>575.76138030334971</v>
      </c>
      <c r="BH123" s="59">
        <f t="shared" si="62"/>
        <v>869.09471363668308</v>
      </c>
      <c r="BI123" s="59">
        <f ca="1">AVERAGE(OFFSET($BH$3,0,0,'Données projet'!$E$11+1,1))-AVERAGE(OFFSET($H$3,0,0,'Données projet'!$E$11+1,1))</f>
        <v>249.01678065306629</v>
      </c>
      <c r="BJ123" s="59">
        <f t="shared" si="92"/>
        <v>99.639724892155641</v>
      </c>
      <c r="BK123" s="15">
        <f>IF(ISNA(VLOOKUP(A123,'Données projet'!$A$87:$I$107,3,0)),0,VLOOKUP(A123,'Données projet'!$A$87:$I$107,3,0))</f>
        <v>9</v>
      </c>
      <c r="BL123" s="15">
        <f>IF(ISNA(VLOOKUP(A123,'Données projet'!$A$87:$I$107,4,0)),0,VLOOKUP(A123,'Données projet'!$A$87:$I$107,4,0))</f>
        <v>234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0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>
        <f>BY123*VLOOKUP('Données projet'!$B$12,Paramètres!$A$1:$I$89,3,0)*VLOOKUP('Données projet'!$B$12,Paramètres!$A$1:$I$89,5,0)</f>
        <v>0</v>
      </c>
      <c r="CA123" s="13" t="e">
        <f t="shared" si="93"/>
        <v>#NUM!</v>
      </c>
      <c r="CB123" s="20" t="e">
        <f t="shared" si="64"/>
        <v>#NUM!</v>
      </c>
      <c r="CC123" s="59" t="e">
        <f t="shared" si="65"/>
        <v>#NUM!</v>
      </c>
      <c r="CD123" s="59">
        <f ca="1">AVERAGE(OFFSET($CC$3,0,0,'Données projet'!$E$12+1,1))-AVERAGE(OFFSET($H$3,0,0,'Données projet'!$E$12+1,1))</f>
        <v>0</v>
      </c>
      <c r="CE123" s="59">
        <f t="shared" si="94"/>
        <v>0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0</v>
      </c>
      <c r="CL123" s="21">
        <f>EXP(-LN(2)/25)*CL122+(1-EXP(-LN(2)/25))/(LN(2)/25)*Calculateur!CG123*Calculateur!CI123*VLOOKUP('Données projet'!$B$12,Paramètres!$A$1:$I$89,3,0)*0.475*44/12</f>
        <v>0</v>
      </c>
      <c r="CM123" s="21">
        <f>EXP(-LN(2)/2)*CM122+(1-EXP(-LN(2)/2))/(LN(2)/2)*CG123*CJ123*VLOOKUP('Données projet'!$B$12,Paramètres!$A$1:$I$89,3,0)*0.475*44/12</f>
        <v>0</v>
      </c>
      <c r="CN123" s="22">
        <f t="shared" si="66"/>
        <v>0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>
        <f>CT123*VLOOKUP('Données projet'!$B$13,Paramètres!$A$1:$I$89,3,0)*VLOOKUP('Données projet'!$B$13,Paramètres!$A$1:$I$89,5,0)</f>
        <v>0</v>
      </c>
      <c r="CV123" s="13" t="e">
        <f t="shared" si="95"/>
        <v>#NUM!</v>
      </c>
      <c r="CW123" s="20" t="e">
        <f t="shared" si="67"/>
        <v>#NUM!</v>
      </c>
      <c r="CX123" s="59" t="e">
        <f t="shared" si="68"/>
        <v>#NUM!</v>
      </c>
      <c r="CY123" s="59">
        <f ca="1">AVERAGE(OFFSET($CX$3,0,0,'Données projet'!$E$13+1,1))-AVERAGE(OFFSET($H$3,0,0,'Données projet'!$E$13+1,1))</f>
        <v>0</v>
      </c>
      <c r="CZ123" s="59">
        <f t="shared" si="96"/>
        <v>0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0</v>
      </c>
      <c r="DG123" s="21">
        <f>EXP(-LN(2)/25)*DG122+(1-EXP(-LN(2)/25))/(LN(2)/25)*Calculateur!DB123*Calculateur!DD123*VLOOKUP('Données projet'!$B$13,Paramètres!$A$1:$I$89,3,0)*0.475*44/12</f>
        <v>0</v>
      </c>
      <c r="DH123" s="21">
        <f>EXP(-LN(2)/2)*DH122+(1-EXP(-LN(2)/2))/(LN(2)/2)*DB123*DE123*VLOOKUP('Données projet'!$B$13,Paramètres!$A$1:$I$89,3,0)*0.475*44/12</f>
        <v>0</v>
      </c>
      <c r="DI123" s="22">
        <f t="shared" si="69"/>
        <v>0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-2.2737367544323206E-13</v>
      </c>
      <c r="O124" s="13">
        <f>N124*VLOOKUP('Données projet'!$B$9,Paramètres!$A$1:$I$89,3,0)*VLOOKUP('Données projet'!$B$9,Paramètres!$A$1:$I$89,5,0)</f>
        <v>-1.3596945791505279E-13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181.92766225683107</v>
      </c>
      <c r="T124" s="59">
        <f t="shared" si="88"/>
        <v>370.52917139565756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10.841251531107718</v>
      </c>
      <c r="AA124" s="21">
        <f>EXP(-LN(2)/25)*AA123+(1-EXP(-LN(2)/25))/(LN(2)/25)*Calculateur!V124*Calculateur!X124*VLOOKUP('Données projet'!$B$9,Paramètres!$A$1:$I$89,3,0)*0.475*44/12</f>
        <v>4.7220129566251092</v>
      </c>
      <c r="AB124" s="21">
        <f>EXP(-LN(2)/2)*AB123+(1-EXP(-LN(2)/2))/(LN(2)/2)*V124*Y124*VLOOKUP('Données projet'!$B$9,Paramètres!$A$1:$I$89,3,0)*0.475*44/12</f>
        <v>9.1324710909555135E-12</v>
      </c>
      <c r="AC124" s="22">
        <f t="shared" si="57"/>
        <v>15.563264487741959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5.6843418860808015E-14</v>
      </c>
      <c r="AJ124" s="13">
        <f>AI124*VLOOKUP('Données projet'!$B$10,Paramètres!$A$1:$I$89,3,0)*VLOOKUP('Données projet'!$B$10,Paramètres!$A$1:$I$89,5,0)</f>
        <v>4.6111381379887463E-14</v>
      </c>
      <c r="AK124" s="13">
        <f t="shared" si="89"/>
        <v>7.5804141040779151E-13</v>
      </c>
      <c r="AL124" s="20">
        <f t="shared" si="58"/>
        <v>1.4005661123635408E-12</v>
      </c>
      <c r="AM124" s="59">
        <f t="shared" si="59"/>
        <v>293.33333333333474</v>
      </c>
      <c r="AN124" s="59">
        <f ca="1">AVERAGE(OFFSET($AM$3,0,0,'Données projet'!$E$10+1,1))-AVERAGE(OFFSET($H$3,0,0,'Données projet'!$E$10+1,1))</f>
        <v>235.31102883830971</v>
      </c>
      <c r="AO124" s="59">
        <f t="shared" si="90"/>
        <v>271.48630853790422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</v>
      </c>
      <c r="AV124" s="21">
        <f>EXP(-LN(2)/25)*AV123+(1-EXP(-LN(2)/25))/(LN(2)/25)*Calculateur!AQ124*Calculateur!AS124*VLOOKUP('Données projet'!$B$10,Paramètres!$A$1:$I$89,3,0)*0.475*44/12</f>
        <v>0.68233148468591009</v>
      </c>
      <c r="AW124" s="21">
        <f>EXP(-LN(2)/2)*AW123+(1-EXP(-LN(2)/2))/(LN(2)/2)*AQ124*AT124*VLOOKUP('Données projet'!$B$10,Paramètres!$A$1:$I$89,3,0)*0.475*44/12</f>
        <v>2.2051773921826387E-13</v>
      </c>
      <c r="AX124" s="21">
        <f t="shared" si="60"/>
        <v>0.68233148468613058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2.8421709430404007E-14</v>
      </c>
      <c r="BE124" s="13">
        <f>BD124*VLOOKUP('Données projet'!$B$11,Paramètres!$A$1:$I$89,3,0)*VLOOKUP('Données projet'!$B$11,Paramètres!$A$1:$I$89,5,0)</f>
        <v>3.2366642699344085E-14</v>
      </c>
      <c r="BF124" s="13">
        <f t="shared" si="91"/>
        <v>5.5446527398450045E-13</v>
      </c>
      <c r="BG124" s="20">
        <f t="shared" si="61"/>
        <v>1.0220655882243624E-12</v>
      </c>
      <c r="BH124" s="59">
        <f t="shared" si="62"/>
        <v>293.33333333333434</v>
      </c>
      <c r="BI124" s="59">
        <f ca="1">AVERAGE(OFFSET($BH$3,0,0,'Données projet'!$E$11+1,1))-AVERAGE(OFFSET($H$3,0,0,'Données projet'!$E$11+1,1))</f>
        <v>249.01678065306629</v>
      </c>
      <c r="BJ124" s="59">
        <f t="shared" si="92"/>
        <v>99.639724892155641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0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>
        <f>BY124*VLOOKUP('Données projet'!$B$12,Paramètres!$A$1:$I$89,3,0)*VLOOKUP('Données projet'!$B$12,Paramètres!$A$1:$I$89,5,0)</f>
        <v>0</v>
      </c>
      <c r="CA124" s="13" t="e">
        <f t="shared" si="93"/>
        <v>#NUM!</v>
      </c>
      <c r="CB124" s="20" t="e">
        <f t="shared" si="64"/>
        <v>#NUM!</v>
      </c>
      <c r="CC124" s="59" t="e">
        <f t="shared" si="65"/>
        <v>#NUM!</v>
      </c>
      <c r="CD124" s="59">
        <f ca="1">AVERAGE(OFFSET($CC$3,0,0,'Données projet'!$E$12+1,1))-AVERAGE(OFFSET($H$3,0,0,'Données projet'!$E$12+1,1))</f>
        <v>0</v>
      </c>
      <c r="CE124" s="59">
        <f t="shared" si="94"/>
        <v>0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0</v>
      </c>
      <c r="CL124" s="21">
        <f>EXP(-LN(2)/25)*CL123+(1-EXP(-LN(2)/25))/(LN(2)/25)*Calculateur!CG124*Calculateur!CI124*VLOOKUP('Données projet'!$B$12,Paramètres!$A$1:$I$89,3,0)*0.475*44/12</f>
        <v>0</v>
      </c>
      <c r="CM124" s="21">
        <f>EXP(-LN(2)/2)*CM123+(1-EXP(-LN(2)/2))/(LN(2)/2)*CG124*CJ124*VLOOKUP('Données projet'!$B$12,Paramètres!$A$1:$I$89,3,0)*0.475*44/12</f>
        <v>0</v>
      </c>
      <c r="CN124" s="22">
        <f t="shared" si="66"/>
        <v>0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>
        <f>CT124*VLOOKUP('Données projet'!$B$13,Paramètres!$A$1:$I$89,3,0)*VLOOKUP('Données projet'!$B$13,Paramètres!$A$1:$I$89,5,0)</f>
        <v>0</v>
      </c>
      <c r="CV124" s="13" t="e">
        <f t="shared" si="95"/>
        <v>#NUM!</v>
      </c>
      <c r="CW124" s="20" t="e">
        <f t="shared" si="67"/>
        <v>#NUM!</v>
      </c>
      <c r="CX124" s="59" t="e">
        <f t="shared" si="68"/>
        <v>#NUM!</v>
      </c>
      <c r="CY124" s="59">
        <f ca="1">AVERAGE(OFFSET($CX$3,0,0,'Données projet'!$E$13+1,1))-AVERAGE(OFFSET($H$3,0,0,'Données projet'!$E$13+1,1))</f>
        <v>0</v>
      </c>
      <c r="CZ124" s="59">
        <f t="shared" si="96"/>
        <v>0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0</v>
      </c>
      <c r="DG124" s="21">
        <f>EXP(-LN(2)/25)*DG123+(1-EXP(-LN(2)/25))/(LN(2)/25)*Calculateur!DB124*Calculateur!DD124*VLOOKUP('Données projet'!$B$13,Paramètres!$A$1:$I$89,3,0)*0.475*44/12</f>
        <v>0</v>
      </c>
      <c r="DH124" s="21">
        <f>EXP(-LN(2)/2)*DH123+(1-EXP(-LN(2)/2))/(LN(2)/2)*DB124*DE124*VLOOKUP('Données projet'!$B$13,Paramètres!$A$1:$I$89,3,0)*0.475*44/12</f>
        <v>0</v>
      </c>
      <c r="DI124" s="22">
        <f t="shared" si="69"/>
        <v>0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-2.2737367544323206E-13</v>
      </c>
      <c r="O125" s="13">
        <f>N125*VLOOKUP('Données projet'!$B$9,Paramètres!$A$1:$I$89,3,0)*VLOOKUP('Données projet'!$B$9,Paramètres!$A$1:$I$89,5,0)</f>
        <v>-1.3596945791505279E-13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181.92766225683107</v>
      </c>
      <c r="T125" s="59">
        <f t="shared" si="88"/>
        <v>370.52917139565756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10.628661201093198</v>
      </c>
      <c r="AA125" s="21">
        <f>EXP(-LN(2)/25)*AA124+(1-EXP(-LN(2)/25))/(LN(2)/25)*Calculateur!V125*Calculateur!X125*VLOOKUP('Données projet'!$B$9,Paramètres!$A$1:$I$89,3,0)*0.475*44/12</f>
        <v>4.5928892640063266</v>
      </c>
      <c r="AB125" s="21">
        <f>EXP(-LN(2)/2)*AB124+(1-EXP(-LN(2)/2))/(LN(2)/2)*V125*Y125*VLOOKUP('Données projet'!$B$9,Paramètres!$A$1:$I$89,3,0)*0.475*44/12</f>
        <v>6.4576322374047513E-12</v>
      </c>
      <c r="AC125" s="22">
        <f t="shared" si="57"/>
        <v>15.221550465105983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5.6843418860808015E-14</v>
      </c>
      <c r="AJ125" s="13">
        <f>AI125*VLOOKUP('Données projet'!$B$10,Paramètres!$A$1:$I$89,3,0)*VLOOKUP('Données projet'!$B$10,Paramètres!$A$1:$I$89,5,0)</f>
        <v>4.6111381379887463E-14</v>
      </c>
      <c r="AK125" s="13">
        <f t="shared" si="89"/>
        <v>7.5804141040779151E-13</v>
      </c>
      <c r="AL125" s="20">
        <f t="shared" si="58"/>
        <v>1.4005661123635408E-12</v>
      </c>
      <c r="AM125" s="59">
        <f t="shared" si="59"/>
        <v>293.33333333333474</v>
      </c>
      <c r="AN125" s="59">
        <f ca="1">AVERAGE(OFFSET($AM$3,0,0,'Données projet'!$E$10+1,1))-AVERAGE(OFFSET($H$3,0,0,'Données projet'!$E$10+1,1))</f>
        <v>235.31102883830971</v>
      </c>
      <c r="AO125" s="59">
        <f t="shared" si="90"/>
        <v>271.48630853790422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</v>
      </c>
      <c r="AV125" s="21">
        <f>EXP(-LN(2)/25)*AV124+(1-EXP(-LN(2)/25))/(LN(2)/25)*Calculateur!AQ125*Calculateur!AS125*VLOOKUP('Données projet'!$B$10,Paramètres!$A$1:$I$89,3,0)*0.475*44/12</f>
        <v>0.66367309435492061</v>
      </c>
      <c r="AW125" s="21">
        <f>EXP(-LN(2)/2)*AW124+(1-EXP(-LN(2)/2))/(LN(2)/2)*AQ125*AT125*VLOOKUP('Données projet'!$B$10,Paramètres!$A$1:$I$89,3,0)*0.475*44/12</f>
        <v>1.5592958877316106E-13</v>
      </c>
      <c r="AX125" s="21">
        <f t="shared" si="60"/>
        <v>0.66367309435507649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2.8421709430404007E-14</v>
      </c>
      <c r="BE125" s="13">
        <f>BD125*VLOOKUP('Données projet'!$B$11,Paramètres!$A$1:$I$89,3,0)*VLOOKUP('Données projet'!$B$11,Paramètres!$A$1:$I$89,5,0)</f>
        <v>3.2366642699344085E-14</v>
      </c>
      <c r="BF125" s="13">
        <f t="shared" si="91"/>
        <v>5.5446527398450045E-13</v>
      </c>
      <c r="BG125" s="20">
        <f t="shared" si="61"/>
        <v>1.0220655882243624E-12</v>
      </c>
      <c r="BH125" s="59">
        <f t="shared" si="62"/>
        <v>293.33333333333434</v>
      </c>
      <c r="BI125" s="59">
        <f ca="1">AVERAGE(OFFSET($BH$3,0,0,'Données projet'!$E$11+1,1))-AVERAGE(OFFSET($H$3,0,0,'Données projet'!$E$11+1,1))</f>
        <v>249.01678065306629</v>
      </c>
      <c r="BJ125" s="59">
        <f t="shared" si="92"/>
        <v>99.639724892155641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0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>
        <f>BY125*VLOOKUP('Données projet'!$B$12,Paramètres!$A$1:$I$89,3,0)*VLOOKUP('Données projet'!$B$12,Paramètres!$A$1:$I$89,5,0)</f>
        <v>0</v>
      </c>
      <c r="CA125" s="13" t="e">
        <f t="shared" si="93"/>
        <v>#NUM!</v>
      </c>
      <c r="CB125" s="20" t="e">
        <f t="shared" si="64"/>
        <v>#NUM!</v>
      </c>
      <c r="CC125" s="59" t="e">
        <f t="shared" si="65"/>
        <v>#NUM!</v>
      </c>
      <c r="CD125" s="59">
        <f ca="1">AVERAGE(OFFSET($CC$3,0,0,'Données projet'!$E$12+1,1))-AVERAGE(OFFSET($H$3,0,0,'Données projet'!$E$12+1,1))</f>
        <v>0</v>
      </c>
      <c r="CE125" s="59">
        <f t="shared" si="94"/>
        <v>0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0</v>
      </c>
      <c r="CL125" s="21">
        <f>EXP(-LN(2)/25)*CL124+(1-EXP(-LN(2)/25))/(LN(2)/25)*Calculateur!CG125*Calculateur!CI125*VLOOKUP('Données projet'!$B$12,Paramètres!$A$1:$I$89,3,0)*0.475*44/12</f>
        <v>0</v>
      </c>
      <c r="CM125" s="21">
        <f>EXP(-LN(2)/2)*CM124+(1-EXP(-LN(2)/2))/(LN(2)/2)*CG125*CJ125*VLOOKUP('Données projet'!$B$12,Paramètres!$A$1:$I$89,3,0)*0.475*44/12</f>
        <v>0</v>
      </c>
      <c r="CN125" s="22">
        <f t="shared" si="66"/>
        <v>0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>
        <f>CT125*VLOOKUP('Données projet'!$B$13,Paramètres!$A$1:$I$89,3,0)*VLOOKUP('Données projet'!$B$13,Paramètres!$A$1:$I$89,5,0)</f>
        <v>0</v>
      </c>
      <c r="CV125" s="13" t="e">
        <f t="shared" si="95"/>
        <v>#NUM!</v>
      </c>
      <c r="CW125" s="20" t="e">
        <f t="shared" si="67"/>
        <v>#NUM!</v>
      </c>
      <c r="CX125" s="59" t="e">
        <f t="shared" si="68"/>
        <v>#NUM!</v>
      </c>
      <c r="CY125" s="59">
        <f ca="1">AVERAGE(OFFSET($CX$3,0,0,'Données projet'!$E$13+1,1))-AVERAGE(OFFSET($H$3,0,0,'Données projet'!$E$13+1,1))</f>
        <v>0</v>
      </c>
      <c r="CZ125" s="59">
        <f t="shared" si="96"/>
        <v>0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0</v>
      </c>
      <c r="DG125" s="21">
        <f>EXP(-LN(2)/25)*DG124+(1-EXP(-LN(2)/25))/(LN(2)/25)*Calculateur!DB125*Calculateur!DD125*VLOOKUP('Données projet'!$B$13,Paramètres!$A$1:$I$89,3,0)*0.475*44/12</f>
        <v>0</v>
      </c>
      <c r="DH125" s="21">
        <f>EXP(-LN(2)/2)*DH124+(1-EXP(-LN(2)/2))/(LN(2)/2)*DB125*DE125*VLOOKUP('Données projet'!$B$13,Paramètres!$A$1:$I$89,3,0)*0.475*44/12</f>
        <v>0</v>
      </c>
      <c r="DI125" s="22">
        <f t="shared" si="69"/>
        <v>0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-2.2737367544323206E-13</v>
      </c>
      <c r="O126" s="13">
        <f>N126*VLOOKUP('Données projet'!$B$9,Paramètres!$A$1:$I$89,3,0)*VLOOKUP('Données projet'!$B$9,Paramètres!$A$1:$I$89,5,0)</f>
        <v>-1.3596945791505279E-13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181.92766225683107</v>
      </c>
      <c r="T126" s="59">
        <f t="shared" si="88"/>
        <v>370.52917139565756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10.420239637782966</v>
      </c>
      <c r="AA126" s="21">
        <f>EXP(-LN(2)/25)*AA125+(1-EXP(-LN(2)/25))/(LN(2)/25)*Calculateur!V126*Calculateur!X126*VLOOKUP('Données projet'!$B$9,Paramètres!$A$1:$I$89,3,0)*0.475*44/12</f>
        <v>4.4672964655525247</v>
      </c>
      <c r="AB126" s="21">
        <f>EXP(-LN(2)/2)*AB125+(1-EXP(-LN(2)/2))/(LN(2)/2)*V126*Y126*VLOOKUP('Données projet'!$B$9,Paramètres!$A$1:$I$89,3,0)*0.475*44/12</f>
        <v>4.5662355454777567E-12</v>
      </c>
      <c r="AC126" s="22">
        <f t="shared" si="57"/>
        <v>14.887536103340059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5.6843418860808015E-14</v>
      </c>
      <c r="AJ126" s="13">
        <f>AI126*VLOOKUP('Données projet'!$B$10,Paramètres!$A$1:$I$89,3,0)*VLOOKUP('Données projet'!$B$10,Paramètres!$A$1:$I$89,5,0)</f>
        <v>4.6111381379887463E-14</v>
      </c>
      <c r="AK126" s="13">
        <f t="shared" si="89"/>
        <v>7.5804141040779151E-13</v>
      </c>
      <c r="AL126" s="20">
        <f t="shared" si="58"/>
        <v>1.4005661123635408E-12</v>
      </c>
      <c r="AM126" s="59">
        <f t="shared" si="59"/>
        <v>293.33333333333474</v>
      </c>
      <c r="AN126" s="59">
        <f ca="1">AVERAGE(OFFSET($AM$3,0,0,'Données projet'!$E$10+1,1))-AVERAGE(OFFSET($H$3,0,0,'Données projet'!$E$10+1,1))</f>
        <v>235.31102883830971</v>
      </c>
      <c r="AO126" s="59">
        <f t="shared" si="90"/>
        <v>271.48630853790422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</v>
      </c>
      <c r="AV126" s="21">
        <f>EXP(-LN(2)/25)*AV125+(1-EXP(-LN(2)/25))/(LN(2)/25)*Calculateur!AQ126*Calculateur!AS126*VLOOKUP('Données projet'!$B$10,Paramètres!$A$1:$I$89,3,0)*0.475*44/12</f>
        <v>0.64552491868873407</v>
      </c>
      <c r="AW126" s="21">
        <f>EXP(-LN(2)/2)*AW125+(1-EXP(-LN(2)/2))/(LN(2)/2)*AQ126*AT126*VLOOKUP('Données projet'!$B$10,Paramètres!$A$1:$I$89,3,0)*0.475*44/12</f>
        <v>1.1025886960913193E-13</v>
      </c>
      <c r="AX126" s="21">
        <f t="shared" si="60"/>
        <v>0.64552491868884432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2.8421709430404007E-14</v>
      </c>
      <c r="BE126" s="13">
        <f>BD126*VLOOKUP('Données projet'!$B$11,Paramètres!$A$1:$I$89,3,0)*VLOOKUP('Données projet'!$B$11,Paramètres!$A$1:$I$89,5,0)</f>
        <v>3.2366642699344085E-14</v>
      </c>
      <c r="BF126" s="13">
        <f t="shared" si="91"/>
        <v>5.5446527398450045E-13</v>
      </c>
      <c r="BG126" s="20">
        <f t="shared" si="61"/>
        <v>1.0220655882243624E-12</v>
      </c>
      <c r="BH126" s="59">
        <f t="shared" si="62"/>
        <v>293.33333333333434</v>
      </c>
      <c r="BI126" s="59">
        <f ca="1">AVERAGE(OFFSET($BH$3,0,0,'Données projet'!$E$11+1,1))-AVERAGE(OFFSET($H$3,0,0,'Données projet'!$E$11+1,1))</f>
        <v>249.01678065306629</v>
      </c>
      <c r="BJ126" s="59">
        <f t="shared" si="92"/>
        <v>99.639724892155641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0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>
        <f>BY126*VLOOKUP('Données projet'!$B$12,Paramètres!$A$1:$I$89,3,0)*VLOOKUP('Données projet'!$B$12,Paramètres!$A$1:$I$89,5,0)</f>
        <v>0</v>
      </c>
      <c r="CA126" s="13" t="e">
        <f t="shared" si="93"/>
        <v>#NUM!</v>
      </c>
      <c r="CB126" s="20" t="e">
        <f t="shared" si="64"/>
        <v>#NUM!</v>
      </c>
      <c r="CC126" s="59" t="e">
        <f t="shared" si="65"/>
        <v>#NUM!</v>
      </c>
      <c r="CD126" s="59">
        <f ca="1">AVERAGE(OFFSET($CC$3,0,0,'Données projet'!$E$12+1,1))-AVERAGE(OFFSET($H$3,0,0,'Données projet'!$E$12+1,1))</f>
        <v>0</v>
      </c>
      <c r="CE126" s="59">
        <f t="shared" si="94"/>
        <v>0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0</v>
      </c>
      <c r="CL126" s="21">
        <f>EXP(-LN(2)/25)*CL125+(1-EXP(-LN(2)/25))/(LN(2)/25)*Calculateur!CG126*Calculateur!CI126*VLOOKUP('Données projet'!$B$12,Paramètres!$A$1:$I$89,3,0)*0.475*44/12</f>
        <v>0</v>
      </c>
      <c r="CM126" s="21">
        <f>EXP(-LN(2)/2)*CM125+(1-EXP(-LN(2)/2))/(LN(2)/2)*CG126*CJ126*VLOOKUP('Données projet'!$B$12,Paramètres!$A$1:$I$89,3,0)*0.475*44/12</f>
        <v>0</v>
      </c>
      <c r="CN126" s="22">
        <f t="shared" si="66"/>
        <v>0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>
        <f>CT126*VLOOKUP('Données projet'!$B$13,Paramètres!$A$1:$I$89,3,0)*VLOOKUP('Données projet'!$B$13,Paramètres!$A$1:$I$89,5,0)</f>
        <v>0</v>
      </c>
      <c r="CV126" s="13" t="e">
        <f t="shared" si="95"/>
        <v>#NUM!</v>
      </c>
      <c r="CW126" s="20" t="e">
        <f t="shared" si="67"/>
        <v>#NUM!</v>
      </c>
      <c r="CX126" s="59" t="e">
        <f t="shared" si="68"/>
        <v>#NUM!</v>
      </c>
      <c r="CY126" s="59">
        <f ca="1">AVERAGE(OFFSET($CX$3,0,0,'Données projet'!$E$13+1,1))-AVERAGE(OFFSET($H$3,0,0,'Données projet'!$E$13+1,1))</f>
        <v>0</v>
      </c>
      <c r="CZ126" s="59">
        <f t="shared" si="96"/>
        <v>0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0</v>
      </c>
      <c r="DG126" s="21">
        <f>EXP(-LN(2)/25)*DG125+(1-EXP(-LN(2)/25))/(LN(2)/25)*Calculateur!DB126*Calculateur!DD126*VLOOKUP('Données projet'!$B$13,Paramètres!$A$1:$I$89,3,0)*0.475*44/12</f>
        <v>0</v>
      </c>
      <c r="DH126" s="21">
        <f>EXP(-LN(2)/2)*DH125+(1-EXP(-LN(2)/2))/(LN(2)/2)*DB126*DE126*VLOOKUP('Données projet'!$B$13,Paramètres!$A$1:$I$89,3,0)*0.475*44/12</f>
        <v>0</v>
      </c>
      <c r="DI126" s="22">
        <f t="shared" si="69"/>
        <v>0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-2.2737367544323206E-13</v>
      </c>
      <c r="O127" s="13">
        <f>N127*VLOOKUP('Données projet'!$B$9,Paramètres!$A$1:$I$89,3,0)*VLOOKUP('Données projet'!$B$9,Paramètres!$A$1:$I$89,5,0)</f>
        <v>-1.3596945791505279E-13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181.92766225683107</v>
      </c>
      <c r="T127" s="59">
        <f t="shared" si="88"/>
        <v>370.52917139565756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10.215905094204647</v>
      </c>
      <c r="AA127" s="21">
        <f>EXP(-LN(2)/25)*AA126+(1-EXP(-LN(2)/25))/(LN(2)/25)*Calculateur!V127*Calculateur!X127*VLOOKUP('Données projet'!$B$9,Paramètres!$A$1:$I$89,3,0)*0.475*44/12</f>
        <v>4.3451380087770799</v>
      </c>
      <c r="AB127" s="21">
        <f>EXP(-LN(2)/2)*AB126+(1-EXP(-LN(2)/2))/(LN(2)/2)*V127*Y127*VLOOKUP('Données projet'!$B$9,Paramètres!$A$1:$I$89,3,0)*0.475*44/12</f>
        <v>3.2288161187023757E-12</v>
      </c>
      <c r="AC127" s="22">
        <f t="shared" si="57"/>
        <v>14.561043102984957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5.6843418860808015E-14</v>
      </c>
      <c r="AJ127" s="13">
        <f>AI127*VLOOKUP('Données projet'!$B$10,Paramètres!$A$1:$I$89,3,0)*VLOOKUP('Données projet'!$B$10,Paramètres!$A$1:$I$89,5,0)</f>
        <v>4.6111381379887463E-14</v>
      </c>
      <c r="AK127" s="13">
        <f t="shared" si="89"/>
        <v>7.5804141040779151E-13</v>
      </c>
      <c r="AL127" s="20">
        <f t="shared" si="58"/>
        <v>1.4005661123635408E-12</v>
      </c>
      <c r="AM127" s="59">
        <f t="shared" si="59"/>
        <v>293.33333333333474</v>
      </c>
      <c r="AN127" s="59">
        <f ca="1">AVERAGE(OFFSET($AM$3,0,0,'Données projet'!$E$10+1,1))-AVERAGE(OFFSET($H$3,0,0,'Données projet'!$E$10+1,1))</f>
        <v>235.31102883830971</v>
      </c>
      <c r="AO127" s="59">
        <f t="shared" si="90"/>
        <v>271.48630853790422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</v>
      </c>
      <c r="AV127" s="21">
        <f>EXP(-LN(2)/25)*AV126+(1-EXP(-LN(2)/25))/(LN(2)/25)*Calculateur!AQ127*Calculateur!AS127*VLOOKUP('Données projet'!$B$10,Paramètres!$A$1:$I$89,3,0)*0.475*44/12</f>
        <v>0.62787300584051053</v>
      </c>
      <c r="AW127" s="21">
        <f>EXP(-LN(2)/2)*AW126+(1-EXP(-LN(2)/2))/(LN(2)/2)*AQ127*AT127*VLOOKUP('Données projet'!$B$10,Paramètres!$A$1:$I$89,3,0)*0.475*44/12</f>
        <v>7.7964794386580528E-14</v>
      </c>
      <c r="AX127" s="21">
        <f t="shared" si="60"/>
        <v>0.62787300584058847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2.8421709430404007E-14</v>
      </c>
      <c r="BE127" s="13">
        <f>BD127*VLOOKUP('Données projet'!$B$11,Paramètres!$A$1:$I$89,3,0)*VLOOKUP('Données projet'!$B$11,Paramètres!$A$1:$I$89,5,0)</f>
        <v>3.2366642699344085E-14</v>
      </c>
      <c r="BF127" s="13">
        <f t="shared" si="91"/>
        <v>5.5446527398450045E-13</v>
      </c>
      <c r="BG127" s="20">
        <f t="shared" si="61"/>
        <v>1.0220655882243624E-12</v>
      </c>
      <c r="BH127" s="59">
        <f t="shared" si="62"/>
        <v>293.33333333333434</v>
      </c>
      <c r="BI127" s="59">
        <f ca="1">AVERAGE(OFFSET($BH$3,0,0,'Données projet'!$E$11+1,1))-AVERAGE(OFFSET($H$3,0,0,'Données projet'!$E$11+1,1))</f>
        <v>249.01678065306629</v>
      </c>
      <c r="BJ127" s="59">
        <f t="shared" si="92"/>
        <v>99.639724892155641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0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>
        <f>BY127*VLOOKUP('Données projet'!$B$12,Paramètres!$A$1:$I$89,3,0)*VLOOKUP('Données projet'!$B$12,Paramètres!$A$1:$I$89,5,0)</f>
        <v>0</v>
      </c>
      <c r="CA127" s="13" t="e">
        <f t="shared" si="93"/>
        <v>#NUM!</v>
      </c>
      <c r="CB127" s="20" t="e">
        <f t="shared" si="64"/>
        <v>#NUM!</v>
      </c>
      <c r="CC127" s="59" t="e">
        <f t="shared" si="65"/>
        <v>#NUM!</v>
      </c>
      <c r="CD127" s="59">
        <f ca="1">AVERAGE(OFFSET($CC$3,0,0,'Données projet'!$E$12+1,1))-AVERAGE(OFFSET($H$3,0,0,'Données projet'!$E$12+1,1))</f>
        <v>0</v>
      </c>
      <c r="CE127" s="59">
        <f t="shared" si="94"/>
        <v>0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0</v>
      </c>
      <c r="CL127" s="21">
        <f>EXP(-LN(2)/25)*CL126+(1-EXP(-LN(2)/25))/(LN(2)/25)*Calculateur!CG127*Calculateur!CI127*VLOOKUP('Données projet'!$B$12,Paramètres!$A$1:$I$89,3,0)*0.475*44/12</f>
        <v>0</v>
      </c>
      <c r="CM127" s="21">
        <f>EXP(-LN(2)/2)*CM126+(1-EXP(-LN(2)/2))/(LN(2)/2)*CG127*CJ127*VLOOKUP('Données projet'!$B$12,Paramètres!$A$1:$I$89,3,0)*0.475*44/12</f>
        <v>0</v>
      </c>
      <c r="CN127" s="22">
        <f t="shared" si="66"/>
        <v>0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>
        <f>CT127*VLOOKUP('Données projet'!$B$13,Paramètres!$A$1:$I$89,3,0)*VLOOKUP('Données projet'!$B$13,Paramètres!$A$1:$I$89,5,0)</f>
        <v>0</v>
      </c>
      <c r="CV127" s="13" t="e">
        <f t="shared" si="95"/>
        <v>#NUM!</v>
      </c>
      <c r="CW127" s="20" t="e">
        <f t="shared" si="67"/>
        <v>#NUM!</v>
      </c>
      <c r="CX127" s="59" t="e">
        <f t="shared" si="68"/>
        <v>#NUM!</v>
      </c>
      <c r="CY127" s="59">
        <f ca="1">AVERAGE(OFFSET($CX$3,0,0,'Données projet'!$E$13+1,1))-AVERAGE(OFFSET($H$3,0,0,'Données projet'!$E$13+1,1))</f>
        <v>0</v>
      </c>
      <c r="CZ127" s="59">
        <f t="shared" si="96"/>
        <v>0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0</v>
      </c>
      <c r="DG127" s="21">
        <f>EXP(-LN(2)/25)*DG126+(1-EXP(-LN(2)/25))/(LN(2)/25)*Calculateur!DB127*Calculateur!DD127*VLOOKUP('Données projet'!$B$13,Paramètres!$A$1:$I$89,3,0)*0.475*44/12</f>
        <v>0</v>
      </c>
      <c r="DH127" s="21">
        <f>EXP(-LN(2)/2)*DH126+(1-EXP(-LN(2)/2))/(LN(2)/2)*DB127*DE127*VLOOKUP('Données projet'!$B$13,Paramètres!$A$1:$I$89,3,0)*0.475*44/12</f>
        <v>0</v>
      </c>
      <c r="DI127" s="22">
        <f t="shared" si="69"/>
        <v>0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-2.2737367544323206E-13</v>
      </c>
      <c r="O128" s="13">
        <f>N128*VLOOKUP('Données projet'!$B$9,Paramètres!$A$1:$I$89,3,0)*VLOOKUP('Données projet'!$B$9,Paramètres!$A$1:$I$89,5,0)</f>
        <v>-1.3596945791505279E-13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181.92766225683107</v>
      </c>
      <c r="T128" s="59">
        <f t="shared" si="88"/>
        <v>370.52917139565756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10.015577426394133</v>
      </c>
      <c r="AA128" s="21">
        <f>EXP(-LN(2)/25)*AA127+(1-EXP(-LN(2)/25))/(LN(2)/25)*Calculateur!V128*Calculateur!X128*VLOOKUP('Données projet'!$B$9,Paramètres!$A$1:$I$89,3,0)*0.475*44/12</f>
        <v>4.2263199814261938</v>
      </c>
      <c r="AB128" s="21">
        <f>EXP(-LN(2)/2)*AB127+(1-EXP(-LN(2)/2))/(LN(2)/2)*V128*Y128*VLOOKUP('Données projet'!$B$9,Paramètres!$A$1:$I$89,3,0)*0.475*44/12</f>
        <v>2.2831177727388784E-12</v>
      </c>
      <c r="AC128" s="22">
        <f t="shared" si="57"/>
        <v>14.241897407822609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5.6843418860808015E-14</v>
      </c>
      <c r="AJ128" s="13">
        <f>AI128*VLOOKUP('Données projet'!$B$10,Paramètres!$A$1:$I$89,3,0)*VLOOKUP('Données projet'!$B$10,Paramètres!$A$1:$I$89,5,0)</f>
        <v>4.6111381379887463E-14</v>
      </c>
      <c r="AK128" s="13">
        <f t="shared" si="89"/>
        <v>7.5804141040779151E-13</v>
      </c>
      <c r="AL128" s="20">
        <f t="shared" si="58"/>
        <v>1.4005661123635408E-12</v>
      </c>
      <c r="AM128" s="59">
        <f t="shared" si="59"/>
        <v>293.33333333333474</v>
      </c>
      <c r="AN128" s="59">
        <f ca="1">AVERAGE(OFFSET($AM$3,0,0,'Données projet'!$E$10+1,1))-AVERAGE(OFFSET($H$3,0,0,'Données projet'!$E$10+1,1))</f>
        <v>235.31102883830971</v>
      </c>
      <c r="AO128" s="59">
        <f t="shared" si="90"/>
        <v>271.48630853790422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</v>
      </c>
      <c r="AV128" s="21">
        <f>EXP(-LN(2)/25)*AV127+(1-EXP(-LN(2)/25))/(LN(2)/25)*Calculateur!AQ128*Calculateur!AS128*VLOOKUP('Données projet'!$B$10,Paramètres!$A$1:$I$89,3,0)*0.475*44/12</f>
        <v>0.61070378547739546</v>
      </c>
      <c r="AW128" s="21">
        <f>EXP(-LN(2)/2)*AW127+(1-EXP(-LN(2)/2))/(LN(2)/2)*AQ128*AT128*VLOOKUP('Données projet'!$B$10,Paramètres!$A$1:$I$89,3,0)*0.475*44/12</f>
        <v>5.5129434804565966E-14</v>
      </c>
      <c r="AX128" s="21">
        <f t="shared" si="60"/>
        <v>0.61070378547745063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2.8421709430404007E-14</v>
      </c>
      <c r="BE128" s="13">
        <f>BD128*VLOOKUP('Données projet'!$B$11,Paramètres!$A$1:$I$89,3,0)*VLOOKUP('Données projet'!$B$11,Paramètres!$A$1:$I$89,5,0)</f>
        <v>3.2366642699344085E-14</v>
      </c>
      <c r="BF128" s="13">
        <f t="shared" si="91"/>
        <v>5.5446527398450045E-13</v>
      </c>
      <c r="BG128" s="20">
        <f t="shared" si="61"/>
        <v>1.0220655882243624E-12</v>
      </c>
      <c r="BH128" s="59">
        <f t="shared" si="62"/>
        <v>293.33333333333434</v>
      </c>
      <c r="BI128" s="59">
        <f ca="1">AVERAGE(OFFSET($BH$3,0,0,'Données projet'!$E$11+1,1))-AVERAGE(OFFSET($H$3,0,0,'Données projet'!$E$11+1,1))</f>
        <v>249.01678065306629</v>
      </c>
      <c r="BJ128" s="59">
        <f t="shared" si="92"/>
        <v>99.639724892155641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0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>
        <f>BY128*VLOOKUP('Données projet'!$B$12,Paramètres!$A$1:$I$89,3,0)*VLOOKUP('Données projet'!$B$12,Paramètres!$A$1:$I$89,5,0)</f>
        <v>0</v>
      </c>
      <c r="CA128" s="13" t="e">
        <f t="shared" si="93"/>
        <v>#NUM!</v>
      </c>
      <c r="CB128" s="20" t="e">
        <f t="shared" si="64"/>
        <v>#NUM!</v>
      </c>
      <c r="CC128" s="59" t="e">
        <f t="shared" si="65"/>
        <v>#NUM!</v>
      </c>
      <c r="CD128" s="59">
        <f ca="1">AVERAGE(OFFSET($CC$3,0,0,'Données projet'!$E$12+1,1))-AVERAGE(OFFSET($H$3,0,0,'Données projet'!$E$12+1,1))</f>
        <v>0</v>
      </c>
      <c r="CE128" s="59">
        <f t="shared" si="94"/>
        <v>0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0</v>
      </c>
      <c r="CL128" s="21">
        <f>EXP(-LN(2)/25)*CL127+(1-EXP(-LN(2)/25))/(LN(2)/25)*Calculateur!CG128*Calculateur!CI128*VLOOKUP('Données projet'!$B$12,Paramètres!$A$1:$I$89,3,0)*0.475*44/12</f>
        <v>0</v>
      </c>
      <c r="CM128" s="21">
        <f>EXP(-LN(2)/2)*CM127+(1-EXP(-LN(2)/2))/(LN(2)/2)*CG128*CJ128*VLOOKUP('Données projet'!$B$12,Paramètres!$A$1:$I$89,3,0)*0.475*44/12</f>
        <v>0</v>
      </c>
      <c r="CN128" s="22">
        <f t="shared" si="66"/>
        <v>0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>
        <f>CT128*VLOOKUP('Données projet'!$B$13,Paramètres!$A$1:$I$89,3,0)*VLOOKUP('Données projet'!$B$13,Paramètres!$A$1:$I$89,5,0)</f>
        <v>0</v>
      </c>
      <c r="CV128" s="13" t="e">
        <f t="shared" si="95"/>
        <v>#NUM!</v>
      </c>
      <c r="CW128" s="20" t="e">
        <f t="shared" si="67"/>
        <v>#NUM!</v>
      </c>
      <c r="CX128" s="59" t="e">
        <f t="shared" si="68"/>
        <v>#NUM!</v>
      </c>
      <c r="CY128" s="59">
        <f ca="1">AVERAGE(OFFSET($CX$3,0,0,'Données projet'!$E$13+1,1))-AVERAGE(OFFSET($H$3,0,0,'Données projet'!$E$13+1,1))</f>
        <v>0</v>
      </c>
      <c r="CZ128" s="59">
        <f t="shared" si="96"/>
        <v>0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0</v>
      </c>
      <c r="DG128" s="21">
        <f>EXP(-LN(2)/25)*DG127+(1-EXP(-LN(2)/25))/(LN(2)/25)*Calculateur!DB128*Calculateur!DD128*VLOOKUP('Données projet'!$B$13,Paramètres!$A$1:$I$89,3,0)*0.475*44/12</f>
        <v>0</v>
      </c>
      <c r="DH128" s="21">
        <f>EXP(-LN(2)/2)*DH127+(1-EXP(-LN(2)/2))/(LN(2)/2)*DB128*DE128*VLOOKUP('Données projet'!$B$13,Paramètres!$A$1:$I$89,3,0)*0.475*44/12</f>
        <v>0</v>
      </c>
      <c r="DI128" s="22">
        <f t="shared" si="69"/>
        <v>0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-2.2737367544323206E-13</v>
      </c>
      <c r="O129" s="13">
        <f>N129*VLOOKUP('Données projet'!$B$9,Paramètres!$A$1:$I$89,3,0)*VLOOKUP('Données projet'!$B$9,Paramètres!$A$1:$I$89,5,0)</f>
        <v>-1.3596945791505279E-13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181.92766225683107</v>
      </c>
      <c r="T129" s="59">
        <f t="shared" si="88"/>
        <v>370.52917139565756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9.8191780619615709</v>
      </c>
      <c r="AA129" s="21">
        <f>EXP(-LN(2)/25)*AA128+(1-EXP(-LN(2)/25))/(LN(2)/25)*Calculateur!V129*Calculateur!X129*VLOOKUP('Données projet'!$B$9,Paramètres!$A$1:$I$89,3,0)*0.475*44/12</f>
        <v>4.1107510392815865</v>
      </c>
      <c r="AB129" s="21">
        <f>EXP(-LN(2)/2)*AB128+(1-EXP(-LN(2)/2))/(LN(2)/2)*V129*Y129*VLOOKUP('Données projet'!$B$9,Paramètres!$A$1:$I$89,3,0)*0.475*44/12</f>
        <v>1.6144080593511878E-12</v>
      </c>
      <c r="AC129" s="22">
        <f t="shared" si="57"/>
        <v>13.929929101244772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5.6843418860808015E-14</v>
      </c>
      <c r="AJ129" s="13">
        <f>AI129*VLOOKUP('Données projet'!$B$10,Paramètres!$A$1:$I$89,3,0)*VLOOKUP('Données projet'!$B$10,Paramètres!$A$1:$I$89,5,0)</f>
        <v>4.6111381379887463E-14</v>
      </c>
      <c r="AK129" s="13">
        <f t="shared" si="89"/>
        <v>7.5804141040779151E-13</v>
      </c>
      <c r="AL129" s="20">
        <f t="shared" si="58"/>
        <v>1.4005661123635408E-12</v>
      </c>
      <c r="AM129" s="59">
        <f t="shared" si="59"/>
        <v>293.33333333333474</v>
      </c>
      <c r="AN129" s="59">
        <f ca="1">AVERAGE(OFFSET($AM$3,0,0,'Données projet'!$E$10+1,1))-AVERAGE(OFFSET($H$3,0,0,'Données projet'!$E$10+1,1))</f>
        <v>235.31102883830971</v>
      </c>
      <c r="AO129" s="59">
        <f t="shared" si="90"/>
        <v>271.48630853790422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</v>
      </c>
      <c r="AV129" s="21">
        <f>EXP(-LN(2)/25)*AV128+(1-EXP(-LN(2)/25))/(LN(2)/25)*Calculateur!AQ129*Calculateur!AS129*VLOOKUP('Données projet'!$B$10,Paramètres!$A$1:$I$89,3,0)*0.475*44/12</f>
        <v>0.59400405834799974</v>
      </c>
      <c r="AW129" s="21">
        <f>EXP(-LN(2)/2)*AW128+(1-EXP(-LN(2)/2))/(LN(2)/2)*AQ129*AT129*VLOOKUP('Données projet'!$B$10,Paramètres!$A$1:$I$89,3,0)*0.475*44/12</f>
        <v>3.8982397193290264E-14</v>
      </c>
      <c r="AX129" s="21">
        <f t="shared" si="60"/>
        <v>0.59400405834803871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2.8421709430404007E-14</v>
      </c>
      <c r="BE129" s="13">
        <f>BD129*VLOOKUP('Données projet'!$B$11,Paramètres!$A$1:$I$89,3,0)*VLOOKUP('Données projet'!$B$11,Paramètres!$A$1:$I$89,5,0)</f>
        <v>3.2366642699344085E-14</v>
      </c>
      <c r="BF129" s="13">
        <f t="shared" si="91"/>
        <v>5.5446527398450045E-13</v>
      </c>
      <c r="BG129" s="20">
        <f t="shared" si="61"/>
        <v>1.0220655882243624E-12</v>
      </c>
      <c r="BH129" s="59">
        <f t="shared" si="62"/>
        <v>293.33333333333434</v>
      </c>
      <c r="BI129" s="59">
        <f ca="1">AVERAGE(OFFSET($BH$3,0,0,'Données projet'!$E$11+1,1))-AVERAGE(OFFSET($H$3,0,0,'Données projet'!$E$11+1,1))</f>
        <v>249.01678065306629</v>
      </c>
      <c r="BJ129" s="59">
        <f t="shared" si="92"/>
        <v>99.639724892155641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0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>
        <f>BY129*VLOOKUP('Données projet'!$B$12,Paramètres!$A$1:$I$89,3,0)*VLOOKUP('Données projet'!$B$12,Paramètres!$A$1:$I$89,5,0)</f>
        <v>0</v>
      </c>
      <c r="CA129" s="13" t="e">
        <f t="shared" si="93"/>
        <v>#NUM!</v>
      </c>
      <c r="CB129" s="20" t="e">
        <f t="shared" si="64"/>
        <v>#NUM!</v>
      </c>
      <c r="CC129" s="59" t="e">
        <f t="shared" si="65"/>
        <v>#NUM!</v>
      </c>
      <c r="CD129" s="59">
        <f ca="1">AVERAGE(OFFSET($CC$3,0,0,'Données projet'!$E$12+1,1))-AVERAGE(OFFSET($H$3,0,0,'Données projet'!$E$12+1,1))</f>
        <v>0</v>
      </c>
      <c r="CE129" s="59">
        <f t="shared" si="94"/>
        <v>0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0</v>
      </c>
      <c r="CL129" s="21">
        <f>EXP(-LN(2)/25)*CL128+(1-EXP(-LN(2)/25))/(LN(2)/25)*Calculateur!CG129*Calculateur!CI129*VLOOKUP('Données projet'!$B$12,Paramètres!$A$1:$I$89,3,0)*0.475*44/12</f>
        <v>0</v>
      </c>
      <c r="CM129" s="21">
        <f>EXP(-LN(2)/2)*CM128+(1-EXP(-LN(2)/2))/(LN(2)/2)*CG129*CJ129*VLOOKUP('Données projet'!$B$12,Paramètres!$A$1:$I$89,3,0)*0.475*44/12</f>
        <v>0</v>
      </c>
      <c r="CN129" s="22">
        <f t="shared" si="66"/>
        <v>0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>
        <f>CT129*VLOOKUP('Données projet'!$B$13,Paramètres!$A$1:$I$89,3,0)*VLOOKUP('Données projet'!$B$13,Paramètres!$A$1:$I$89,5,0)</f>
        <v>0</v>
      </c>
      <c r="CV129" s="13" t="e">
        <f t="shared" si="95"/>
        <v>#NUM!</v>
      </c>
      <c r="CW129" s="20" t="e">
        <f t="shared" si="67"/>
        <v>#NUM!</v>
      </c>
      <c r="CX129" s="59" t="e">
        <f t="shared" si="68"/>
        <v>#NUM!</v>
      </c>
      <c r="CY129" s="59">
        <f ca="1">AVERAGE(OFFSET($CX$3,0,0,'Données projet'!$E$13+1,1))-AVERAGE(OFFSET($H$3,0,0,'Données projet'!$E$13+1,1))</f>
        <v>0</v>
      </c>
      <c r="CZ129" s="59">
        <f t="shared" si="96"/>
        <v>0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0</v>
      </c>
      <c r="DG129" s="21">
        <f>EXP(-LN(2)/25)*DG128+(1-EXP(-LN(2)/25))/(LN(2)/25)*Calculateur!DB129*Calculateur!DD129*VLOOKUP('Données projet'!$B$13,Paramètres!$A$1:$I$89,3,0)*0.475*44/12</f>
        <v>0</v>
      </c>
      <c r="DH129" s="21">
        <f>EXP(-LN(2)/2)*DH128+(1-EXP(-LN(2)/2))/(LN(2)/2)*DB129*DE129*VLOOKUP('Données projet'!$B$13,Paramètres!$A$1:$I$89,3,0)*0.475*44/12</f>
        <v>0</v>
      </c>
      <c r="DI129" s="22">
        <f t="shared" si="69"/>
        <v>0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-2.2737367544323206E-13</v>
      </c>
      <c r="O130" s="13">
        <f>N130*VLOOKUP('Données projet'!$B$9,Paramètres!$A$1:$I$89,3,0)*VLOOKUP('Données projet'!$B$9,Paramètres!$A$1:$I$89,5,0)</f>
        <v>-1.3596945791505279E-13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181.92766225683107</v>
      </c>
      <c r="T130" s="59">
        <f t="shared" si="88"/>
        <v>370.52917139565756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9.6266299692737469</v>
      </c>
      <c r="AA130" s="21">
        <f>EXP(-LN(2)/25)*AA129+(1-EXP(-LN(2)/25))/(LN(2)/25)*Calculateur!V130*Calculateur!X130*VLOOKUP('Données projet'!$B$9,Paramètres!$A$1:$I$89,3,0)*0.475*44/12</f>
        <v>3.9983423359374295</v>
      </c>
      <c r="AB130" s="21">
        <f>EXP(-LN(2)/2)*AB129+(1-EXP(-LN(2)/2))/(LN(2)/2)*V130*Y130*VLOOKUP('Données projet'!$B$9,Paramètres!$A$1:$I$89,3,0)*0.475*44/12</f>
        <v>1.1415588863694392E-12</v>
      </c>
      <c r="AC130" s="22">
        <f t="shared" si="57"/>
        <v>13.624972305212319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5.6843418860808015E-14</v>
      </c>
      <c r="AJ130" s="13">
        <f>AI130*VLOOKUP('Données projet'!$B$10,Paramètres!$A$1:$I$89,3,0)*VLOOKUP('Données projet'!$B$10,Paramètres!$A$1:$I$89,5,0)</f>
        <v>4.6111381379887463E-14</v>
      </c>
      <c r="AK130" s="13">
        <f t="shared" si="89"/>
        <v>7.5804141040779151E-13</v>
      </c>
      <c r="AL130" s="20">
        <f t="shared" si="58"/>
        <v>1.4005661123635408E-12</v>
      </c>
      <c r="AM130" s="59">
        <f t="shared" si="59"/>
        <v>293.33333333333474</v>
      </c>
      <c r="AN130" s="59">
        <f ca="1">AVERAGE(OFFSET($AM$3,0,0,'Données projet'!$E$10+1,1))-AVERAGE(OFFSET($H$3,0,0,'Données projet'!$E$10+1,1))</f>
        <v>235.31102883830971</v>
      </c>
      <c r="AO130" s="59">
        <f t="shared" si="90"/>
        <v>271.48630853790422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</v>
      </c>
      <c r="AV130" s="21">
        <f>EXP(-LN(2)/25)*AV129+(1-EXP(-LN(2)/25))/(LN(2)/25)*Calculateur!AQ130*Calculateur!AS130*VLOOKUP('Données projet'!$B$10,Paramètres!$A$1:$I$89,3,0)*0.475*44/12</f>
        <v>0.57776098613515792</v>
      </c>
      <c r="AW130" s="21">
        <f>EXP(-LN(2)/2)*AW129+(1-EXP(-LN(2)/2))/(LN(2)/2)*AQ130*AT130*VLOOKUP('Données projet'!$B$10,Paramètres!$A$1:$I$89,3,0)*0.475*44/12</f>
        <v>2.7564717402282983E-14</v>
      </c>
      <c r="AX130" s="21">
        <f t="shared" si="60"/>
        <v>0.57776098613518545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2.8421709430404007E-14</v>
      </c>
      <c r="BE130" s="13">
        <f>BD130*VLOOKUP('Données projet'!$B$11,Paramètres!$A$1:$I$89,3,0)*VLOOKUP('Données projet'!$B$11,Paramètres!$A$1:$I$89,5,0)</f>
        <v>3.2366642699344085E-14</v>
      </c>
      <c r="BF130" s="13">
        <f t="shared" si="91"/>
        <v>5.5446527398450045E-13</v>
      </c>
      <c r="BG130" s="20">
        <f t="shared" si="61"/>
        <v>1.0220655882243624E-12</v>
      </c>
      <c r="BH130" s="59">
        <f t="shared" si="62"/>
        <v>293.33333333333434</v>
      </c>
      <c r="BI130" s="59">
        <f ca="1">AVERAGE(OFFSET($BH$3,0,0,'Données projet'!$E$11+1,1))-AVERAGE(OFFSET($H$3,0,0,'Données projet'!$E$11+1,1))</f>
        <v>249.01678065306629</v>
      </c>
      <c r="BJ130" s="59">
        <f t="shared" si="92"/>
        <v>99.639724892155641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0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>
        <f>BY130*VLOOKUP('Données projet'!$B$12,Paramètres!$A$1:$I$89,3,0)*VLOOKUP('Données projet'!$B$12,Paramètres!$A$1:$I$89,5,0)</f>
        <v>0</v>
      </c>
      <c r="CA130" s="13" t="e">
        <f t="shared" si="93"/>
        <v>#NUM!</v>
      </c>
      <c r="CB130" s="20" t="e">
        <f t="shared" si="64"/>
        <v>#NUM!</v>
      </c>
      <c r="CC130" s="59" t="e">
        <f t="shared" si="65"/>
        <v>#NUM!</v>
      </c>
      <c r="CD130" s="59">
        <f ca="1">AVERAGE(OFFSET($CC$3,0,0,'Données projet'!$E$12+1,1))-AVERAGE(OFFSET($H$3,0,0,'Données projet'!$E$12+1,1))</f>
        <v>0</v>
      </c>
      <c r="CE130" s="59">
        <f t="shared" si="94"/>
        <v>0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0</v>
      </c>
      <c r="CL130" s="21">
        <f>EXP(-LN(2)/25)*CL129+(1-EXP(-LN(2)/25))/(LN(2)/25)*Calculateur!CG130*Calculateur!CI130*VLOOKUP('Données projet'!$B$12,Paramètres!$A$1:$I$89,3,0)*0.475*44/12</f>
        <v>0</v>
      </c>
      <c r="CM130" s="21">
        <f>EXP(-LN(2)/2)*CM129+(1-EXP(-LN(2)/2))/(LN(2)/2)*CG130*CJ130*VLOOKUP('Données projet'!$B$12,Paramètres!$A$1:$I$89,3,0)*0.475*44/12</f>
        <v>0</v>
      </c>
      <c r="CN130" s="22">
        <f t="shared" si="66"/>
        <v>0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>
        <f>CT130*VLOOKUP('Données projet'!$B$13,Paramètres!$A$1:$I$89,3,0)*VLOOKUP('Données projet'!$B$13,Paramètres!$A$1:$I$89,5,0)</f>
        <v>0</v>
      </c>
      <c r="CV130" s="13" t="e">
        <f t="shared" si="95"/>
        <v>#NUM!</v>
      </c>
      <c r="CW130" s="20" t="e">
        <f t="shared" si="67"/>
        <v>#NUM!</v>
      </c>
      <c r="CX130" s="59" t="e">
        <f t="shared" si="68"/>
        <v>#NUM!</v>
      </c>
      <c r="CY130" s="59">
        <f ca="1">AVERAGE(OFFSET($CX$3,0,0,'Données projet'!$E$13+1,1))-AVERAGE(OFFSET($H$3,0,0,'Données projet'!$E$13+1,1))</f>
        <v>0</v>
      </c>
      <c r="CZ130" s="59">
        <f t="shared" si="96"/>
        <v>0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0</v>
      </c>
      <c r="DG130" s="21">
        <f>EXP(-LN(2)/25)*DG129+(1-EXP(-LN(2)/25))/(LN(2)/25)*Calculateur!DB130*Calculateur!DD130*VLOOKUP('Données projet'!$B$13,Paramètres!$A$1:$I$89,3,0)*0.475*44/12</f>
        <v>0</v>
      </c>
      <c r="DH130" s="21">
        <f>EXP(-LN(2)/2)*DH129+(1-EXP(-LN(2)/2))/(LN(2)/2)*DB130*DE130*VLOOKUP('Données projet'!$B$13,Paramètres!$A$1:$I$89,3,0)*0.475*44/12</f>
        <v>0</v>
      </c>
      <c r="DI130" s="22">
        <f t="shared" si="69"/>
        <v>0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-2.2737367544323206E-13</v>
      </c>
      <c r="O131" s="13">
        <f>N131*VLOOKUP('Données projet'!$B$9,Paramètres!$A$1:$I$89,3,0)*VLOOKUP('Données projet'!$B$9,Paramètres!$A$1:$I$89,5,0)</f>
        <v>-1.3596945791505279E-13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181.92766225683107</v>
      </c>
      <c r="T131" s="59">
        <f t="shared" si="88"/>
        <v>370.52917139565756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9.4378576272407919</v>
      </c>
      <c r="AA131" s="21">
        <f>EXP(-LN(2)/25)*AA130+(1-EXP(-LN(2)/25))/(LN(2)/25)*Calculateur!V131*Calculateur!X131*VLOOKUP('Données projet'!$B$9,Paramètres!$A$1:$I$89,3,0)*0.475*44/12</f>
        <v>3.8890074544975355</v>
      </c>
      <c r="AB131" s="21">
        <f>EXP(-LN(2)/2)*AB130+(1-EXP(-LN(2)/2))/(LN(2)/2)*V131*Y131*VLOOKUP('Données projet'!$B$9,Paramètres!$A$1:$I$89,3,0)*0.475*44/12</f>
        <v>8.0720402967559392E-13</v>
      </c>
      <c r="AC131" s="22">
        <f t="shared" si="57"/>
        <v>13.326865081739134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5.6843418860808015E-14</v>
      </c>
      <c r="AJ131" s="13">
        <f>AI131*VLOOKUP('Données projet'!$B$10,Paramètres!$A$1:$I$89,3,0)*VLOOKUP('Données projet'!$B$10,Paramètres!$A$1:$I$89,5,0)</f>
        <v>4.6111381379887463E-14</v>
      </c>
      <c r="AK131" s="13">
        <f t="shared" si="89"/>
        <v>7.5804141040779151E-13</v>
      </c>
      <c r="AL131" s="20">
        <f t="shared" si="58"/>
        <v>1.4005661123635408E-12</v>
      </c>
      <c r="AM131" s="59">
        <f t="shared" si="59"/>
        <v>293.33333333333474</v>
      </c>
      <c r="AN131" s="59">
        <f ca="1">AVERAGE(OFFSET($AM$3,0,0,'Données projet'!$E$10+1,1))-AVERAGE(OFFSET($H$3,0,0,'Données projet'!$E$10+1,1))</f>
        <v>235.31102883830971</v>
      </c>
      <c r="AO131" s="59">
        <f t="shared" si="90"/>
        <v>271.48630853790422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</v>
      </c>
      <c r="AV131" s="21">
        <f>EXP(-LN(2)/25)*AV130+(1-EXP(-LN(2)/25))/(LN(2)/25)*Calculateur!AQ131*Calculateur!AS131*VLOOKUP('Données projet'!$B$10,Paramètres!$A$1:$I$89,3,0)*0.475*44/12</f>
        <v>0.56196208158616223</v>
      </c>
      <c r="AW131" s="21">
        <f>EXP(-LN(2)/2)*AW130+(1-EXP(-LN(2)/2))/(LN(2)/2)*AQ131*AT131*VLOOKUP('Données projet'!$B$10,Paramètres!$A$1:$I$89,3,0)*0.475*44/12</f>
        <v>1.9491198596645132E-14</v>
      </c>
      <c r="AX131" s="21">
        <f t="shared" si="60"/>
        <v>0.56196208158618177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2.8421709430404007E-14</v>
      </c>
      <c r="BE131" s="13">
        <f>BD131*VLOOKUP('Données projet'!$B$11,Paramètres!$A$1:$I$89,3,0)*VLOOKUP('Données projet'!$B$11,Paramètres!$A$1:$I$89,5,0)</f>
        <v>3.2366642699344085E-14</v>
      </c>
      <c r="BF131" s="13">
        <f t="shared" si="91"/>
        <v>5.5446527398450045E-13</v>
      </c>
      <c r="BG131" s="20">
        <f t="shared" si="61"/>
        <v>1.0220655882243624E-12</v>
      </c>
      <c r="BH131" s="59">
        <f t="shared" si="62"/>
        <v>293.33333333333434</v>
      </c>
      <c r="BI131" s="59">
        <f ca="1">AVERAGE(OFFSET($BH$3,0,0,'Données projet'!$E$11+1,1))-AVERAGE(OFFSET($H$3,0,0,'Données projet'!$E$11+1,1))</f>
        <v>249.01678065306629</v>
      </c>
      <c r="BJ131" s="59">
        <f t="shared" si="92"/>
        <v>99.639724892155641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0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>
        <f>BY131*VLOOKUP('Données projet'!$B$12,Paramètres!$A$1:$I$89,3,0)*VLOOKUP('Données projet'!$B$12,Paramètres!$A$1:$I$89,5,0)</f>
        <v>0</v>
      </c>
      <c r="CA131" s="13" t="e">
        <f t="shared" si="93"/>
        <v>#NUM!</v>
      </c>
      <c r="CB131" s="20" t="e">
        <f t="shared" si="64"/>
        <v>#NUM!</v>
      </c>
      <c r="CC131" s="59" t="e">
        <f t="shared" si="65"/>
        <v>#NUM!</v>
      </c>
      <c r="CD131" s="59">
        <f ca="1">AVERAGE(OFFSET($CC$3,0,0,'Données projet'!$E$12+1,1))-AVERAGE(OFFSET($H$3,0,0,'Données projet'!$E$12+1,1))</f>
        <v>0</v>
      </c>
      <c r="CE131" s="59">
        <f t="shared" si="94"/>
        <v>0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0</v>
      </c>
      <c r="CL131" s="21">
        <f>EXP(-LN(2)/25)*CL130+(1-EXP(-LN(2)/25))/(LN(2)/25)*Calculateur!CG131*Calculateur!CI131*VLOOKUP('Données projet'!$B$12,Paramètres!$A$1:$I$89,3,0)*0.475*44/12</f>
        <v>0</v>
      </c>
      <c r="CM131" s="21">
        <f>EXP(-LN(2)/2)*CM130+(1-EXP(-LN(2)/2))/(LN(2)/2)*CG131*CJ131*VLOOKUP('Données projet'!$B$12,Paramètres!$A$1:$I$89,3,0)*0.475*44/12</f>
        <v>0</v>
      </c>
      <c r="CN131" s="22">
        <f t="shared" si="66"/>
        <v>0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>
        <f>CT131*VLOOKUP('Données projet'!$B$13,Paramètres!$A$1:$I$89,3,0)*VLOOKUP('Données projet'!$B$13,Paramètres!$A$1:$I$89,5,0)</f>
        <v>0</v>
      </c>
      <c r="CV131" s="13" t="e">
        <f t="shared" si="95"/>
        <v>#NUM!</v>
      </c>
      <c r="CW131" s="20" t="e">
        <f t="shared" si="67"/>
        <v>#NUM!</v>
      </c>
      <c r="CX131" s="59" t="e">
        <f t="shared" si="68"/>
        <v>#NUM!</v>
      </c>
      <c r="CY131" s="59">
        <f ca="1">AVERAGE(OFFSET($CX$3,0,0,'Données projet'!$E$13+1,1))-AVERAGE(OFFSET($H$3,0,0,'Données projet'!$E$13+1,1))</f>
        <v>0</v>
      </c>
      <c r="CZ131" s="59">
        <f t="shared" si="96"/>
        <v>0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0</v>
      </c>
      <c r="DG131" s="21">
        <f>EXP(-LN(2)/25)*DG130+(1-EXP(-LN(2)/25))/(LN(2)/25)*Calculateur!DB131*Calculateur!DD131*VLOOKUP('Données projet'!$B$13,Paramètres!$A$1:$I$89,3,0)*0.475*44/12</f>
        <v>0</v>
      </c>
      <c r="DH131" s="21">
        <f>EXP(-LN(2)/2)*DH130+(1-EXP(-LN(2)/2))/(LN(2)/2)*DB131*DE131*VLOOKUP('Données projet'!$B$13,Paramètres!$A$1:$I$89,3,0)*0.475*44/12</f>
        <v>0</v>
      </c>
      <c r="DI131" s="22">
        <f t="shared" si="69"/>
        <v>0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-2.2737367544323206E-13</v>
      </c>
      <c r="O132" s="13">
        <f>N132*VLOOKUP('Données projet'!$B$9,Paramètres!$A$1:$I$89,3,0)*VLOOKUP('Données projet'!$B$9,Paramètres!$A$1:$I$89,5,0)</f>
        <v>-1.3596945791505279E-13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181.92766225683107</v>
      </c>
      <c r="T132" s="59">
        <f t="shared" si="88"/>
        <v>370.52917139565756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9.2527869956953435</v>
      </c>
      <c r="AA132" s="21">
        <f>EXP(-LN(2)/25)*AA131+(1-EXP(-LN(2)/25))/(LN(2)/25)*Calculateur!V132*Calculateur!X132*VLOOKUP('Données projet'!$B$9,Paramètres!$A$1:$I$89,3,0)*0.475*44/12</f>
        <v>3.7826623411402869</v>
      </c>
      <c r="AB132" s="21">
        <f>EXP(-LN(2)/2)*AB131+(1-EXP(-LN(2)/2))/(LN(2)/2)*V132*Y132*VLOOKUP('Données projet'!$B$9,Paramètres!$A$1:$I$89,3,0)*0.475*44/12</f>
        <v>5.7077944318471959E-13</v>
      </c>
      <c r="AC132" s="22">
        <f t="shared" ref="AC132:AC153" si="111">SUM(Z132:AB132)</f>
        <v>13.0354493368362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5.6843418860808015E-14</v>
      </c>
      <c r="AJ132" s="13">
        <f>AI132*VLOOKUP('Données projet'!$B$10,Paramètres!$A$1:$I$89,3,0)*VLOOKUP('Données projet'!$B$10,Paramètres!$A$1:$I$89,5,0)</f>
        <v>4.6111381379887463E-14</v>
      </c>
      <c r="AK132" s="13">
        <f t="shared" si="89"/>
        <v>7.5804141040779151E-13</v>
      </c>
      <c r="AL132" s="20">
        <f t="shared" ref="AL132:AL153" si="112">(AJ132+AK132)*0.475*44/12</f>
        <v>1.4005661123635408E-12</v>
      </c>
      <c r="AM132" s="59">
        <f t="shared" ref="AM132:AM195" si="113">AL132+(AD132+AE132)*44/12</f>
        <v>293.33333333333474</v>
      </c>
      <c r="AN132" s="59">
        <f ca="1">AVERAGE(OFFSET($AM$3,0,0,'Données projet'!$E$10+1,1))-AVERAGE(OFFSET($H$3,0,0,'Données projet'!$E$10+1,1))</f>
        <v>235.31102883830971</v>
      </c>
      <c r="AO132" s="59">
        <f t="shared" si="90"/>
        <v>271.48630853790422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</v>
      </c>
      <c r="AV132" s="21">
        <f>EXP(-LN(2)/25)*AV131+(1-EXP(-LN(2)/25))/(LN(2)/25)*Calculateur!AQ132*Calculateur!AS132*VLOOKUP('Données projet'!$B$10,Paramètres!$A$1:$I$89,3,0)*0.475*44/12</f>
        <v>0.5465951989128871</v>
      </c>
      <c r="AW132" s="21">
        <f>EXP(-LN(2)/2)*AW131+(1-EXP(-LN(2)/2))/(LN(2)/2)*AQ132*AT132*VLOOKUP('Données projet'!$B$10,Paramètres!$A$1:$I$89,3,0)*0.475*44/12</f>
        <v>1.3782358701141492E-14</v>
      </c>
      <c r="AX132" s="21">
        <f t="shared" ref="AX132:AX153" si="114">SUM(AU132:AW132)</f>
        <v>0.54659519891290087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2.8421709430404007E-14</v>
      </c>
      <c r="BE132" s="13">
        <f>BD132*VLOOKUP('Données projet'!$B$11,Paramètres!$A$1:$I$89,3,0)*VLOOKUP('Données projet'!$B$11,Paramètres!$A$1:$I$89,5,0)</f>
        <v>3.2366642699344085E-14</v>
      </c>
      <c r="BF132" s="13">
        <f t="shared" si="91"/>
        <v>5.5446527398450045E-13</v>
      </c>
      <c r="BG132" s="20">
        <f t="shared" ref="BG132:BG153" si="115">(BE132+BF132)*0.475*44/12</f>
        <v>1.0220655882243624E-12</v>
      </c>
      <c r="BH132" s="59">
        <f t="shared" ref="BH132:BH195" si="116">BG132+(AY132+AZ132)*44/12</f>
        <v>293.33333333333434</v>
      </c>
      <c r="BI132" s="59">
        <f ca="1">AVERAGE(OFFSET($BH$3,0,0,'Données projet'!$E$11+1,1))-AVERAGE(OFFSET($H$3,0,0,'Données projet'!$E$11+1,1))</f>
        <v>249.01678065306629</v>
      </c>
      <c r="BJ132" s="59">
        <f t="shared" si="92"/>
        <v>99.639724892155641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0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>
        <f>BY132*VLOOKUP('Données projet'!$B$12,Paramètres!$A$1:$I$89,3,0)*VLOOKUP('Données projet'!$B$12,Paramètres!$A$1:$I$89,5,0)</f>
        <v>0</v>
      </c>
      <c r="CA132" s="13" t="e">
        <f t="shared" si="93"/>
        <v>#NUM!</v>
      </c>
      <c r="CB132" s="20" t="e">
        <f t="shared" ref="CB132:CB153" si="118">(BZ132+CA132)*0.475*44/12</f>
        <v>#NUM!</v>
      </c>
      <c r="CC132" s="59" t="e">
        <f t="shared" ref="CC132:CC195" si="119">CB132+(BT132+BU132)*44/12</f>
        <v>#NUM!</v>
      </c>
      <c r="CD132" s="59">
        <f ca="1">AVERAGE(OFFSET($CC$3,0,0,'Données projet'!$E$12+1,1))-AVERAGE(OFFSET($H$3,0,0,'Données projet'!$E$12+1,1))</f>
        <v>0</v>
      </c>
      <c r="CE132" s="59">
        <f t="shared" si="94"/>
        <v>0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0</v>
      </c>
      <c r="CL132" s="21">
        <f>EXP(-LN(2)/25)*CL131+(1-EXP(-LN(2)/25))/(LN(2)/25)*Calculateur!CG132*Calculateur!CI132*VLOOKUP('Données projet'!$B$12,Paramètres!$A$1:$I$89,3,0)*0.475*44/12</f>
        <v>0</v>
      </c>
      <c r="CM132" s="21">
        <f>EXP(-LN(2)/2)*CM131+(1-EXP(-LN(2)/2))/(LN(2)/2)*CG132*CJ132*VLOOKUP('Données projet'!$B$12,Paramètres!$A$1:$I$89,3,0)*0.475*44/12</f>
        <v>0</v>
      </c>
      <c r="CN132" s="22">
        <f t="shared" ref="CN132:CN153" si="120">SUM(CK132:CM132)</f>
        <v>0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>
        <f>CT132*VLOOKUP('Données projet'!$B$13,Paramètres!$A$1:$I$89,3,0)*VLOOKUP('Données projet'!$B$13,Paramètres!$A$1:$I$89,5,0)</f>
        <v>0</v>
      </c>
      <c r="CV132" s="13" t="e">
        <f t="shared" si="95"/>
        <v>#NUM!</v>
      </c>
      <c r="CW132" s="20" t="e">
        <f t="shared" ref="CW132:CW153" si="121">(CU132+CV132)*0.475*44/12</f>
        <v>#NUM!</v>
      </c>
      <c r="CX132" s="59" t="e">
        <f t="shared" ref="CX132:CX195" si="122">CW132+(CO132+CP132)*44/12</f>
        <v>#NUM!</v>
      </c>
      <c r="CY132" s="59">
        <f ca="1">AVERAGE(OFFSET($CX$3,0,0,'Données projet'!$E$13+1,1))-AVERAGE(OFFSET($H$3,0,0,'Données projet'!$E$13+1,1))</f>
        <v>0</v>
      </c>
      <c r="CZ132" s="59">
        <f t="shared" si="96"/>
        <v>0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0</v>
      </c>
      <c r="DG132" s="21">
        <f>EXP(-LN(2)/25)*DG131+(1-EXP(-LN(2)/25))/(LN(2)/25)*Calculateur!DB132*Calculateur!DD132*VLOOKUP('Données projet'!$B$13,Paramètres!$A$1:$I$89,3,0)*0.475*44/12</f>
        <v>0</v>
      </c>
      <c r="DH132" s="21">
        <f>EXP(-LN(2)/2)*DH131+(1-EXP(-LN(2)/2))/(LN(2)/2)*DB132*DE132*VLOOKUP('Données projet'!$B$13,Paramètres!$A$1:$I$89,3,0)*0.475*44/12</f>
        <v>0</v>
      </c>
      <c r="DI132" s="22">
        <f t="shared" ref="DI132:DI153" si="123">SUM(DF132:DH132)</f>
        <v>0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-2.2737367544323206E-13</v>
      </c>
      <c r="O133" s="13">
        <f>N133*VLOOKUP('Données projet'!$B$9,Paramètres!$A$1:$I$89,3,0)*VLOOKUP('Données projet'!$B$9,Paramètres!$A$1:$I$89,5,0)</f>
        <v>-1.3596945791505279E-13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181.92766225683107</v>
      </c>
      <c r="T133" s="59">
        <f t="shared" ref="T133:T196" si="142">$T$3</f>
        <v>370.52917139565756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9.0713454863525609</v>
      </c>
      <c r="AA133" s="21">
        <f>EXP(-LN(2)/25)*AA132+(1-EXP(-LN(2)/25))/(LN(2)/25)*Calculateur!V133*Calculateur!X133*VLOOKUP('Données projet'!$B$9,Paramètres!$A$1:$I$89,3,0)*0.475*44/12</f>
        <v>3.6792252405002386</v>
      </c>
      <c r="AB133" s="21">
        <f>EXP(-LN(2)/2)*AB132+(1-EXP(-LN(2)/2))/(LN(2)/2)*V133*Y133*VLOOKUP('Données projet'!$B$9,Paramètres!$A$1:$I$89,3,0)*0.475*44/12</f>
        <v>4.0360201483779696E-13</v>
      </c>
      <c r="AC133" s="22">
        <f t="shared" si="111"/>
        <v>12.750570726853203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5.6843418860808015E-14</v>
      </c>
      <c r="AJ133" s="13">
        <f>AI133*VLOOKUP('Données projet'!$B$10,Paramètres!$A$1:$I$89,3,0)*VLOOKUP('Données projet'!$B$10,Paramètres!$A$1:$I$89,5,0)</f>
        <v>4.6111381379887463E-14</v>
      </c>
      <c r="AK133" s="13">
        <f t="shared" ref="AK133:AK153" si="143">EXP(-1.0587+0.8836*LN(AJ133)+0.284)</f>
        <v>7.5804141040779151E-13</v>
      </c>
      <c r="AL133" s="20">
        <f t="shared" si="112"/>
        <v>1.4005661123635408E-12</v>
      </c>
      <c r="AM133" s="59">
        <f t="shared" si="113"/>
        <v>293.33333333333474</v>
      </c>
      <c r="AN133" s="59">
        <f ca="1">AVERAGE(OFFSET($AM$3,0,0,'Données projet'!$E$10+1,1))-AVERAGE(OFFSET($H$3,0,0,'Données projet'!$E$10+1,1))</f>
        <v>235.31102883830971</v>
      </c>
      <c r="AO133" s="59">
        <f t="shared" ref="AO133:AO196" si="144">$AO$3</f>
        <v>271.48630853790422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</v>
      </c>
      <c r="AV133" s="21">
        <f>EXP(-LN(2)/25)*AV132+(1-EXP(-LN(2)/25))/(LN(2)/25)*Calculateur!AQ133*Calculateur!AS133*VLOOKUP('Données projet'!$B$10,Paramètres!$A$1:$I$89,3,0)*0.475*44/12</f>
        <v>0.5316485244544219</v>
      </c>
      <c r="AW133" s="21">
        <f>EXP(-LN(2)/2)*AW132+(1-EXP(-LN(2)/2))/(LN(2)/2)*AQ133*AT133*VLOOKUP('Données projet'!$B$10,Paramètres!$A$1:$I$89,3,0)*0.475*44/12</f>
        <v>9.7455992983225659E-15</v>
      </c>
      <c r="AX133" s="21">
        <f t="shared" si="114"/>
        <v>0.53164852445443167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2.8421709430404007E-14</v>
      </c>
      <c r="BE133" s="13">
        <f>BD133*VLOOKUP('Données projet'!$B$11,Paramètres!$A$1:$I$89,3,0)*VLOOKUP('Données projet'!$B$11,Paramètres!$A$1:$I$89,5,0)</f>
        <v>3.2366642699344085E-14</v>
      </c>
      <c r="BF133" s="13">
        <f t="shared" ref="BF133:BF153" si="145">EXP(-1.0587+0.8836*LN(BE133)+0.284)</f>
        <v>5.5446527398450045E-13</v>
      </c>
      <c r="BG133" s="20">
        <f t="shared" si="115"/>
        <v>1.0220655882243624E-12</v>
      </c>
      <c r="BH133" s="59">
        <f t="shared" si="116"/>
        <v>293.33333333333434</v>
      </c>
      <c r="BI133" s="59">
        <f ca="1">AVERAGE(OFFSET($BH$3,0,0,'Données projet'!$E$11+1,1))-AVERAGE(OFFSET($H$3,0,0,'Données projet'!$E$11+1,1))</f>
        <v>249.01678065306629</v>
      </c>
      <c r="BJ133" s="59">
        <f t="shared" ref="BJ133:BJ196" si="146">$BJ$3</f>
        <v>99.639724892155641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0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>
        <f>BY133*VLOOKUP('Données projet'!$B$12,Paramètres!$A$1:$I$89,3,0)*VLOOKUP('Données projet'!$B$12,Paramètres!$A$1:$I$89,5,0)</f>
        <v>0</v>
      </c>
      <c r="CA133" s="13" t="e">
        <f t="shared" ref="CA133:CA153" si="147">EXP(-1.0587+0.8836*LN(BZ133)+0.284)</f>
        <v>#NUM!</v>
      </c>
      <c r="CB133" s="20" t="e">
        <f t="shared" si="118"/>
        <v>#NUM!</v>
      </c>
      <c r="CC133" s="59" t="e">
        <f t="shared" si="119"/>
        <v>#NUM!</v>
      </c>
      <c r="CD133" s="59">
        <f ca="1">AVERAGE(OFFSET($CC$3,0,0,'Données projet'!$E$12+1,1))-AVERAGE(OFFSET($H$3,0,0,'Données projet'!$E$12+1,1))</f>
        <v>0</v>
      </c>
      <c r="CE133" s="59">
        <f t="shared" ref="CE133:CE196" si="148">$CE$3</f>
        <v>0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0</v>
      </c>
      <c r="CL133" s="21">
        <f>EXP(-LN(2)/25)*CL132+(1-EXP(-LN(2)/25))/(LN(2)/25)*Calculateur!CG133*Calculateur!CI133*VLOOKUP('Données projet'!$B$12,Paramètres!$A$1:$I$89,3,0)*0.475*44/12</f>
        <v>0</v>
      </c>
      <c r="CM133" s="21">
        <f>EXP(-LN(2)/2)*CM132+(1-EXP(-LN(2)/2))/(LN(2)/2)*CG133*CJ133*VLOOKUP('Données projet'!$B$12,Paramètres!$A$1:$I$89,3,0)*0.475*44/12</f>
        <v>0</v>
      </c>
      <c r="CN133" s="22">
        <f t="shared" si="120"/>
        <v>0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>
        <f>CT133*VLOOKUP('Données projet'!$B$13,Paramètres!$A$1:$I$89,3,0)*VLOOKUP('Données projet'!$B$13,Paramètres!$A$1:$I$89,5,0)</f>
        <v>0</v>
      </c>
      <c r="CV133" s="13" t="e">
        <f t="shared" ref="CV133:CV153" si="149">EXP(-1.0587+0.8836*LN(CU133)+0.284)</f>
        <v>#NUM!</v>
      </c>
      <c r="CW133" s="20" t="e">
        <f t="shared" si="121"/>
        <v>#NUM!</v>
      </c>
      <c r="CX133" s="59" t="e">
        <f t="shared" si="122"/>
        <v>#NUM!</v>
      </c>
      <c r="CY133" s="59">
        <f ca="1">AVERAGE(OFFSET($CX$3,0,0,'Données projet'!$E$13+1,1))-AVERAGE(OFFSET($H$3,0,0,'Données projet'!$E$13+1,1))</f>
        <v>0</v>
      </c>
      <c r="CZ133" s="59">
        <f t="shared" ref="CZ133:CZ196" si="150">$CZ$3</f>
        <v>0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0</v>
      </c>
      <c r="DG133" s="21">
        <f>EXP(-LN(2)/25)*DG132+(1-EXP(-LN(2)/25))/(LN(2)/25)*Calculateur!DB133*Calculateur!DD133*VLOOKUP('Données projet'!$B$13,Paramètres!$A$1:$I$89,3,0)*0.475*44/12</f>
        <v>0</v>
      </c>
      <c r="DH133" s="21">
        <f>EXP(-LN(2)/2)*DH132+(1-EXP(-LN(2)/2))/(LN(2)/2)*DB133*DE133*VLOOKUP('Données projet'!$B$13,Paramètres!$A$1:$I$89,3,0)*0.475*44/12</f>
        <v>0</v>
      </c>
      <c r="DI133" s="22">
        <f t="shared" si="123"/>
        <v>0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-2.2737367544323206E-13</v>
      </c>
      <c r="O134" s="13">
        <f>N134*VLOOKUP('Données projet'!$B$9,Paramètres!$A$1:$I$89,3,0)*VLOOKUP('Données projet'!$B$9,Paramètres!$A$1:$I$89,5,0)</f>
        <v>-1.3596945791505279E-13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181.92766225683107</v>
      </c>
      <c r="T134" s="59">
        <f t="shared" si="142"/>
        <v>370.52917139565756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8.893461934339598</v>
      </c>
      <c r="AA134" s="21">
        <f>EXP(-LN(2)/25)*AA133+(1-EXP(-LN(2)/25))/(LN(2)/25)*Calculateur!V134*Calculateur!X134*VLOOKUP('Données projet'!$B$9,Paramètres!$A$1:$I$89,3,0)*0.475*44/12</f>
        <v>3.5786166328167131</v>
      </c>
      <c r="AB134" s="21">
        <f>EXP(-LN(2)/2)*AB133+(1-EXP(-LN(2)/2))/(LN(2)/2)*V134*Y134*VLOOKUP('Données projet'!$B$9,Paramètres!$A$1:$I$89,3,0)*0.475*44/12</f>
        <v>2.853897215923598E-13</v>
      </c>
      <c r="AC134" s="22">
        <f t="shared" si="111"/>
        <v>12.472078567156597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5.6843418860808015E-14</v>
      </c>
      <c r="AJ134" s="13">
        <f>AI134*VLOOKUP('Données projet'!$B$10,Paramètres!$A$1:$I$89,3,0)*VLOOKUP('Données projet'!$B$10,Paramètres!$A$1:$I$89,5,0)</f>
        <v>4.6111381379887463E-14</v>
      </c>
      <c r="AK134" s="13">
        <f t="shared" si="143"/>
        <v>7.5804141040779151E-13</v>
      </c>
      <c r="AL134" s="20">
        <f t="shared" si="112"/>
        <v>1.4005661123635408E-12</v>
      </c>
      <c r="AM134" s="59">
        <f t="shared" si="113"/>
        <v>293.33333333333474</v>
      </c>
      <c r="AN134" s="59">
        <f ca="1">AVERAGE(OFFSET($AM$3,0,0,'Données projet'!$E$10+1,1))-AVERAGE(OFFSET($H$3,0,0,'Données projet'!$E$10+1,1))</f>
        <v>235.31102883830971</v>
      </c>
      <c r="AO134" s="59">
        <f t="shared" si="144"/>
        <v>271.48630853790422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</v>
      </c>
      <c r="AV134" s="21">
        <f>EXP(-LN(2)/25)*AV133+(1-EXP(-LN(2)/25))/(LN(2)/25)*Calculateur!AQ134*Calculateur!AS134*VLOOKUP('Données projet'!$B$10,Paramètres!$A$1:$I$89,3,0)*0.475*44/12</f>
        <v>0.51711056759503493</v>
      </c>
      <c r="AW134" s="21">
        <f>EXP(-LN(2)/2)*AW133+(1-EXP(-LN(2)/2))/(LN(2)/2)*AQ134*AT134*VLOOKUP('Données projet'!$B$10,Paramètres!$A$1:$I$89,3,0)*0.475*44/12</f>
        <v>6.8911793505707458E-15</v>
      </c>
      <c r="AX134" s="21">
        <f t="shared" si="114"/>
        <v>0.51711056759504181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2.8421709430404007E-14</v>
      </c>
      <c r="BE134" s="13">
        <f>BD134*VLOOKUP('Données projet'!$B$11,Paramètres!$A$1:$I$89,3,0)*VLOOKUP('Données projet'!$B$11,Paramètres!$A$1:$I$89,5,0)</f>
        <v>3.2366642699344085E-14</v>
      </c>
      <c r="BF134" s="13">
        <f t="shared" si="145"/>
        <v>5.5446527398450045E-13</v>
      </c>
      <c r="BG134" s="20">
        <f t="shared" si="115"/>
        <v>1.0220655882243624E-12</v>
      </c>
      <c r="BH134" s="59">
        <f t="shared" si="116"/>
        <v>293.33333333333434</v>
      </c>
      <c r="BI134" s="59">
        <f ca="1">AVERAGE(OFFSET($BH$3,0,0,'Données projet'!$E$11+1,1))-AVERAGE(OFFSET($H$3,0,0,'Données projet'!$E$11+1,1))</f>
        <v>249.01678065306629</v>
      </c>
      <c r="BJ134" s="59">
        <f t="shared" si="146"/>
        <v>99.639724892155641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0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>
        <f>BY134*VLOOKUP('Données projet'!$B$12,Paramètres!$A$1:$I$89,3,0)*VLOOKUP('Données projet'!$B$12,Paramètres!$A$1:$I$89,5,0)</f>
        <v>0</v>
      </c>
      <c r="CA134" s="13" t="e">
        <f t="shared" si="147"/>
        <v>#NUM!</v>
      </c>
      <c r="CB134" s="20" t="e">
        <f t="shared" si="118"/>
        <v>#NUM!</v>
      </c>
      <c r="CC134" s="59" t="e">
        <f t="shared" si="119"/>
        <v>#NUM!</v>
      </c>
      <c r="CD134" s="59">
        <f ca="1">AVERAGE(OFFSET($CC$3,0,0,'Données projet'!$E$12+1,1))-AVERAGE(OFFSET($H$3,0,0,'Données projet'!$E$12+1,1))</f>
        <v>0</v>
      </c>
      <c r="CE134" s="59">
        <f t="shared" si="148"/>
        <v>0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</v>
      </c>
      <c r="CL134" s="21">
        <f>EXP(-LN(2)/25)*CL133+(1-EXP(-LN(2)/25))/(LN(2)/25)*Calculateur!CG134*Calculateur!CI134*VLOOKUP('Données projet'!$B$12,Paramètres!$A$1:$I$89,3,0)*0.475*44/12</f>
        <v>0</v>
      </c>
      <c r="CM134" s="21">
        <f>EXP(-LN(2)/2)*CM133+(1-EXP(-LN(2)/2))/(LN(2)/2)*CG134*CJ134*VLOOKUP('Données projet'!$B$12,Paramètres!$A$1:$I$89,3,0)*0.475*44/12</f>
        <v>0</v>
      </c>
      <c r="CN134" s="22">
        <f t="shared" si="120"/>
        <v>0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>
        <f>CT134*VLOOKUP('Données projet'!$B$13,Paramètres!$A$1:$I$89,3,0)*VLOOKUP('Données projet'!$B$13,Paramètres!$A$1:$I$89,5,0)</f>
        <v>0</v>
      </c>
      <c r="CV134" s="13" t="e">
        <f t="shared" si="149"/>
        <v>#NUM!</v>
      </c>
      <c r="CW134" s="20" t="e">
        <f t="shared" si="121"/>
        <v>#NUM!</v>
      </c>
      <c r="CX134" s="59" t="e">
        <f t="shared" si="122"/>
        <v>#NUM!</v>
      </c>
      <c r="CY134" s="59">
        <f ca="1">AVERAGE(OFFSET($CX$3,0,0,'Données projet'!$E$13+1,1))-AVERAGE(OFFSET($H$3,0,0,'Données projet'!$E$13+1,1))</f>
        <v>0</v>
      </c>
      <c r="CZ134" s="59">
        <f t="shared" si="150"/>
        <v>0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0</v>
      </c>
      <c r="DG134" s="21">
        <f>EXP(-LN(2)/25)*DG133+(1-EXP(-LN(2)/25))/(LN(2)/25)*Calculateur!DB134*Calculateur!DD134*VLOOKUP('Données projet'!$B$13,Paramètres!$A$1:$I$89,3,0)*0.475*44/12</f>
        <v>0</v>
      </c>
      <c r="DH134" s="21">
        <f>EXP(-LN(2)/2)*DH133+(1-EXP(-LN(2)/2))/(LN(2)/2)*DB134*DE134*VLOOKUP('Données projet'!$B$13,Paramètres!$A$1:$I$89,3,0)*0.475*44/12</f>
        <v>0</v>
      </c>
      <c r="DI134" s="22">
        <f t="shared" si="123"/>
        <v>0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-2.2737367544323206E-13</v>
      </c>
      <c r="O135" s="13">
        <f>N135*VLOOKUP('Données projet'!$B$9,Paramètres!$A$1:$I$89,3,0)*VLOOKUP('Données projet'!$B$9,Paramètres!$A$1:$I$89,5,0)</f>
        <v>-1.3596945791505279E-13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181.92766225683107</v>
      </c>
      <c r="T135" s="59">
        <f t="shared" si="142"/>
        <v>370.52917139565756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8.7190665702833563</v>
      </c>
      <c r="AA135" s="21">
        <f>EXP(-LN(2)/25)*AA134+(1-EXP(-LN(2)/25))/(LN(2)/25)*Calculateur!V135*Calculateur!X135*VLOOKUP('Données projet'!$B$9,Paramètres!$A$1:$I$89,3,0)*0.475*44/12</f>
        <v>3.4807591728010703</v>
      </c>
      <c r="AB135" s="21">
        <f>EXP(-LN(2)/2)*AB134+(1-EXP(-LN(2)/2))/(LN(2)/2)*V135*Y135*VLOOKUP('Données projet'!$B$9,Paramètres!$A$1:$I$89,3,0)*0.475*44/12</f>
        <v>2.0180100741889848E-13</v>
      </c>
      <c r="AC135" s="22">
        <f t="shared" si="111"/>
        <v>12.199825743084629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5.6843418860808015E-14</v>
      </c>
      <c r="AJ135" s="13">
        <f>AI135*VLOOKUP('Données projet'!$B$10,Paramètres!$A$1:$I$89,3,0)*VLOOKUP('Données projet'!$B$10,Paramètres!$A$1:$I$89,5,0)</f>
        <v>4.6111381379887463E-14</v>
      </c>
      <c r="AK135" s="13">
        <f t="shared" si="143"/>
        <v>7.5804141040779151E-13</v>
      </c>
      <c r="AL135" s="20">
        <f t="shared" si="112"/>
        <v>1.4005661123635408E-12</v>
      </c>
      <c r="AM135" s="59">
        <f t="shared" si="113"/>
        <v>293.33333333333474</v>
      </c>
      <c r="AN135" s="59">
        <f ca="1">AVERAGE(OFFSET($AM$3,0,0,'Données projet'!$E$10+1,1))-AVERAGE(OFFSET($H$3,0,0,'Données projet'!$E$10+1,1))</f>
        <v>235.31102883830971</v>
      </c>
      <c r="AO135" s="59">
        <f t="shared" si="144"/>
        <v>271.48630853790422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</v>
      </c>
      <c r="AV135" s="21">
        <f>EXP(-LN(2)/25)*AV134+(1-EXP(-LN(2)/25))/(LN(2)/25)*Calculateur!AQ135*Calculateur!AS135*VLOOKUP('Données projet'!$B$10,Paramètres!$A$1:$I$89,3,0)*0.475*44/12</f>
        <v>0.50297015193048578</v>
      </c>
      <c r="AW135" s="21">
        <f>EXP(-LN(2)/2)*AW134+(1-EXP(-LN(2)/2))/(LN(2)/2)*AQ135*AT135*VLOOKUP('Données projet'!$B$10,Paramètres!$A$1:$I$89,3,0)*0.475*44/12</f>
        <v>4.872799649161283E-15</v>
      </c>
      <c r="AX135" s="21">
        <f t="shared" si="114"/>
        <v>0.50297015193049066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2.8421709430404007E-14</v>
      </c>
      <c r="BE135" s="13">
        <f>BD135*VLOOKUP('Données projet'!$B$11,Paramètres!$A$1:$I$89,3,0)*VLOOKUP('Données projet'!$B$11,Paramètres!$A$1:$I$89,5,0)</f>
        <v>3.2366642699344085E-14</v>
      </c>
      <c r="BF135" s="13">
        <f t="shared" si="145"/>
        <v>5.5446527398450045E-13</v>
      </c>
      <c r="BG135" s="20">
        <f t="shared" si="115"/>
        <v>1.0220655882243624E-12</v>
      </c>
      <c r="BH135" s="59">
        <f t="shared" si="116"/>
        <v>293.33333333333434</v>
      </c>
      <c r="BI135" s="59">
        <f ca="1">AVERAGE(OFFSET($BH$3,0,0,'Données projet'!$E$11+1,1))-AVERAGE(OFFSET($H$3,0,0,'Données projet'!$E$11+1,1))</f>
        <v>249.01678065306629</v>
      </c>
      <c r="BJ135" s="59">
        <f t="shared" si="146"/>
        <v>99.639724892155641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0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>
        <f>BY135*VLOOKUP('Données projet'!$B$12,Paramètres!$A$1:$I$89,3,0)*VLOOKUP('Données projet'!$B$12,Paramètres!$A$1:$I$89,5,0)</f>
        <v>0</v>
      </c>
      <c r="CA135" s="13" t="e">
        <f t="shared" si="147"/>
        <v>#NUM!</v>
      </c>
      <c r="CB135" s="20" t="e">
        <f t="shared" si="118"/>
        <v>#NUM!</v>
      </c>
      <c r="CC135" s="59" t="e">
        <f t="shared" si="119"/>
        <v>#NUM!</v>
      </c>
      <c r="CD135" s="59">
        <f ca="1">AVERAGE(OFFSET($CC$3,0,0,'Données projet'!$E$12+1,1))-AVERAGE(OFFSET($H$3,0,0,'Données projet'!$E$12+1,1))</f>
        <v>0</v>
      </c>
      <c r="CE135" s="59">
        <f t="shared" si="148"/>
        <v>0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</v>
      </c>
      <c r="CL135" s="21">
        <f>EXP(-LN(2)/25)*CL134+(1-EXP(-LN(2)/25))/(LN(2)/25)*Calculateur!CG135*Calculateur!CI135*VLOOKUP('Données projet'!$B$12,Paramètres!$A$1:$I$89,3,0)*0.475*44/12</f>
        <v>0</v>
      </c>
      <c r="CM135" s="21">
        <f>EXP(-LN(2)/2)*CM134+(1-EXP(-LN(2)/2))/(LN(2)/2)*CG135*CJ135*VLOOKUP('Données projet'!$B$12,Paramètres!$A$1:$I$89,3,0)*0.475*44/12</f>
        <v>0</v>
      </c>
      <c r="CN135" s="22">
        <f t="shared" si="120"/>
        <v>0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>
        <f>CT135*VLOOKUP('Données projet'!$B$13,Paramètres!$A$1:$I$89,3,0)*VLOOKUP('Données projet'!$B$13,Paramètres!$A$1:$I$89,5,0)</f>
        <v>0</v>
      </c>
      <c r="CV135" s="13" t="e">
        <f t="shared" si="149"/>
        <v>#NUM!</v>
      </c>
      <c r="CW135" s="20" t="e">
        <f t="shared" si="121"/>
        <v>#NUM!</v>
      </c>
      <c r="CX135" s="59" t="e">
        <f t="shared" si="122"/>
        <v>#NUM!</v>
      </c>
      <c r="CY135" s="59">
        <f ca="1">AVERAGE(OFFSET($CX$3,0,0,'Données projet'!$E$13+1,1))-AVERAGE(OFFSET($H$3,0,0,'Données projet'!$E$13+1,1))</f>
        <v>0</v>
      </c>
      <c r="CZ135" s="59">
        <f t="shared" si="150"/>
        <v>0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0</v>
      </c>
      <c r="DG135" s="21">
        <f>EXP(-LN(2)/25)*DG134+(1-EXP(-LN(2)/25))/(LN(2)/25)*Calculateur!DB135*Calculateur!DD135*VLOOKUP('Données projet'!$B$13,Paramètres!$A$1:$I$89,3,0)*0.475*44/12</f>
        <v>0</v>
      </c>
      <c r="DH135" s="21">
        <f>EXP(-LN(2)/2)*DH134+(1-EXP(-LN(2)/2))/(LN(2)/2)*DB135*DE135*VLOOKUP('Données projet'!$B$13,Paramètres!$A$1:$I$89,3,0)*0.475*44/12</f>
        <v>0</v>
      </c>
      <c r="DI135" s="22">
        <f t="shared" si="123"/>
        <v>0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-2.2737367544323206E-13</v>
      </c>
      <c r="O136" s="13">
        <f>N136*VLOOKUP('Données projet'!$B$9,Paramètres!$A$1:$I$89,3,0)*VLOOKUP('Données projet'!$B$9,Paramètres!$A$1:$I$89,5,0)</f>
        <v>-1.3596945791505279E-13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181.92766225683107</v>
      </c>
      <c r="T136" s="59">
        <f t="shared" si="142"/>
        <v>370.52917139565756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8.5480909929455891</v>
      </c>
      <c r="AA136" s="21">
        <f>EXP(-LN(2)/25)*AA135+(1-EXP(-LN(2)/25))/(LN(2)/25)*Calculateur!V136*Calculateur!X136*VLOOKUP('Données projet'!$B$9,Paramètres!$A$1:$I$89,3,0)*0.475*44/12</f>
        <v>3.3855776301756557</v>
      </c>
      <c r="AB136" s="21">
        <f>EXP(-LN(2)/2)*AB135+(1-EXP(-LN(2)/2))/(LN(2)/2)*V136*Y136*VLOOKUP('Données projet'!$B$9,Paramètres!$A$1:$I$89,3,0)*0.475*44/12</f>
        <v>1.426948607961799E-13</v>
      </c>
      <c r="AC136" s="22">
        <f t="shared" si="111"/>
        <v>11.933668623121386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5.6843418860808015E-14</v>
      </c>
      <c r="AJ136" s="13">
        <f>AI136*VLOOKUP('Données projet'!$B$10,Paramètres!$A$1:$I$89,3,0)*VLOOKUP('Données projet'!$B$10,Paramètres!$A$1:$I$89,5,0)</f>
        <v>4.6111381379887463E-14</v>
      </c>
      <c r="AK136" s="13">
        <f t="shared" si="143"/>
        <v>7.5804141040779151E-13</v>
      </c>
      <c r="AL136" s="20">
        <f t="shared" si="112"/>
        <v>1.4005661123635408E-12</v>
      </c>
      <c r="AM136" s="59">
        <f t="shared" si="113"/>
        <v>293.33333333333474</v>
      </c>
      <c r="AN136" s="59">
        <f ca="1">AVERAGE(OFFSET($AM$3,0,0,'Données projet'!$E$10+1,1))-AVERAGE(OFFSET($H$3,0,0,'Données projet'!$E$10+1,1))</f>
        <v>235.31102883830971</v>
      </c>
      <c r="AO136" s="59">
        <f t="shared" si="144"/>
        <v>271.48630853790422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</v>
      </c>
      <c r="AV136" s="21">
        <f>EXP(-LN(2)/25)*AV135+(1-EXP(-LN(2)/25))/(LN(2)/25)*Calculateur!AQ136*Calculateur!AS136*VLOOKUP('Données projet'!$B$10,Paramètres!$A$1:$I$89,3,0)*0.475*44/12</f>
        <v>0.48921640667589589</v>
      </c>
      <c r="AW136" s="21">
        <f>EXP(-LN(2)/2)*AW135+(1-EXP(-LN(2)/2))/(LN(2)/2)*AQ136*AT136*VLOOKUP('Données projet'!$B$10,Paramètres!$A$1:$I$89,3,0)*0.475*44/12</f>
        <v>3.4455896752853729E-15</v>
      </c>
      <c r="AX136" s="21">
        <f t="shared" si="114"/>
        <v>0.48921640667589933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2.8421709430404007E-14</v>
      </c>
      <c r="BE136" s="13">
        <f>BD136*VLOOKUP('Données projet'!$B$11,Paramètres!$A$1:$I$89,3,0)*VLOOKUP('Données projet'!$B$11,Paramètres!$A$1:$I$89,5,0)</f>
        <v>3.2366642699344085E-14</v>
      </c>
      <c r="BF136" s="13">
        <f t="shared" si="145"/>
        <v>5.5446527398450045E-13</v>
      </c>
      <c r="BG136" s="20">
        <f t="shared" si="115"/>
        <v>1.0220655882243624E-12</v>
      </c>
      <c r="BH136" s="59">
        <f t="shared" si="116"/>
        <v>293.33333333333434</v>
      </c>
      <c r="BI136" s="59">
        <f ca="1">AVERAGE(OFFSET($BH$3,0,0,'Données projet'!$E$11+1,1))-AVERAGE(OFFSET($H$3,0,0,'Données projet'!$E$11+1,1))</f>
        <v>249.01678065306629</v>
      </c>
      <c r="BJ136" s="59">
        <f t="shared" si="146"/>
        <v>99.639724892155641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0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>
        <f>BY136*VLOOKUP('Données projet'!$B$12,Paramètres!$A$1:$I$89,3,0)*VLOOKUP('Données projet'!$B$12,Paramètres!$A$1:$I$89,5,0)</f>
        <v>0</v>
      </c>
      <c r="CA136" s="13" t="e">
        <f t="shared" si="147"/>
        <v>#NUM!</v>
      </c>
      <c r="CB136" s="20" t="e">
        <f t="shared" si="118"/>
        <v>#NUM!</v>
      </c>
      <c r="CC136" s="59" t="e">
        <f t="shared" si="119"/>
        <v>#NUM!</v>
      </c>
      <c r="CD136" s="59">
        <f ca="1">AVERAGE(OFFSET($CC$3,0,0,'Données projet'!$E$12+1,1))-AVERAGE(OFFSET($H$3,0,0,'Données projet'!$E$12+1,1))</f>
        <v>0</v>
      </c>
      <c r="CE136" s="59">
        <f t="shared" si="148"/>
        <v>0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</v>
      </c>
      <c r="CL136" s="21">
        <f>EXP(-LN(2)/25)*CL135+(1-EXP(-LN(2)/25))/(LN(2)/25)*Calculateur!CG136*Calculateur!CI136*VLOOKUP('Données projet'!$B$12,Paramètres!$A$1:$I$89,3,0)*0.475*44/12</f>
        <v>0</v>
      </c>
      <c r="CM136" s="21">
        <f>EXP(-LN(2)/2)*CM135+(1-EXP(-LN(2)/2))/(LN(2)/2)*CG136*CJ136*VLOOKUP('Données projet'!$B$12,Paramètres!$A$1:$I$89,3,0)*0.475*44/12</f>
        <v>0</v>
      </c>
      <c r="CN136" s="22">
        <f t="shared" si="120"/>
        <v>0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>
        <f>CT136*VLOOKUP('Données projet'!$B$13,Paramètres!$A$1:$I$89,3,0)*VLOOKUP('Données projet'!$B$13,Paramètres!$A$1:$I$89,5,0)</f>
        <v>0</v>
      </c>
      <c r="CV136" s="13" t="e">
        <f t="shared" si="149"/>
        <v>#NUM!</v>
      </c>
      <c r="CW136" s="20" t="e">
        <f t="shared" si="121"/>
        <v>#NUM!</v>
      </c>
      <c r="CX136" s="59" t="e">
        <f t="shared" si="122"/>
        <v>#NUM!</v>
      </c>
      <c r="CY136" s="59">
        <f ca="1">AVERAGE(OFFSET($CX$3,0,0,'Données projet'!$E$13+1,1))-AVERAGE(OFFSET($H$3,0,0,'Données projet'!$E$13+1,1))</f>
        <v>0</v>
      </c>
      <c r="CZ136" s="59">
        <f t="shared" si="150"/>
        <v>0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0</v>
      </c>
      <c r="DG136" s="21">
        <f>EXP(-LN(2)/25)*DG135+(1-EXP(-LN(2)/25))/(LN(2)/25)*Calculateur!DB136*Calculateur!DD136*VLOOKUP('Données projet'!$B$13,Paramètres!$A$1:$I$89,3,0)*0.475*44/12</f>
        <v>0</v>
      </c>
      <c r="DH136" s="21">
        <f>EXP(-LN(2)/2)*DH135+(1-EXP(-LN(2)/2))/(LN(2)/2)*DB136*DE136*VLOOKUP('Données projet'!$B$13,Paramètres!$A$1:$I$89,3,0)*0.475*44/12</f>
        <v>0</v>
      </c>
      <c r="DI136" s="22">
        <f t="shared" si="123"/>
        <v>0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-2.2737367544323206E-13</v>
      </c>
      <c r="O137" s="13">
        <f>N137*VLOOKUP('Données projet'!$B$9,Paramètres!$A$1:$I$89,3,0)*VLOOKUP('Données projet'!$B$9,Paramètres!$A$1:$I$89,5,0)</f>
        <v>-1.3596945791505279E-13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181.92766225683107</v>
      </c>
      <c r="T137" s="59">
        <f t="shared" si="142"/>
        <v>370.52917139565756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8.3804681423946104</v>
      </c>
      <c r="AA137" s="21">
        <f>EXP(-LN(2)/25)*AA136+(1-EXP(-LN(2)/25))/(LN(2)/25)*Calculateur!V137*Calculateur!X137*VLOOKUP('Données projet'!$B$9,Paramètres!$A$1:$I$89,3,0)*0.475*44/12</f>
        <v>3.2929988318387129</v>
      </c>
      <c r="AB137" s="21">
        <f>EXP(-LN(2)/2)*AB136+(1-EXP(-LN(2)/2))/(LN(2)/2)*V137*Y137*VLOOKUP('Données projet'!$B$9,Paramètres!$A$1:$I$89,3,0)*0.475*44/12</f>
        <v>1.0090050370944924E-13</v>
      </c>
      <c r="AC137" s="22">
        <f t="shared" si="111"/>
        <v>11.673466974233424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5.6843418860808015E-14</v>
      </c>
      <c r="AJ137" s="13">
        <f>AI137*VLOOKUP('Données projet'!$B$10,Paramètres!$A$1:$I$89,3,0)*VLOOKUP('Données projet'!$B$10,Paramètres!$A$1:$I$89,5,0)</f>
        <v>4.6111381379887463E-14</v>
      </c>
      <c r="AK137" s="13">
        <f t="shared" si="143"/>
        <v>7.5804141040779151E-13</v>
      </c>
      <c r="AL137" s="20">
        <f t="shared" si="112"/>
        <v>1.4005661123635408E-12</v>
      </c>
      <c r="AM137" s="59">
        <f t="shared" si="113"/>
        <v>293.33333333333474</v>
      </c>
      <c r="AN137" s="59">
        <f ca="1">AVERAGE(OFFSET($AM$3,0,0,'Données projet'!$E$10+1,1))-AVERAGE(OFFSET($H$3,0,0,'Données projet'!$E$10+1,1))</f>
        <v>235.31102883830971</v>
      </c>
      <c r="AO137" s="59">
        <f t="shared" si="144"/>
        <v>271.48630853790422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</v>
      </c>
      <c r="AV137" s="21">
        <f>EXP(-LN(2)/25)*AV136+(1-EXP(-LN(2)/25))/(LN(2)/25)*Calculateur!AQ137*Calculateur!AS137*VLOOKUP('Données projet'!$B$10,Paramètres!$A$1:$I$89,3,0)*0.475*44/12</f>
        <v>0.47583875830857081</v>
      </c>
      <c r="AW137" s="21">
        <f>EXP(-LN(2)/2)*AW136+(1-EXP(-LN(2)/2))/(LN(2)/2)*AQ137*AT137*VLOOKUP('Données projet'!$B$10,Paramètres!$A$1:$I$89,3,0)*0.475*44/12</f>
        <v>2.4363998245806415E-15</v>
      </c>
      <c r="AX137" s="21">
        <f t="shared" si="114"/>
        <v>0.47583875830857325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2.8421709430404007E-14</v>
      </c>
      <c r="BE137" s="13">
        <f>BD137*VLOOKUP('Données projet'!$B$11,Paramètres!$A$1:$I$89,3,0)*VLOOKUP('Données projet'!$B$11,Paramètres!$A$1:$I$89,5,0)</f>
        <v>3.2366642699344085E-14</v>
      </c>
      <c r="BF137" s="13">
        <f t="shared" si="145"/>
        <v>5.5446527398450045E-13</v>
      </c>
      <c r="BG137" s="20">
        <f t="shared" si="115"/>
        <v>1.0220655882243624E-12</v>
      </c>
      <c r="BH137" s="59">
        <f t="shared" si="116"/>
        <v>293.33333333333434</v>
      </c>
      <c r="BI137" s="59">
        <f ca="1">AVERAGE(OFFSET($BH$3,0,0,'Données projet'!$E$11+1,1))-AVERAGE(OFFSET($H$3,0,0,'Données projet'!$E$11+1,1))</f>
        <v>249.01678065306629</v>
      </c>
      <c r="BJ137" s="59">
        <f t="shared" si="146"/>
        <v>99.639724892155641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0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>
        <f>BY137*VLOOKUP('Données projet'!$B$12,Paramètres!$A$1:$I$89,3,0)*VLOOKUP('Données projet'!$B$12,Paramètres!$A$1:$I$89,5,0)</f>
        <v>0</v>
      </c>
      <c r="CA137" s="13" t="e">
        <f t="shared" si="147"/>
        <v>#NUM!</v>
      </c>
      <c r="CB137" s="20" t="e">
        <f t="shared" si="118"/>
        <v>#NUM!</v>
      </c>
      <c r="CC137" s="59" t="e">
        <f t="shared" si="119"/>
        <v>#NUM!</v>
      </c>
      <c r="CD137" s="59">
        <f ca="1">AVERAGE(OFFSET($CC$3,0,0,'Données projet'!$E$12+1,1))-AVERAGE(OFFSET($H$3,0,0,'Données projet'!$E$12+1,1))</f>
        <v>0</v>
      </c>
      <c r="CE137" s="59">
        <f t="shared" si="148"/>
        <v>0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</v>
      </c>
      <c r="CL137" s="21">
        <f>EXP(-LN(2)/25)*CL136+(1-EXP(-LN(2)/25))/(LN(2)/25)*Calculateur!CG137*Calculateur!CI137*VLOOKUP('Données projet'!$B$12,Paramètres!$A$1:$I$89,3,0)*0.475*44/12</f>
        <v>0</v>
      </c>
      <c r="CM137" s="21">
        <f>EXP(-LN(2)/2)*CM136+(1-EXP(-LN(2)/2))/(LN(2)/2)*CG137*CJ137*VLOOKUP('Données projet'!$B$12,Paramètres!$A$1:$I$89,3,0)*0.475*44/12</f>
        <v>0</v>
      </c>
      <c r="CN137" s="22">
        <f t="shared" si="120"/>
        <v>0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>
        <f>CT137*VLOOKUP('Données projet'!$B$13,Paramètres!$A$1:$I$89,3,0)*VLOOKUP('Données projet'!$B$13,Paramètres!$A$1:$I$89,5,0)</f>
        <v>0</v>
      </c>
      <c r="CV137" s="13" t="e">
        <f t="shared" si="149"/>
        <v>#NUM!</v>
      </c>
      <c r="CW137" s="20" t="e">
        <f t="shared" si="121"/>
        <v>#NUM!</v>
      </c>
      <c r="CX137" s="59" t="e">
        <f t="shared" si="122"/>
        <v>#NUM!</v>
      </c>
      <c r="CY137" s="59">
        <f ca="1">AVERAGE(OFFSET($CX$3,0,0,'Données projet'!$E$13+1,1))-AVERAGE(OFFSET($H$3,0,0,'Données projet'!$E$13+1,1))</f>
        <v>0</v>
      </c>
      <c r="CZ137" s="59">
        <f t="shared" si="150"/>
        <v>0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0</v>
      </c>
      <c r="DG137" s="21">
        <f>EXP(-LN(2)/25)*DG136+(1-EXP(-LN(2)/25))/(LN(2)/25)*Calculateur!DB137*Calculateur!DD137*VLOOKUP('Données projet'!$B$13,Paramètres!$A$1:$I$89,3,0)*0.475*44/12</f>
        <v>0</v>
      </c>
      <c r="DH137" s="21">
        <f>EXP(-LN(2)/2)*DH136+(1-EXP(-LN(2)/2))/(LN(2)/2)*DB137*DE137*VLOOKUP('Données projet'!$B$13,Paramètres!$A$1:$I$89,3,0)*0.475*44/12</f>
        <v>0</v>
      </c>
      <c r="DI137" s="22">
        <f t="shared" si="123"/>
        <v>0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-2.2737367544323206E-13</v>
      </c>
      <c r="O138" s="13">
        <f>N138*VLOOKUP('Données projet'!$B$9,Paramètres!$A$1:$I$89,3,0)*VLOOKUP('Données projet'!$B$9,Paramètres!$A$1:$I$89,5,0)</f>
        <v>-1.3596945791505279E-13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181.92766225683107</v>
      </c>
      <c r="T138" s="59">
        <f t="shared" si="142"/>
        <v>370.52917139565756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8.2161322737030922</v>
      </c>
      <c r="AA138" s="21">
        <f>EXP(-LN(2)/25)*AA137+(1-EXP(-LN(2)/25))/(LN(2)/25)*Calculateur!V138*Calculateur!X138*VLOOKUP('Données projet'!$B$9,Paramètres!$A$1:$I$89,3,0)*0.475*44/12</f>
        <v>3.2029516056108012</v>
      </c>
      <c r="AB138" s="21">
        <f>EXP(-LN(2)/2)*AB137+(1-EXP(-LN(2)/2))/(LN(2)/2)*V138*Y138*VLOOKUP('Données projet'!$B$9,Paramètres!$A$1:$I$89,3,0)*0.475*44/12</f>
        <v>7.1347430398089949E-14</v>
      </c>
      <c r="AC138" s="22">
        <f t="shared" si="111"/>
        <v>11.419083879313964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5.6843418860808015E-14</v>
      </c>
      <c r="AJ138" s="13">
        <f>AI138*VLOOKUP('Données projet'!$B$10,Paramètres!$A$1:$I$89,3,0)*VLOOKUP('Données projet'!$B$10,Paramètres!$A$1:$I$89,5,0)</f>
        <v>4.6111381379887463E-14</v>
      </c>
      <c r="AK138" s="13">
        <f t="shared" si="143"/>
        <v>7.5804141040779151E-13</v>
      </c>
      <c r="AL138" s="20">
        <f t="shared" si="112"/>
        <v>1.4005661123635408E-12</v>
      </c>
      <c r="AM138" s="59">
        <f t="shared" si="113"/>
        <v>293.33333333333474</v>
      </c>
      <c r="AN138" s="59">
        <f ca="1">AVERAGE(OFFSET($AM$3,0,0,'Données projet'!$E$10+1,1))-AVERAGE(OFFSET($H$3,0,0,'Données projet'!$E$10+1,1))</f>
        <v>235.31102883830971</v>
      </c>
      <c r="AO138" s="59">
        <f t="shared" si="144"/>
        <v>271.48630853790422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</v>
      </c>
      <c r="AV138" s="21">
        <f>EXP(-LN(2)/25)*AV137+(1-EXP(-LN(2)/25))/(LN(2)/25)*Calculateur!AQ138*Calculateur!AS138*VLOOKUP('Données projet'!$B$10,Paramètres!$A$1:$I$89,3,0)*0.475*44/12</f>
        <v>0.4628269224393502</v>
      </c>
      <c r="AW138" s="21">
        <f>EXP(-LN(2)/2)*AW137+(1-EXP(-LN(2)/2))/(LN(2)/2)*AQ138*AT138*VLOOKUP('Données projet'!$B$10,Paramètres!$A$1:$I$89,3,0)*0.475*44/12</f>
        <v>1.7227948376426865E-15</v>
      </c>
      <c r="AX138" s="21">
        <f t="shared" si="114"/>
        <v>0.46282692243935192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2.8421709430404007E-14</v>
      </c>
      <c r="BE138" s="13">
        <f>BD138*VLOOKUP('Données projet'!$B$11,Paramètres!$A$1:$I$89,3,0)*VLOOKUP('Données projet'!$B$11,Paramètres!$A$1:$I$89,5,0)</f>
        <v>3.2366642699344085E-14</v>
      </c>
      <c r="BF138" s="13">
        <f t="shared" si="145"/>
        <v>5.5446527398450045E-13</v>
      </c>
      <c r="BG138" s="20">
        <f t="shared" si="115"/>
        <v>1.0220655882243624E-12</v>
      </c>
      <c r="BH138" s="59">
        <f t="shared" si="116"/>
        <v>293.33333333333434</v>
      </c>
      <c r="BI138" s="59">
        <f ca="1">AVERAGE(OFFSET($BH$3,0,0,'Données projet'!$E$11+1,1))-AVERAGE(OFFSET($H$3,0,0,'Données projet'!$E$11+1,1))</f>
        <v>249.01678065306629</v>
      </c>
      <c r="BJ138" s="59">
        <f t="shared" si="146"/>
        <v>99.639724892155641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0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>
        <f>BY138*VLOOKUP('Données projet'!$B$12,Paramètres!$A$1:$I$89,3,0)*VLOOKUP('Données projet'!$B$12,Paramètres!$A$1:$I$89,5,0)</f>
        <v>0</v>
      </c>
      <c r="CA138" s="13" t="e">
        <f t="shared" si="147"/>
        <v>#NUM!</v>
      </c>
      <c r="CB138" s="20" t="e">
        <f t="shared" si="118"/>
        <v>#NUM!</v>
      </c>
      <c r="CC138" s="59" t="e">
        <f t="shared" si="119"/>
        <v>#NUM!</v>
      </c>
      <c r="CD138" s="59">
        <f ca="1">AVERAGE(OFFSET($CC$3,0,0,'Données projet'!$E$12+1,1))-AVERAGE(OFFSET($H$3,0,0,'Données projet'!$E$12+1,1))</f>
        <v>0</v>
      </c>
      <c r="CE138" s="59">
        <f t="shared" si="148"/>
        <v>0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</v>
      </c>
      <c r="CL138" s="21">
        <f>EXP(-LN(2)/25)*CL137+(1-EXP(-LN(2)/25))/(LN(2)/25)*Calculateur!CG138*Calculateur!CI138*VLOOKUP('Données projet'!$B$12,Paramètres!$A$1:$I$89,3,0)*0.475*44/12</f>
        <v>0</v>
      </c>
      <c r="CM138" s="21">
        <f>EXP(-LN(2)/2)*CM137+(1-EXP(-LN(2)/2))/(LN(2)/2)*CG138*CJ138*VLOOKUP('Données projet'!$B$12,Paramètres!$A$1:$I$89,3,0)*0.475*44/12</f>
        <v>0</v>
      </c>
      <c r="CN138" s="22">
        <f t="shared" si="120"/>
        <v>0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>
        <f>CT138*VLOOKUP('Données projet'!$B$13,Paramètres!$A$1:$I$89,3,0)*VLOOKUP('Données projet'!$B$13,Paramètres!$A$1:$I$89,5,0)</f>
        <v>0</v>
      </c>
      <c r="CV138" s="13" t="e">
        <f t="shared" si="149"/>
        <v>#NUM!</v>
      </c>
      <c r="CW138" s="20" t="e">
        <f t="shared" si="121"/>
        <v>#NUM!</v>
      </c>
      <c r="CX138" s="59" t="e">
        <f t="shared" si="122"/>
        <v>#NUM!</v>
      </c>
      <c r="CY138" s="59">
        <f ca="1">AVERAGE(OFFSET($CX$3,0,0,'Données projet'!$E$13+1,1))-AVERAGE(OFFSET($H$3,0,0,'Données projet'!$E$13+1,1))</f>
        <v>0</v>
      </c>
      <c r="CZ138" s="59">
        <f t="shared" si="150"/>
        <v>0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0</v>
      </c>
      <c r="DG138" s="21">
        <f>EXP(-LN(2)/25)*DG137+(1-EXP(-LN(2)/25))/(LN(2)/25)*Calculateur!DB138*Calculateur!DD138*VLOOKUP('Données projet'!$B$13,Paramètres!$A$1:$I$89,3,0)*0.475*44/12</f>
        <v>0</v>
      </c>
      <c r="DH138" s="21">
        <f>EXP(-LN(2)/2)*DH137+(1-EXP(-LN(2)/2))/(LN(2)/2)*DB138*DE138*VLOOKUP('Données projet'!$B$13,Paramètres!$A$1:$I$89,3,0)*0.475*44/12</f>
        <v>0</v>
      </c>
      <c r="DI138" s="22">
        <f t="shared" si="123"/>
        <v>0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-2.2737367544323206E-13</v>
      </c>
      <c r="O139" s="13">
        <f>N139*VLOOKUP('Données projet'!$B$9,Paramètres!$A$1:$I$89,3,0)*VLOOKUP('Données projet'!$B$9,Paramètres!$A$1:$I$89,5,0)</f>
        <v>-1.3596945791505279E-13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181.92766225683107</v>
      </c>
      <c r="T139" s="59">
        <f t="shared" si="142"/>
        <v>370.52917139565756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8.0550189311616318</v>
      </c>
      <c r="AA139" s="21">
        <f>EXP(-LN(2)/25)*AA138+(1-EXP(-LN(2)/25))/(LN(2)/25)*Calculateur!V139*Calculateur!X139*VLOOKUP('Données projet'!$B$9,Paramètres!$A$1:$I$89,3,0)*0.475*44/12</f>
        <v>3.1153667255194692</v>
      </c>
      <c r="AB139" s="21">
        <f>EXP(-LN(2)/2)*AB138+(1-EXP(-LN(2)/2))/(LN(2)/2)*V139*Y139*VLOOKUP('Données projet'!$B$9,Paramètres!$A$1:$I$89,3,0)*0.475*44/12</f>
        <v>5.045025185472462E-14</v>
      </c>
      <c r="AC139" s="22">
        <f t="shared" si="111"/>
        <v>11.170385656681152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5.6843418860808015E-14</v>
      </c>
      <c r="AJ139" s="13">
        <f>AI139*VLOOKUP('Données projet'!$B$10,Paramètres!$A$1:$I$89,3,0)*VLOOKUP('Données projet'!$B$10,Paramètres!$A$1:$I$89,5,0)</f>
        <v>4.6111381379887463E-14</v>
      </c>
      <c r="AK139" s="13">
        <f t="shared" si="143"/>
        <v>7.5804141040779151E-13</v>
      </c>
      <c r="AL139" s="20">
        <f t="shared" si="112"/>
        <v>1.4005661123635408E-12</v>
      </c>
      <c r="AM139" s="59">
        <f t="shared" si="113"/>
        <v>293.33333333333474</v>
      </c>
      <c r="AN139" s="59">
        <f ca="1">AVERAGE(OFFSET($AM$3,0,0,'Données projet'!$E$10+1,1))-AVERAGE(OFFSET($H$3,0,0,'Données projet'!$E$10+1,1))</f>
        <v>235.31102883830971</v>
      </c>
      <c r="AO139" s="59">
        <f t="shared" si="144"/>
        <v>271.48630853790422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</v>
      </c>
      <c r="AV139" s="21">
        <f>EXP(-LN(2)/25)*AV138+(1-EXP(-LN(2)/25))/(LN(2)/25)*Calculateur!AQ139*Calculateur!AS139*VLOOKUP('Données projet'!$B$10,Paramètres!$A$1:$I$89,3,0)*0.475*44/12</f>
        <v>0.4501708959062361</v>
      </c>
      <c r="AW139" s="21">
        <f>EXP(-LN(2)/2)*AW138+(1-EXP(-LN(2)/2))/(LN(2)/2)*AQ139*AT139*VLOOKUP('Données projet'!$B$10,Paramètres!$A$1:$I$89,3,0)*0.475*44/12</f>
        <v>1.2181999122903207E-15</v>
      </c>
      <c r="AX139" s="21">
        <f t="shared" si="114"/>
        <v>0.45017089590623732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2.8421709430404007E-14</v>
      </c>
      <c r="BE139" s="13">
        <f>BD139*VLOOKUP('Données projet'!$B$11,Paramètres!$A$1:$I$89,3,0)*VLOOKUP('Données projet'!$B$11,Paramètres!$A$1:$I$89,5,0)</f>
        <v>3.2366642699344085E-14</v>
      </c>
      <c r="BF139" s="13">
        <f t="shared" si="145"/>
        <v>5.5446527398450045E-13</v>
      </c>
      <c r="BG139" s="20">
        <f t="shared" si="115"/>
        <v>1.0220655882243624E-12</v>
      </c>
      <c r="BH139" s="59">
        <f t="shared" si="116"/>
        <v>293.33333333333434</v>
      </c>
      <c r="BI139" s="59">
        <f ca="1">AVERAGE(OFFSET($BH$3,0,0,'Données projet'!$E$11+1,1))-AVERAGE(OFFSET($H$3,0,0,'Données projet'!$E$11+1,1))</f>
        <v>249.01678065306629</v>
      </c>
      <c r="BJ139" s="59">
        <f t="shared" si="146"/>
        <v>99.639724892155641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0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>
        <f>BY139*VLOOKUP('Données projet'!$B$12,Paramètres!$A$1:$I$89,3,0)*VLOOKUP('Données projet'!$B$12,Paramètres!$A$1:$I$89,5,0)</f>
        <v>0</v>
      </c>
      <c r="CA139" s="13" t="e">
        <f t="shared" si="147"/>
        <v>#NUM!</v>
      </c>
      <c r="CB139" s="20" t="e">
        <f t="shared" si="118"/>
        <v>#NUM!</v>
      </c>
      <c r="CC139" s="59" t="e">
        <f t="shared" si="119"/>
        <v>#NUM!</v>
      </c>
      <c r="CD139" s="59">
        <f ca="1">AVERAGE(OFFSET($CC$3,0,0,'Données projet'!$E$12+1,1))-AVERAGE(OFFSET($H$3,0,0,'Données projet'!$E$12+1,1))</f>
        <v>0</v>
      </c>
      <c r="CE139" s="59">
        <f t="shared" si="148"/>
        <v>0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</v>
      </c>
      <c r="CL139" s="21">
        <f>EXP(-LN(2)/25)*CL138+(1-EXP(-LN(2)/25))/(LN(2)/25)*Calculateur!CG139*Calculateur!CI139*VLOOKUP('Données projet'!$B$12,Paramètres!$A$1:$I$89,3,0)*0.475*44/12</f>
        <v>0</v>
      </c>
      <c r="CM139" s="21">
        <f>EXP(-LN(2)/2)*CM138+(1-EXP(-LN(2)/2))/(LN(2)/2)*CG139*CJ139*VLOOKUP('Données projet'!$B$12,Paramètres!$A$1:$I$89,3,0)*0.475*44/12</f>
        <v>0</v>
      </c>
      <c r="CN139" s="22">
        <f t="shared" si="120"/>
        <v>0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>
        <f>CT139*VLOOKUP('Données projet'!$B$13,Paramètres!$A$1:$I$89,3,0)*VLOOKUP('Données projet'!$B$13,Paramètres!$A$1:$I$89,5,0)</f>
        <v>0</v>
      </c>
      <c r="CV139" s="13" t="e">
        <f t="shared" si="149"/>
        <v>#NUM!</v>
      </c>
      <c r="CW139" s="20" t="e">
        <f t="shared" si="121"/>
        <v>#NUM!</v>
      </c>
      <c r="CX139" s="59" t="e">
        <f t="shared" si="122"/>
        <v>#NUM!</v>
      </c>
      <c r="CY139" s="59">
        <f ca="1">AVERAGE(OFFSET($CX$3,0,0,'Données projet'!$E$13+1,1))-AVERAGE(OFFSET($H$3,0,0,'Données projet'!$E$13+1,1))</f>
        <v>0</v>
      </c>
      <c r="CZ139" s="59">
        <f t="shared" si="150"/>
        <v>0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0</v>
      </c>
      <c r="DG139" s="21">
        <f>EXP(-LN(2)/25)*DG138+(1-EXP(-LN(2)/25))/(LN(2)/25)*Calculateur!DB139*Calculateur!DD139*VLOOKUP('Données projet'!$B$13,Paramètres!$A$1:$I$89,3,0)*0.475*44/12</f>
        <v>0</v>
      </c>
      <c r="DH139" s="21">
        <f>EXP(-LN(2)/2)*DH138+(1-EXP(-LN(2)/2))/(LN(2)/2)*DB139*DE139*VLOOKUP('Données projet'!$B$13,Paramètres!$A$1:$I$89,3,0)*0.475*44/12</f>
        <v>0</v>
      </c>
      <c r="DI139" s="22">
        <f t="shared" si="123"/>
        <v>0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-2.2737367544323206E-13</v>
      </c>
      <c r="O140" s="13">
        <f>N140*VLOOKUP('Données projet'!$B$9,Paramètres!$A$1:$I$89,3,0)*VLOOKUP('Données projet'!$B$9,Paramètres!$A$1:$I$89,5,0)</f>
        <v>-1.3596945791505279E-13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181.92766225683107</v>
      </c>
      <c r="T140" s="59">
        <f t="shared" si="142"/>
        <v>370.52917139565756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7.8970649229979744</v>
      </c>
      <c r="AA140" s="21">
        <f>EXP(-LN(2)/25)*AA139+(1-EXP(-LN(2)/25))/(LN(2)/25)*Calculateur!V140*Calculateur!X140*VLOOKUP('Données projet'!$B$9,Paramètres!$A$1:$I$89,3,0)*0.475*44/12</f>
        <v>3.0301768585801234</v>
      </c>
      <c r="AB140" s="21">
        <f>EXP(-LN(2)/2)*AB139+(1-EXP(-LN(2)/2))/(LN(2)/2)*V140*Y140*VLOOKUP('Données projet'!$B$9,Paramètres!$A$1:$I$89,3,0)*0.475*44/12</f>
        <v>3.5673715199044974E-14</v>
      </c>
      <c r="AC140" s="22">
        <f t="shared" si="111"/>
        <v>10.927241781578132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5.6843418860808015E-14</v>
      </c>
      <c r="AJ140" s="13">
        <f>AI140*VLOOKUP('Données projet'!$B$10,Paramètres!$A$1:$I$89,3,0)*VLOOKUP('Données projet'!$B$10,Paramètres!$A$1:$I$89,5,0)</f>
        <v>4.6111381379887463E-14</v>
      </c>
      <c r="AK140" s="13">
        <f t="shared" si="143"/>
        <v>7.5804141040779151E-13</v>
      </c>
      <c r="AL140" s="20">
        <f t="shared" si="112"/>
        <v>1.4005661123635408E-12</v>
      </c>
      <c r="AM140" s="59">
        <f t="shared" si="113"/>
        <v>293.33333333333474</v>
      </c>
      <c r="AN140" s="59">
        <f ca="1">AVERAGE(OFFSET($AM$3,0,0,'Données projet'!$E$10+1,1))-AVERAGE(OFFSET($H$3,0,0,'Données projet'!$E$10+1,1))</f>
        <v>235.31102883830971</v>
      </c>
      <c r="AO140" s="59">
        <f t="shared" si="144"/>
        <v>271.48630853790422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</v>
      </c>
      <c r="AV140" s="21">
        <f>EXP(-LN(2)/25)*AV139+(1-EXP(-LN(2)/25))/(LN(2)/25)*Calculateur!AQ140*Calculateur!AS140*VLOOKUP('Données projet'!$B$10,Paramètres!$A$1:$I$89,3,0)*0.475*44/12</f>
        <v>0.43786094908422152</v>
      </c>
      <c r="AW140" s="21">
        <f>EXP(-LN(2)/2)*AW139+(1-EXP(-LN(2)/2))/(LN(2)/2)*AQ140*AT140*VLOOKUP('Données projet'!$B$10,Paramètres!$A$1:$I$89,3,0)*0.475*44/12</f>
        <v>8.6139741882134323E-16</v>
      </c>
      <c r="AX140" s="21">
        <f t="shared" si="114"/>
        <v>0.43786094908422241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2.8421709430404007E-14</v>
      </c>
      <c r="BE140" s="13">
        <f>BD140*VLOOKUP('Données projet'!$B$11,Paramètres!$A$1:$I$89,3,0)*VLOOKUP('Données projet'!$B$11,Paramètres!$A$1:$I$89,5,0)</f>
        <v>3.2366642699344085E-14</v>
      </c>
      <c r="BF140" s="13">
        <f t="shared" si="145"/>
        <v>5.5446527398450045E-13</v>
      </c>
      <c r="BG140" s="20">
        <f t="shared" si="115"/>
        <v>1.0220655882243624E-12</v>
      </c>
      <c r="BH140" s="59">
        <f t="shared" si="116"/>
        <v>293.33333333333434</v>
      </c>
      <c r="BI140" s="59">
        <f ca="1">AVERAGE(OFFSET($BH$3,0,0,'Données projet'!$E$11+1,1))-AVERAGE(OFFSET($H$3,0,0,'Données projet'!$E$11+1,1))</f>
        <v>249.01678065306629</v>
      </c>
      <c r="BJ140" s="59">
        <f t="shared" si="146"/>
        <v>99.639724892155641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0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>
        <f>BY140*VLOOKUP('Données projet'!$B$12,Paramètres!$A$1:$I$89,3,0)*VLOOKUP('Données projet'!$B$12,Paramètres!$A$1:$I$89,5,0)</f>
        <v>0</v>
      </c>
      <c r="CA140" s="13" t="e">
        <f t="shared" si="147"/>
        <v>#NUM!</v>
      </c>
      <c r="CB140" s="20" t="e">
        <f t="shared" si="118"/>
        <v>#NUM!</v>
      </c>
      <c r="CC140" s="59" t="e">
        <f t="shared" si="119"/>
        <v>#NUM!</v>
      </c>
      <c r="CD140" s="59">
        <f ca="1">AVERAGE(OFFSET($CC$3,0,0,'Données projet'!$E$12+1,1))-AVERAGE(OFFSET($H$3,0,0,'Données projet'!$E$12+1,1))</f>
        <v>0</v>
      </c>
      <c r="CE140" s="59">
        <f t="shared" si="148"/>
        <v>0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</v>
      </c>
      <c r="CL140" s="21">
        <f>EXP(-LN(2)/25)*CL139+(1-EXP(-LN(2)/25))/(LN(2)/25)*Calculateur!CG140*Calculateur!CI140*VLOOKUP('Données projet'!$B$12,Paramètres!$A$1:$I$89,3,0)*0.475*44/12</f>
        <v>0</v>
      </c>
      <c r="CM140" s="21">
        <f>EXP(-LN(2)/2)*CM139+(1-EXP(-LN(2)/2))/(LN(2)/2)*CG140*CJ140*VLOOKUP('Données projet'!$B$12,Paramètres!$A$1:$I$89,3,0)*0.475*44/12</f>
        <v>0</v>
      </c>
      <c r="CN140" s="22">
        <f t="shared" si="120"/>
        <v>0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>
        <f>CT140*VLOOKUP('Données projet'!$B$13,Paramètres!$A$1:$I$89,3,0)*VLOOKUP('Données projet'!$B$13,Paramètres!$A$1:$I$89,5,0)</f>
        <v>0</v>
      </c>
      <c r="CV140" s="13" t="e">
        <f t="shared" si="149"/>
        <v>#NUM!</v>
      </c>
      <c r="CW140" s="20" t="e">
        <f t="shared" si="121"/>
        <v>#NUM!</v>
      </c>
      <c r="CX140" s="59" t="e">
        <f t="shared" si="122"/>
        <v>#NUM!</v>
      </c>
      <c r="CY140" s="59">
        <f ca="1">AVERAGE(OFFSET($CX$3,0,0,'Données projet'!$E$13+1,1))-AVERAGE(OFFSET($H$3,0,0,'Données projet'!$E$13+1,1))</f>
        <v>0</v>
      </c>
      <c r="CZ140" s="59">
        <f t="shared" si="150"/>
        <v>0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0</v>
      </c>
      <c r="DG140" s="21">
        <f>EXP(-LN(2)/25)*DG139+(1-EXP(-LN(2)/25))/(LN(2)/25)*Calculateur!DB140*Calculateur!DD140*VLOOKUP('Données projet'!$B$13,Paramètres!$A$1:$I$89,3,0)*0.475*44/12</f>
        <v>0</v>
      </c>
      <c r="DH140" s="21">
        <f>EXP(-LN(2)/2)*DH139+(1-EXP(-LN(2)/2))/(LN(2)/2)*DB140*DE140*VLOOKUP('Données projet'!$B$13,Paramètres!$A$1:$I$89,3,0)*0.475*44/12</f>
        <v>0</v>
      </c>
      <c r="DI140" s="22">
        <f t="shared" si="123"/>
        <v>0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-2.2737367544323206E-13</v>
      </c>
      <c r="O141" s="13">
        <f>N141*VLOOKUP('Données projet'!$B$9,Paramètres!$A$1:$I$89,3,0)*VLOOKUP('Données projet'!$B$9,Paramètres!$A$1:$I$89,5,0)</f>
        <v>-1.3596945791505279E-13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181.92766225683107</v>
      </c>
      <c r="T141" s="59">
        <f t="shared" si="142"/>
        <v>370.52917139565756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7.7422082965919738</v>
      </c>
      <c r="AA141" s="21">
        <f>EXP(-LN(2)/25)*AA140+(1-EXP(-LN(2)/25))/(LN(2)/25)*Calculateur!V141*Calculateur!X141*VLOOKUP('Données projet'!$B$9,Paramètres!$A$1:$I$89,3,0)*0.475*44/12</f>
        <v>2.9473165130321743</v>
      </c>
      <c r="AB141" s="21">
        <f>EXP(-LN(2)/2)*AB140+(1-EXP(-LN(2)/2))/(LN(2)/2)*V141*Y141*VLOOKUP('Données projet'!$B$9,Paramètres!$A$1:$I$89,3,0)*0.475*44/12</f>
        <v>2.522512592736231E-14</v>
      </c>
      <c r="AC141" s="22">
        <f t="shared" si="111"/>
        <v>10.689524809624173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5.6843418860808015E-14</v>
      </c>
      <c r="AJ141" s="13">
        <f>AI141*VLOOKUP('Données projet'!$B$10,Paramètres!$A$1:$I$89,3,0)*VLOOKUP('Données projet'!$B$10,Paramètres!$A$1:$I$89,5,0)</f>
        <v>4.6111381379887463E-14</v>
      </c>
      <c r="AK141" s="13">
        <f t="shared" si="143"/>
        <v>7.5804141040779151E-13</v>
      </c>
      <c r="AL141" s="20">
        <f t="shared" si="112"/>
        <v>1.4005661123635408E-12</v>
      </c>
      <c r="AM141" s="59">
        <f t="shared" si="113"/>
        <v>293.33333333333474</v>
      </c>
      <c r="AN141" s="59">
        <f ca="1">AVERAGE(OFFSET($AM$3,0,0,'Données projet'!$E$10+1,1))-AVERAGE(OFFSET($H$3,0,0,'Données projet'!$E$10+1,1))</f>
        <v>235.31102883830971</v>
      </c>
      <c r="AO141" s="59">
        <f t="shared" si="144"/>
        <v>271.48630853790422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</v>
      </c>
      <c r="AV141" s="21">
        <f>EXP(-LN(2)/25)*AV140+(1-EXP(-LN(2)/25))/(LN(2)/25)*Calculateur!AQ141*Calculateur!AS141*VLOOKUP('Données projet'!$B$10,Paramètres!$A$1:$I$89,3,0)*0.475*44/12</f>
        <v>0.4258876184054069</v>
      </c>
      <c r="AW141" s="21">
        <f>EXP(-LN(2)/2)*AW140+(1-EXP(-LN(2)/2))/(LN(2)/2)*AQ141*AT141*VLOOKUP('Données projet'!$B$10,Paramètres!$A$1:$I$89,3,0)*0.475*44/12</f>
        <v>6.0909995614516037E-16</v>
      </c>
      <c r="AX141" s="21">
        <f t="shared" si="114"/>
        <v>0.42588761840540751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2.8421709430404007E-14</v>
      </c>
      <c r="BE141" s="13">
        <f>BD141*VLOOKUP('Données projet'!$B$11,Paramètres!$A$1:$I$89,3,0)*VLOOKUP('Données projet'!$B$11,Paramètres!$A$1:$I$89,5,0)</f>
        <v>3.2366642699344085E-14</v>
      </c>
      <c r="BF141" s="13">
        <f t="shared" si="145"/>
        <v>5.5446527398450045E-13</v>
      </c>
      <c r="BG141" s="20">
        <f t="shared" si="115"/>
        <v>1.0220655882243624E-12</v>
      </c>
      <c r="BH141" s="59">
        <f t="shared" si="116"/>
        <v>293.33333333333434</v>
      </c>
      <c r="BI141" s="59">
        <f ca="1">AVERAGE(OFFSET($BH$3,0,0,'Données projet'!$E$11+1,1))-AVERAGE(OFFSET($H$3,0,0,'Données projet'!$E$11+1,1))</f>
        <v>249.01678065306629</v>
      </c>
      <c r="BJ141" s="59">
        <f t="shared" si="146"/>
        <v>99.639724892155641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0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>
        <f>BY141*VLOOKUP('Données projet'!$B$12,Paramètres!$A$1:$I$89,3,0)*VLOOKUP('Données projet'!$B$12,Paramètres!$A$1:$I$89,5,0)</f>
        <v>0</v>
      </c>
      <c r="CA141" s="13" t="e">
        <f t="shared" si="147"/>
        <v>#NUM!</v>
      </c>
      <c r="CB141" s="20" t="e">
        <f t="shared" si="118"/>
        <v>#NUM!</v>
      </c>
      <c r="CC141" s="59" t="e">
        <f t="shared" si="119"/>
        <v>#NUM!</v>
      </c>
      <c r="CD141" s="59">
        <f ca="1">AVERAGE(OFFSET($CC$3,0,0,'Données projet'!$E$12+1,1))-AVERAGE(OFFSET($H$3,0,0,'Données projet'!$E$12+1,1))</f>
        <v>0</v>
      </c>
      <c r="CE141" s="59">
        <f t="shared" si="148"/>
        <v>0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</v>
      </c>
      <c r="CL141" s="21">
        <f>EXP(-LN(2)/25)*CL140+(1-EXP(-LN(2)/25))/(LN(2)/25)*Calculateur!CG141*Calculateur!CI141*VLOOKUP('Données projet'!$B$12,Paramètres!$A$1:$I$89,3,0)*0.475*44/12</f>
        <v>0</v>
      </c>
      <c r="CM141" s="21">
        <f>EXP(-LN(2)/2)*CM140+(1-EXP(-LN(2)/2))/(LN(2)/2)*CG141*CJ141*VLOOKUP('Données projet'!$B$12,Paramètres!$A$1:$I$89,3,0)*0.475*44/12</f>
        <v>0</v>
      </c>
      <c r="CN141" s="22">
        <f t="shared" si="120"/>
        <v>0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>
        <f>CT141*VLOOKUP('Données projet'!$B$13,Paramètres!$A$1:$I$89,3,0)*VLOOKUP('Données projet'!$B$13,Paramètres!$A$1:$I$89,5,0)</f>
        <v>0</v>
      </c>
      <c r="CV141" s="13" t="e">
        <f t="shared" si="149"/>
        <v>#NUM!</v>
      </c>
      <c r="CW141" s="20" t="e">
        <f t="shared" si="121"/>
        <v>#NUM!</v>
      </c>
      <c r="CX141" s="59" t="e">
        <f t="shared" si="122"/>
        <v>#NUM!</v>
      </c>
      <c r="CY141" s="59">
        <f ca="1">AVERAGE(OFFSET($CX$3,0,0,'Données projet'!$E$13+1,1))-AVERAGE(OFFSET($H$3,0,0,'Données projet'!$E$13+1,1))</f>
        <v>0</v>
      </c>
      <c r="CZ141" s="59">
        <f t="shared" si="150"/>
        <v>0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0</v>
      </c>
      <c r="DG141" s="21">
        <f>EXP(-LN(2)/25)*DG140+(1-EXP(-LN(2)/25))/(LN(2)/25)*Calculateur!DB141*Calculateur!DD141*VLOOKUP('Données projet'!$B$13,Paramètres!$A$1:$I$89,3,0)*0.475*44/12</f>
        <v>0</v>
      </c>
      <c r="DH141" s="21">
        <f>EXP(-LN(2)/2)*DH140+(1-EXP(-LN(2)/2))/(LN(2)/2)*DB141*DE141*VLOOKUP('Données projet'!$B$13,Paramètres!$A$1:$I$89,3,0)*0.475*44/12</f>
        <v>0</v>
      </c>
      <c r="DI141" s="22">
        <f t="shared" si="123"/>
        <v>0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-2.2737367544323206E-13</v>
      </c>
      <c r="O142" s="13">
        <f>N142*VLOOKUP('Données projet'!$B$9,Paramètres!$A$1:$I$89,3,0)*VLOOKUP('Données projet'!$B$9,Paramètres!$A$1:$I$89,5,0)</f>
        <v>-1.3596945791505279E-13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181.92766225683107</v>
      </c>
      <c r="T142" s="59">
        <f t="shared" si="142"/>
        <v>370.52917139565756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7.5903883141765798</v>
      </c>
      <c r="AA142" s="21">
        <f>EXP(-LN(2)/25)*AA141+(1-EXP(-LN(2)/25))/(LN(2)/25)*Calculateur!V142*Calculateur!X142*VLOOKUP('Données projet'!$B$9,Paramètres!$A$1:$I$89,3,0)*0.475*44/12</f>
        <v>2.8667219879906702</v>
      </c>
      <c r="AB142" s="21">
        <f>EXP(-LN(2)/2)*AB141+(1-EXP(-LN(2)/2))/(LN(2)/2)*V142*Y142*VLOOKUP('Données projet'!$B$9,Paramètres!$A$1:$I$89,3,0)*0.475*44/12</f>
        <v>1.7836857599522487E-14</v>
      </c>
      <c r="AC142" s="22">
        <f t="shared" si="111"/>
        <v>10.457110302167267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5.6843418860808015E-14</v>
      </c>
      <c r="AJ142" s="13">
        <f>AI142*VLOOKUP('Données projet'!$B$10,Paramètres!$A$1:$I$89,3,0)*VLOOKUP('Données projet'!$B$10,Paramètres!$A$1:$I$89,5,0)</f>
        <v>4.6111381379887463E-14</v>
      </c>
      <c r="AK142" s="13">
        <f t="shared" si="143"/>
        <v>7.5804141040779151E-13</v>
      </c>
      <c r="AL142" s="20">
        <f t="shared" si="112"/>
        <v>1.4005661123635408E-12</v>
      </c>
      <c r="AM142" s="59">
        <f t="shared" si="113"/>
        <v>293.33333333333474</v>
      </c>
      <c r="AN142" s="59">
        <f ca="1">AVERAGE(OFFSET($AM$3,0,0,'Données projet'!$E$10+1,1))-AVERAGE(OFFSET($H$3,0,0,'Données projet'!$E$10+1,1))</f>
        <v>235.31102883830971</v>
      </c>
      <c r="AO142" s="59">
        <f t="shared" si="144"/>
        <v>271.48630853790422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</v>
      </c>
      <c r="AV142" s="21">
        <f>EXP(-LN(2)/25)*AV141+(1-EXP(-LN(2)/25))/(LN(2)/25)*Calculateur!AQ142*Calculateur!AS142*VLOOKUP('Données projet'!$B$10,Paramètres!$A$1:$I$89,3,0)*0.475*44/12</f>
        <v>0.41424169908365455</v>
      </c>
      <c r="AW142" s="21">
        <f>EXP(-LN(2)/2)*AW141+(1-EXP(-LN(2)/2))/(LN(2)/2)*AQ142*AT142*VLOOKUP('Données projet'!$B$10,Paramètres!$A$1:$I$89,3,0)*0.475*44/12</f>
        <v>4.3069870941067161E-16</v>
      </c>
      <c r="AX142" s="21">
        <f t="shared" si="114"/>
        <v>0.41424169908365499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2.8421709430404007E-14</v>
      </c>
      <c r="BE142" s="13">
        <f>BD142*VLOOKUP('Données projet'!$B$11,Paramètres!$A$1:$I$89,3,0)*VLOOKUP('Données projet'!$B$11,Paramètres!$A$1:$I$89,5,0)</f>
        <v>3.2366642699344085E-14</v>
      </c>
      <c r="BF142" s="13">
        <f t="shared" si="145"/>
        <v>5.5446527398450045E-13</v>
      </c>
      <c r="BG142" s="20">
        <f t="shared" si="115"/>
        <v>1.0220655882243624E-12</v>
      </c>
      <c r="BH142" s="59">
        <f t="shared" si="116"/>
        <v>293.33333333333434</v>
      </c>
      <c r="BI142" s="59">
        <f ca="1">AVERAGE(OFFSET($BH$3,0,0,'Données projet'!$E$11+1,1))-AVERAGE(OFFSET($H$3,0,0,'Données projet'!$E$11+1,1))</f>
        <v>249.01678065306629</v>
      </c>
      <c r="BJ142" s="59">
        <f t="shared" si="146"/>
        <v>99.639724892155641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0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>
        <f>BY142*VLOOKUP('Données projet'!$B$12,Paramètres!$A$1:$I$89,3,0)*VLOOKUP('Données projet'!$B$12,Paramètres!$A$1:$I$89,5,0)</f>
        <v>0</v>
      </c>
      <c r="CA142" s="13" t="e">
        <f t="shared" si="147"/>
        <v>#NUM!</v>
      </c>
      <c r="CB142" s="20" t="e">
        <f t="shared" si="118"/>
        <v>#NUM!</v>
      </c>
      <c r="CC142" s="59" t="e">
        <f t="shared" si="119"/>
        <v>#NUM!</v>
      </c>
      <c r="CD142" s="59">
        <f ca="1">AVERAGE(OFFSET($CC$3,0,0,'Données projet'!$E$12+1,1))-AVERAGE(OFFSET($H$3,0,0,'Données projet'!$E$12+1,1))</f>
        <v>0</v>
      </c>
      <c r="CE142" s="59">
        <f t="shared" si="148"/>
        <v>0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</v>
      </c>
      <c r="CL142" s="21">
        <f>EXP(-LN(2)/25)*CL141+(1-EXP(-LN(2)/25))/(LN(2)/25)*Calculateur!CG142*Calculateur!CI142*VLOOKUP('Données projet'!$B$12,Paramètres!$A$1:$I$89,3,0)*0.475*44/12</f>
        <v>0</v>
      </c>
      <c r="CM142" s="21">
        <f>EXP(-LN(2)/2)*CM141+(1-EXP(-LN(2)/2))/(LN(2)/2)*CG142*CJ142*VLOOKUP('Données projet'!$B$12,Paramètres!$A$1:$I$89,3,0)*0.475*44/12</f>
        <v>0</v>
      </c>
      <c r="CN142" s="22">
        <f t="shared" si="120"/>
        <v>0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>
        <f>CT142*VLOOKUP('Données projet'!$B$13,Paramètres!$A$1:$I$89,3,0)*VLOOKUP('Données projet'!$B$13,Paramètres!$A$1:$I$89,5,0)</f>
        <v>0</v>
      </c>
      <c r="CV142" s="13" t="e">
        <f t="shared" si="149"/>
        <v>#NUM!</v>
      </c>
      <c r="CW142" s="20" t="e">
        <f t="shared" si="121"/>
        <v>#NUM!</v>
      </c>
      <c r="CX142" s="59" t="e">
        <f t="shared" si="122"/>
        <v>#NUM!</v>
      </c>
      <c r="CY142" s="59">
        <f ca="1">AVERAGE(OFFSET($CX$3,0,0,'Données projet'!$E$13+1,1))-AVERAGE(OFFSET($H$3,0,0,'Données projet'!$E$13+1,1))</f>
        <v>0</v>
      </c>
      <c r="CZ142" s="59">
        <f t="shared" si="150"/>
        <v>0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0</v>
      </c>
      <c r="DG142" s="21">
        <f>EXP(-LN(2)/25)*DG141+(1-EXP(-LN(2)/25))/(LN(2)/25)*Calculateur!DB142*Calculateur!DD142*VLOOKUP('Données projet'!$B$13,Paramètres!$A$1:$I$89,3,0)*0.475*44/12</f>
        <v>0</v>
      </c>
      <c r="DH142" s="21">
        <f>EXP(-LN(2)/2)*DH141+(1-EXP(-LN(2)/2))/(LN(2)/2)*DB142*DE142*VLOOKUP('Données projet'!$B$13,Paramètres!$A$1:$I$89,3,0)*0.475*44/12</f>
        <v>0</v>
      </c>
      <c r="DI142" s="22">
        <f t="shared" si="123"/>
        <v>0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-2.2737367544323206E-13</v>
      </c>
      <c r="O143" s="13">
        <f>N143*VLOOKUP('Données projet'!$B$9,Paramètres!$A$1:$I$89,3,0)*VLOOKUP('Données projet'!$B$9,Paramètres!$A$1:$I$89,5,0)</f>
        <v>-1.3596945791505279E-13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181.92766225683107</v>
      </c>
      <c r="T143" s="59">
        <f t="shared" si="142"/>
        <v>370.52917139565756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7.4415454290153056</v>
      </c>
      <c r="AA143" s="21">
        <f>EXP(-LN(2)/25)*AA142+(1-EXP(-LN(2)/25))/(LN(2)/25)*Calculateur!V143*Calculateur!X143*VLOOKUP('Données projet'!$B$9,Paramètres!$A$1:$I$89,3,0)*0.475*44/12</f>
        <v>2.7883313244747079</v>
      </c>
      <c r="AB143" s="21">
        <f>EXP(-LN(2)/2)*AB142+(1-EXP(-LN(2)/2))/(LN(2)/2)*V143*Y143*VLOOKUP('Données projet'!$B$9,Paramètres!$A$1:$I$89,3,0)*0.475*44/12</f>
        <v>1.2612562963681155E-14</v>
      </c>
      <c r="AC143" s="22">
        <f t="shared" si="111"/>
        <v>10.229876753490027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5.6843418860808015E-14</v>
      </c>
      <c r="AJ143" s="13">
        <f>AI143*VLOOKUP('Données projet'!$B$10,Paramètres!$A$1:$I$89,3,0)*VLOOKUP('Données projet'!$B$10,Paramètres!$A$1:$I$89,5,0)</f>
        <v>4.6111381379887463E-14</v>
      </c>
      <c r="AK143" s="13">
        <f t="shared" si="143"/>
        <v>7.5804141040779151E-13</v>
      </c>
      <c r="AL143" s="20">
        <f t="shared" si="112"/>
        <v>1.4005661123635408E-12</v>
      </c>
      <c r="AM143" s="59">
        <f t="shared" si="113"/>
        <v>293.33333333333474</v>
      </c>
      <c r="AN143" s="59">
        <f ca="1">AVERAGE(OFFSET($AM$3,0,0,'Données projet'!$E$10+1,1))-AVERAGE(OFFSET($H$3,0,0,'Données projet'!$E$10+1,1))</f>
        <v>235.31102883830971</v>
      </c>
      <c r="AO143" s="59">
        <f t="shared" si="144"/>
        <v>271.48630853790422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</v>
      </c>
      <c r="AV143" s="21">
        <f>EXP(-LN(2)/25)*AV142+(1-EXP(-LN(2)/25))/(LN(2)/25)*Calculateur!AQ143*Calculateur!AS143*VLOOKUP('Données projet'!$B$10,Paramètres!$A$1:$I$89,3,0)*0.475*44/12</f>
        <v>0.40291423803818782</v>
      </c>
      <c r="AW143" s="21">
        <f>EXP(-LN(2)/2)*AW142+(1-EXP(-LN(2)/2))/(LN(2)/2)*AQ143*AT143*VLOOKUP('Données projet'!$B$10,Paramètres!$A$1:$I$89,3,0)*0.475*44/12</f>
        <v>3.0454997807258019E-16</v>
      </c>
      <c r="AX143" s="21">
        <f t="shared" si="114"/>
        <v>0.4029142380381881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2.8421709430404007E-14</v>
      </c>
      <c r="BE143" s="13">
        <f>BD143*VLOOKUP('Données projet'!$B$11,Paramètres!$A$1:$I$89,3,0)*VLOOKUP('Données projet'!$B$11,Paramètres!$A$1:$I$89,5,0)</f>
        <v>3.2366642699344085E-14</v>
      </c>
      <c r="BF143" s="13">
        <f t="shared" si="145"/>
        <v>5.5446527398450045E-13</v>
      </c>
      <c r="BG143" s="20">
        <f t="shared" si="115"/>
        <v>1.0220655882243624E-12</v>
      </c>
      <c r="BH143" s="59">
        <f t="shared" si="116"/>
        <v>293.33333333333434</v>
      </c>
      <c r="BI143" s="59">
        <f ca="1">AVERAGE(OFFSET($BH$3,0,0,'Données projet'!$E$11+1,1))-AVERAGE(OFFSET($H$3,0,0,'Données projet'!$E$11+1,1))</f>
        <v>249.01678065306629</v>
      </c>
      <c r="BJ143" s="59">
        <f t="shared" si="146"/>
        <v>99.639724892155641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0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>
        <f>BY143*VLOOKUP('Données projet'!$B$12,Paramètres!$A$1:$I$89,3,0)*VLOOKUP('Données projet'!$B$12,Paramètres!$A$1:$I$89,5,0)</f>
        <v>0</v>
      </c>
      <c r="CA143" s="13" t="e">
        <f t="shared" si="147"/>
        <v>#NUM!</v>
      </c>
      <c r="CB143" s="20" t="e">
        <f t="shared" si="118"/>
        <v>#NUM!</v>
      </c>
      <c r="CC143" s="59" t="e">
        <f t="shared" si="119"/>
        <v>#NUM!</v>
      </c>
      <c r="CD143" s="59">
        <f ca="1">AVERAGE(OFFSET($CC$3,0,0,'Données projet'!$E$12+1,1))-AVERAGE(OFFSET($H$3,0,0,'Données projet'!$E$12+1,1))</f>
        <v>0</v>
      </c>
      <c r="CE143" s="59">
        <f t="shared" si="148"/>
        <v>0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</v>
      </c>
      <c r="CL143" s="21">
        <f>EXP(-LN(2)/25)*CL142+(1-EXP(-LN(2)/25))/(LN(2)/25)*Calculateur!CG143*Calculateur!CI143*VLOOKUP('Données projet'!$B$12,Paramètres!$A$1:$I$89,3,0)*0.475*44/12</f>
        <v>0</v>
      </c>
      <c r="CM143" s="21">
        <f>EXP(-LN(2)/2)*CM142+(1-EXP(-LN(2)/2))/(LN(2)/2)*CG143*CJ143*VLOOKUP('Données projet'!$B$12,Paramètres!$A$1:$I$89,3,0)*0.475*44/12</f>
        <v>0</v>
      </c>
      <c r="CN143" s="22">
        <f t="shared" si="120"/>
        <v>0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>
        <f>CT143*VLOOKUP('Données projet'!$B$13,Paramètres!$A$1:$I$89,3,0)*VLOOKUP('Données projet'!$B$13,Paramètres!$A$1:$I$89,5,0)</f>
        <v>0</v>
      </c>
      <c r="CV143" s="13" t="e">
        <f t="shared" si="149"/>
        <v>#NUM!</v>
      </c>
      <c r="CW143" s="20" t="e">
        <f t="shared" si="121"/>
        <v>#NUM!</v>
      </c>
      <c r="CX143" s="59" t="e">
        <f t="shared" si="122"/>
        <v>#NUM!</v>
      </c>
      <c r="CY143" s="59">
        <f ca="1">AVERAGE(OFFSET($CX$3,0,0,'Données projet'!$E$13+1,1))-AVERAGE(OFFSET($H$3,0,0,'Données projet'!$E$13+1,1))</f>
        <v>0</v>
      </c>
      <c r="CZ143" s="59">
        <f t="shared" si="150"/>
        <v>0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0</v>
      </c>
      <c r="DG143" s="21">
        <f>EXP(-LN(2)/25)*DG142+(1-EXP(-LN(2)/25))/(LN(2)/25)*Calculateur!DB143*Calculateur!DD143*VLOOKUP('Données projet'!$B$13,Paramètres!$A$1:$I$89,3,0)*0.475*44/12</f>
        <v>0</v>
      </c>
      <c r="DH143" s="21">
        <f>EXP(-LN(2)/2)*DH142+(1-EXP(-LN(2)/2))/(LN(2)/2)*DB143*DE143*VLOOKUP('Données projet'!$B$13,Paramètres!$A$1:$I$89,3,0)*0.475*44/12</f>
        <v>0</v>
      </c>
      <c r="DI143" s="22">
        <f t="shared" si="123"/>
        <v>0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-2.2737367544323206E-13</v>
      </c>
      <c r="O144" s="13">
        <f>N144*VLOOKUP('Données projet'!$B$9,Paramètres!$A$1:$I$89,3,0)*VLOOKUP('Données projet'!$B$9,Paramètres!$A$1:$I$89,5,0)</f>
        <v>-1.3596945791505279E-13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181.92766225683107</v>
      </c>
      <c r="T144" s="59">
        <f t="shared" si="142"/>
        <v>370.52917139565756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7.2956212620468488</v>
      </c>
      <c r="AA144" s="21">
        <f>EXP(-LN(2)/25)*AA143+(1-EXP(-LN(2)/25))/(LN(2)/25)*Calculateur!V144*Calculateur!X144*VLOOKUP('Données projet'!$B$9,Paramètres!$A$1:$I$89,3,0)*0.475*44/12</f>
        <v>2.7120842577749755</v>
      </c>
      <c r="AB144" s="21">
        <f>EXP(-LN(2)/2)*AB143+(1-EXP(-LN(2)/2))/(LN(2)/2)*V144*Y144*VLOOKUP('Données projet'!$B$9,Paramètres!$A$1:$I$89,3,0)*0.475*44/12</f>
        <v>8.9184287997612436E-15</v>
      </c>
      <c r="AC144" s="22">
        <f t="shared" si="111"/>
        <v>10.007705519821833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5.6843418860808015E-14</v>
      </c>
      <c r="AJ144" s="13">
        <f>AI144*VLOOKUP('Données projet'!$B$10,Paramètres!$A$1:$I$89,3,0)*VLOOKUP('Données projet'!$B$10,Paramètres!$A$1:$I$89,5,0)</f>
        <v>4.6111381379887463E-14</v>
      </c>
      <c r="AK144" s="13">
        <f t="shared" si="143"/>
        <v>7.5804141040779151E-13</v>
      </c>
      <c r="AL144" s="20">
        <f t="shared" si="112"/>
        <v>1.4005661123635408E-12</v>
      </c>
      <c r="AM144" s="59">
        <f t="shared" si="113"/>
        <v>293.33333333333474</v>
      </c>
      <c r="AN144" s="59">
        <f ca="1">AVERAGE(OFFSET($AM$3,0,0,'Données projet'!$E$10+1,1))-AVERAGE(OFFSET($H$3,0,0,'Données projet'!$E$10+1,1))</f>
        <v>235.31102883830971</v>
      </c>
      <c r="AO144" s="59">
        <f t="shared" si="144"/>
        <v>271.48630853790422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</v>
      </c>
      <c r="AV144" s="21">
        <f>EXP(-LN(2)/25)*AV143+(1-EXP(-LN(2)/25))/(LN(2)/25)*Calculateur!AQ144*Calculateur!AS144*VLOOKUP('Données projet'!$B$10,Paramètres!$A$1:$I$89,3,0)*0.475*44/12</f>
        <v>0.39189652701069466</v>
      </c>
      <c r="AW144" s="21">
        <f>EXP(-LN(2)/2)*AW143+(1-EXP(-LN(2)/2))/(LN(2)/2)*AQ144*AT144*VLOOKUP('Données projet'!$B$10,Paramètres!$A$1:$I$89,3,0)*0.475*44/12</f>
        <v>2.1534935470533581E-16</v>
      </c>
      <c r="AX144" s="21">
        <f t="shared" si="114"/>
        <v>0.39189652701069488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2.8421709430404007E-14</v>
      </c>
      <c r="BE144" s="13">
        <f>BD144*VLOOKUP('Données projet'!$B$11,Paramètres!$A$1:$I$89,3,0)*VLOOKUP('Données projet'!$B$11,Paramètres!$A$1:$I$89,5,0)</f>
        <v>3.2366642699344085E-14</v>
      </c>
      <c r="BF144" s="13">
        <f t="shared" si="145"/>
        <v>5.5446527398450045E-13</v>
      </c>
      <c r="BG144" s="20">
        <f t="shared" si="115"/>
        <v>1.0220655882243624E-12</v>
      </c>
      <c r="BH144" s="59">
        <f t="shared" si="116"/>
        <v>293.33333333333434</v>
      </c>
      <c r="BI144" s="59">
        <f ca="1">AVERAGE(OFFSET($BH$3,0,0,'Données projet'!$E$11+1,1))-AVERAGE(OFFSET($H$3,0,0,'Données projet'!$E$11+1,1))</f>
        <v>249.01678065306629</v>
      </c>
      <c r="BJ144" s="59">
        <f t="shared" si="146"/>
        <v>99.639724892155641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0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>
        <f>BY144*VLOOKUP('Données projet'!$B$12,Paramètres!$A$1:$I$89,3,0)*VLOOKUP('Données projet'!$B$12,Paramètres!$A$1:$I$89,5,0)</f>
        <v>0</v>
      </c>
      <c r="CA144" s="13" t="e">
        <f t="shared" si="147"/>
        <v>#NUM!</v>
      </c>
      <c r="CB144" s="20" t="e">
        <f t="shared" si="118"/>
        <v>#NUM!</v>
      </c>
      <c r="CC144" s="59" t="e">
        <f t="shared" si="119"/>
        <v>#NUM!</v>
      </c>
      <c r="CD144" s="59">
        <f ca="1">AVERAGE(OFFSET($CC$3,0,0,'Données projet'!$E$12+1,1))-AVERAGE(OFFSET($H$3,0,0,'Données projet'!$E$12+1,1))</f>
        <v>0</v>
      </c>
      <c r="CE144" s="59">
        <f t="shared" si="148"/>
        <v>0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</v>
      </c>
      <c r="CL144" s="21">
        <f>EXP(-LN(2)/25)*CL143+(1-EXP(-LN(2)/25))/(LN(2)/25)*Calculateur!CG144*Calculateur!CI144*VLOOKUP('Données projet'!$B$12,Paramètres!$A$1:$I$89,3,0)*0.475*44/12</f>
        <v>0</v>
      </c>
      <c r="CM144" s="21">
        <f>EXP(-LN(2)/2)*CM143+(1-EXP(-LN(2)/2))/(LN(2)/2)*CG144*CJ144*VLOOKUP('Données projet'!$B$12,Paramètres!$A$1:$I$89,3,0)*0.475*44/12</f>
        <v>0</v>
      </c>
      <c r="CN144" s="22">
        <f t="shared" si="120"/>
        <v>0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>
        <f>CT144*VLOOKUP('Données projet'!$B$13,Paramètres!$A$1:$I$89,3,0)*VLOOKUP('Données projet'!$B$13,Paramètres!$A$1:$I$89,5,0)</f>
        <v>0</v>
      </c>
      <c r="CV144" s="13" t="e">
        <f t="shared" si="149"/>
        <v>#NUM!</v>
      </c>
      <c r="CW144" s="20" t="e">
        <f t="shared" si="121"/>
        <v>#NUM!</v>
      </c>
      <c r="CX144" s="59" t="e">
        <f t="shared" si="122"/>
        <v>#NUM!</v>
      </c>
      <c r="CY144" s="59">
        <f ca="1">AVERAGE(OFFSET($CX$3,0,0,'Données projet'!$E$13+1,1))-AVERAGE(OFFSET($H$3,0,0,'Données projet'!$E$13+1,1))</f>
        <v>0</v>
      </c>
      <c r="CZ144" s="59">
        <f t="shared" si="150"/>
        <v>0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0</v>
      </c>
      <c r="DG144" s="21">
        <f>EXP(-LN(2)/25)*DG143+(1-EXP(-LN(2)/25))/(LN(2)/25)*Calculateur!DB144*Calculateur!DD144*VLOOKUP('Données projet'!$B$13,Paramètres!$A$1:$I$89,3,0)*0.475*44/12</f>
        <v>0</v>
      </c>
      <c r="DH144" s="21">
        <f>EXP(-LN(2)/2)*DH143+(1-EXP(-LN(2)/2))/(LN(2)/2)*DB144*DE144*VLOOKUP('Données projet'!$B$13,Paramètres!$A$1:$I$89,3,0)*0.475*44/12</f>
        <v>0</v>
      </c>
      <c r="DI144" s="22">
        <f t="shared" si="123"/>
        <v>0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-2.2737367544323206E-13</v>
      </c>
      <c r="O145" s="13">
        <f>N145*VLOOKUP('Données projet'!$B$9,Paramètres!$A$1:$I$89,3,0)*VLOOKUP('Données projet'!$B$9,Paramètres!$A$1:$I$89,5,0)</f>
        <v>-1.3596945791505279E-13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181.92766225683107</v>
      </c>
      <c r="T145" s="59">
        <f t="shared" si="142"/>
        <v>370.52917139565756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7.1525585789876898</v>
      </c>
      <c r="AA145" s="21">
        <f>EXP(-LN(2)/25)*AA144+(1-EXP(-LN(2)/25))/(LN(2)/25)*Calculateur!V145*Calculateur!X145*VLOOKUP('Données projet'!$B$9,Paramètres!$A$1:$I$89,3,0)*0.475*44/12</f>
        <v>2.6379221711238063</v>
      </c>
      <c r="AB145" s="21">
        <f>EXP(-LN(2)/2)*AB144+(1-EXP(-LN(2)/2))/(LN(2)/2)*V145*Y145*VLOOKUP('Données projet'!$B$9,Paramètres!$A$1:$I$89,3,0)*0.475*44/12</f>
        <v>6.3062814818405775E-15</v>
      </c>
      <c r="AC145" s="22">
        <f t="shared" si="111"/>
        <v>9.7904807501115023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5.6843418860808015E-14</v>
      </c>
      <c r="AJ145" s="13">
        <f>AI145*VLOOKUP('Données projet'!$B$10,Paramètres!$A$1:$I$89,3,0)*VLOOKUP('Données projet'!$B$10,Paramètres!$A$1:$I$89,5,0)</f>
        <v>4.6111381379887463E-14</v>
      </c>
      <c r="AK145" s="13">
        <f t="shared" si="143"/>
        <v>7.5804141040779151E-13</v>
      </c>
      <c r="AL145" s="20">
        <f t="shared" si="112"/>
        <v>1.4005661123635408E-12</v>
      </c>
      <c r="AM145" s="59">
        <f t="shared" si="113"/>
        <v>293.33333333333474</v>
      </c>
      <c r="AN145" s="59">
        <f ca="1">AVERAGE(OFFSET($AM$3,0,0,'Données projet'!$E$10+1,1))-AVERAGE(OFFSET($H$3,0,0,'Données projet'!$E$10+1,1))</f>
        <v>235.31102883830971</v>
      </c>
      <c r="AO145" s="59">
        <f t="shared" si="144"/>
        <v>271.48630853790422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</v>
      </c>
      <c r="AV145" s="21">
        <f>EXP(-LN(2)/25)*AV144+(1-EXP(-LN(2)/25))/(LN(2)/25)*Calculateur!AQ145*Calculateur!AS145*VLOOKUP('Données projet'!$B$10,Paramètres!$A$1:$I$89,3,0)*0.475*44/12</f>
        <v>0.38118009587064455</v>
      </c>
      <c r="AW145" s="21">
        <f>EXP(-LN(2)/2)*AW144+(1-EXP(-LN(2)/2))/(LN(2)/2)*AQ145*AT145*VLOOKUP('Données projet'!$B$10,Paramètres!$A$1:$I$89,3,0)*0.475*44/12</f>
        <v>1.5227498903629009E-16</v>
      </c>
      <c r="AX145" s="21">
        <f t="shared" si="114"/>
        <v>0.38118009587064472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2.8421709430404007E-14</v>
      </c>
      <c r="BE145" s="13">
        <f>BD145*VLOOKUP('Données projet'!$B$11,Paramètres!$A$1:$I$89,3,0)*VLOOKUP('Données projet'!$B$11,Paramètres!$A$1:$I$89,5,0)</f>
        <v>3.2366642699344085E-14</v>
      </c>
      <c r="BF145" s="13">
        <f t="shared" si="145"/>
        <v>5.5446527398450045E-13</v>
      </c>
      <c r="BG145" s="20">
        <f t="shared" si="115"/>
        <v>1.0220655882243624E-12</v>
      </c>
      <c r="BH145" s="59">
        <f t="shared" si="116"/>
        <v>293.33333333333434</v>
      </c>
      <c r="BI145" s="59">
        <f ca="1">AVERAGE(OFFSET($BH$3,0,0,'Données projet'!$E$11+1,1))-AVERAGE(OFFSET($H$3,0,0,'Données projet'!$E$11+1,1))</f>
        <v>249.01678065306629</v>
      </c>
      <c r="BJ145" s="59">
        <f t="shared" si="146"/>
        <v>99.639724892155641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0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>
        <f>BY145*VLOOKUP('Données projet'!$B$12,Paramètres!$A$1:$I$89,3,0)*VLOOKUP('Données projet'!$B$12,Paramètres!$A$1:$I$89,5,0)</f>
        <v>0</v>
      </c>
      <c r="CA145" s="13" t="e">
        <f t="shared" si="147"/>
        <v>#NUM!</v>
      </c>
      <c r="CB145" s="20" t="e">
        <f t="shared" si="118"/>
        <v>#NUM!</v>
      </c>
      <c r="CC145" s="59" t="e">
        <f t="shared" si="119"/>
        <v>#NUM!</v>
      </c>
      <c r="CD145" s="59">
        <f ca="1">AVERAGE(OFFSET($CC$3,0,0,'Données projet'!$E$12+1,1))-AVERAGE(OFFSET($H$3,0,0,'Données projet'!$E$12+1,1))</f>
        <v>0</v>
      </c>
      <c r="CE145" s="59">
        <f t="shared" si="148"/>
        <v>0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</v>
      </c>
      <c r="CL145" s="21">
        <f>EXP(-LN(2)/25)*CL144+(1-EXP(-LN(2)/25))/(LN(2)/25)*Calculateur!CG145*Calculateur!CI145*VLOOKUP('Données projet'!$B$12,Paramètres!$A$1:$I$89,3,0)*0.475*44/12</f>
        <v>0</v>
      </c>
      <c r="CM145" s="21">
        <f>EXP(-LN(2)/2)*CM144+(1-EXP(-LN(2)/2))/(LN(2)/2)*CG145*CJ145*VLOOKUP('Données projet'!$B$12,Paramètres!$A$1:$I$89,3,0)*0.475*44/12</f>
        <v>0</v>
      </c>
      <c r="CN145" s="22">
        <f t="shared" si="120"/>
        <v>0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>
        <f>CT145*VLOOKUP('Données projet'!$B$13,Paramètres!$A$1:$I$89,3,0)*VLOOKUP('Données projet'!$B$13,Paramètres!$A$1:$I$89,5,0)</f>
        <v>0</v>
      </c>
      <c r="CV145" s="13" t="e">
        <f t="shared" si="149"/>
        <v>#NUM!</v>
      </c>
      <c r="CW145" s="20" t="e">
        <f t="shared" si="121"/>
        <v>#NUM!</v>
      </c>
      <c r="CX145" s="59" t="e">
        <f t="shared" si="122"/>
        <v>#NUM!</v>
      </c>
      <c r="CY145" s="59">
        <f ca="1">AVERAGE(OFFSET($CX$3,0,0,'Données projet'!$E$13+1,1))-AVERAGE(OFFSET($H$3,0,0,'Données projet'!$E$13+1,1))</f>
        <v>0</v>
      </c>
      <c r="CZ145" s="59">
        <f t="shared" si="150"/>
        <v>0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0</v>
      </c>
      <c r="DG145" s="21">
        <f>EXP(-LN(2)/25)*DG144+(1-EXP(-LN(2)/25))/(LN(2)/25)*Calculateur!DB145*Calculateur!DD145*VLOOKUP('Données projet'!$B$13,Paramètres!$A$1:$I$89,3,0)*0.475*44/12</f>
        <v>0</v>
      </c>
      <c r="DH145" s="21">
        <f>EXP(-LN(2)/2)*DH144+(1-EXP(-LN(2)/2))/(LN(2)/2)*DB145*DE145*VLOOKUP('Données projet'!$B$13,Paramètres!$A$1:$I$89,3,0)*0.475*44/12</f>
        <v>0</v>
      </c>
      <c r="DI145" s="22">
        <f t="shared" si="123"/>
        <v>0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-2.2737367544323206E-13</v>
      </c>
      <c r="O146" s="13">
        <f>N146*VLOOKUP('Données projet'!$B$9,Paramètres!$A$1:$I$89,3,0)*VLOOKUP('Données projet'!$B$9,Paramètres!$A$1:$I$89,5,0)</f>
        <v>-1.3596945791505279E-13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181.92766225683107</v>
      </c>
      <c r="T146" s="59">
        <f t="shared" si="142"/>
        <v>370.52917139565756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7.0123012678837</v>
      </c>
      <c r="AA146" s="21">
        <f>EXP(-LN(2)/25)*AA145+(1-EXP(-LN(2)/25))/(LN(2)/25)*Calculateur!V146*Calculateur!X146*VLOOKUP('Données projet'!$B$9,Paramètres!$A$1:$I$89,3,0)*0.475*44/12</f>
        <v>2.5657880506321278</v>
      </c>
      <c r="AB146" s="21">
        <f>EXP(-LN(2)/2)*AB145+(1-EXP(-LN(2)/2))/(LN(2)/2)*V146*Y146*VLOOKUP('Données projet'!$B$9,Paramètres!$A$1:$I$89,3,0)*0.475*44/12</f>
        <v>4.4592143998806218E-15</v>
      </c>
      <c r="AC146" s="22">
        <f t="shared" si="111"/>
        <v>9.5780893185158327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5.6843418860808015E-14</v>
      </c>
      <c r="AJ146" s="13">
        <f>AI146*VLOOKUP('Données projet'!$B$10,Paramètres!$A$1:$I$89,3,0)*VLOOKUP('Données projet'!$B$10,Paramètres!$A$1:$I$89,5,0)</f>
        <v>4.6111381379887463E-14</v>
      </c>
      <c r="AK146" s="13">
        <f t="shared" si="143"/>
        <v>7.5804141040779151E-13</v>
      </c>
      <c r="AL146" s="20">
        <f t="shared" si="112"/>
        <v>1.4005661123635408E-12</v>
      </c>
      <c r="AM146" s="59">
        <f t="shared" si="113"/>
        <v>293.33333333333474</v>
      </c>
      <c r="AN146" s="59">
        <f ca="1">AVERAGE(OFFSET($AM$3,0,0,'Données projet'!$E$10+1,1))-AVERAGE(OFFSET($H$3,0,0,'Données projet'!$E$10+1,1))</f>
        <v>235.31102883830971</v>
      </c>
      <c r="AO146" s="59">
        <f t="shared" si="144"/>
        <v>271.48630853790422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</v>
      </c>
      <c r="AV146" s="21">
        <f>EXP(-LN(2)/25)*AV145+(1-EXP(-LN(2)/25))/(LN(2)/25)*Calculateur!AQ146*Calculateur!AS146*VLOOKUP('Données projet'!$B$10,Paramètres!$A$1:$I$89,3,0)*0.475*44/12</f>
        <v>0.37075670610367173</v>
      </c>
      <c r="AW146" s="21">
        <f>EXP(-LN(2)/2)*AW145+(1-EXP(-LN(2)/2))/(LN(2)/2)*AQ146*AT146*VLOOKUP('Données projet'!$B$10,Paramètres!$A$1:$I$89,3,0)*0.475*44/12</f>
        <v>1.076746773526679E-16</v>
      </c>
      <c r="AX146" s="21">
        <f t="shared" si="114"/>
        <v>0.37075670610367184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2.8421709430404007E-14</v>
      </c>
      <c r="BE146" s="13">
        <f>BD146*VLOOKUP('Données projet'!$B$11,Paramètres!$A$1:$I$89,3,0)*VLOOKUP('Données projet'!$B$11,Paramètres!$A$1:$I$89,5,0)</f>
        <v>3.2366642699344085E-14</v>
      </c>
      <c r="BF146" s="13">
        <f t="shared" si="145"/>
        <v>5.5446527398450045E-13</v>
      </c>
      <c r="BG146" s="20">
        <f t="shared" si="115"/>
        <v>1.0220655882243624E-12</v>
      </c>
      <c r="BH146" s="59">
        <f t="shared" si="116"/>
        <v>293.33333333333434</v>
      </c>
      <c r="BI146" s="59">
        <f ca="1">AVERAGE(OFFSET($BH$3,0,0,'Données projet'!$E$11+1,1))-AVERAGE(OFFSET($H$3,0,0,'Données projet'!$E$11+1,1))</f>
        <v>249.01678065306629</v>
      </c>
      <c r="BJ146" s="59">
        <f t="shared" si="146"/>
        <v>99.639724892155641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0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>
        <f>BY146*VLOOKUP('Données projet'!$B$12,Paramètres!$A$1:$I$89,3,0)*VLOOKUP('Données projet'!$B$12,Paramètres!$A$1:$I$89,5,0)</f>
        <v>0</v>
      </c>
      <c r="CA146" s="13" t="e">
        <f t="shared" si="147"/>
        <v>#NUM!</v>
      </c>
      <c r="CB146" s="20" t="e">
        <f t="shared" si="118"/>
        <v>#NUM!</v>
      </c>
      <c r="CC146" s="59" t="e">
        <f t="shared" si="119"/>
        <v>#NUM!</v>
      </c>
      <c r="CD146" s="59">
        <f ca="1">AVERAGE(OFFSET($CC$3,0,0,'Données projet'!$E$12+1,1))-AVERAGE(OFFSET($H$3,0,0,'Données projet'!$E$12+1,1))</f>
        <v>0</v>
      </c>
      <c r="CE146" s="59">
        <f t="shared" si="148"/>
        <v>0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</v>
      </c>
      <c r="CL146" s="21">
        <f>EXP(-LN(2)/25)*CL145+(1-EXP(-LN(2)/25))/(LN(2)/25)*Calculateur!CG146*Calculateur!CI146*VLOOKUP('Données projet'!$B$12,Paramètres!$A$1:$I$89,3,0)*0.475*44/12</f>
        <v>0</v>
      </c>
      <c r="CM146" s="21">
        <f>EXP(-LN(2)/2)*CM145+(1-EXP(-LN(2)/2))/(LN(2)/2)*CG146*CJ146*VLOOKUP('Données projet'!$B$12,Paramètres!$A$1:$I$89,3,0)*0.475*44/12</f>
        <v>0</v>
      </c>
      <c r="CN146" s="22">
        <f t="shared" si="120"/>
        <v>0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>
        <f>CT146*VLOOKUP('Données projet'!$B$13,Paramètres!$A$1:$I$89,3,0)*VLOOKUP('Données projet'!$B$13,Paramètres!$A$1:$I$89,5,0)</f>
        <v>0</v>
      </c>
      <c r="CV146" s="13" t="e">
        <f t="shared" si="149"/>
        <v>#NUM!</v>
      </c>
      <c r="CW146" s="20" t="e">
        <f t="shared" si="121"/>
        <v>#NUM!</v>
      </c>
      <c r="CX146" s="59" t="e">
        <f t="shared" si="122"/>
        <v>#NUM!</v>
      </c>
      <c r="CY146" s="59">
        <f ca="1">AVERAGE(OFFSET($CX$3,0,0,'Données projet'!$E$13+1,1))-AVERAGE(OFFSET($H$3,0,0,'Données projet'!$E$13+1,1))</f>
        <v>0</v>
      </c>
      <c r="CZ146" s="59">
        <f t="shared" si="150"/>
        <v>0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0</v>
      </c>
      <c r="DG146" s="21">
        <f>EXP(-LN(2)/25)*DG145+(1-EXP(-LN(2)/25))/(LN(2)/25)*Calculateur!DB146*Calculateur!DD146*VLOOKUP('Données projet'!$B$13,Paramètres!$A$1:$I$89,3,0)*0.475*44/12</f>
        <v>0</v>
      </c>
      <c r="DH146" s="21">
        <f>EXP(-LN(2)/2)*DH145+(1-EXP(-LN(2)/2))/(LN(2)/2)*DB146*DE146*VLOOKUP('Données projet'!$B$13,Paramètres!$A$1:$I$89,3,0)*0.475*44/12</f>
        <v>0</v>
      </c>
      <c r="DI146" s="22">
        <f t="shared" si="123"/>
        <v>0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-2.2737367544323206E-13</v>
      </c>
      <c r="O147" s="13">
        <f>N147*VLOOKUP('Données projet'!$B$9,Paramètres!$A$1:$I$89,3,0)*VLOOKUP('Données projet'!$B$9,Paramètres!$A$1:$I$89,5,0)</f>
        <v>-1.3596945791505279E-13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181.92766225683107</v>
      </c>
      <c r="T147" s="59">
        <f t="shared" si="142"/>
        <v>370.52917139565756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6.874794317101947</v>
      </c>
      <c r="AA147" s="21">
        <f>EXP(-LN(2)/25)*AA146+(1-EXP(-LN(2)/25))/(LN(2)/25)*Calculateur!V147*Calculateur!X147*VLOOKUP('Données projet'!$B$9,Paramètres!$A$1:$I$89,3,0)*0.475*44/12</f>
        <v>2.4956264414586626</v>
      </c>
      <c r="AB147" s="21">
        <f>EXP(-LN(2)/2)*AB146+(1-EXP(-LN(2)/2))/(LN(2)/2)*V147*Y147*VLOOKUP('Données projet'!$B$9,Paramètres!$A$1:$I$89,3,0)*0.475*44/12</f>
        <v>3.1531407409202887E-15</v>
      </c>
      <c r="AC147" s="22">
        <f t="shared" si="111"/>
        <v>9.3704207585606127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5.6843418860808015E-14</v>
      </c>
      <c r="AJ147" s="13">
        <f>AI147*VLOOKUP('Données projet'!$B$10,Paramètres!$A$1:$I$89,3,0)*VLOOKUP('Données projet'!$B$10,Paramètres!$A$1:$I$89,5,0)</f>
        <v>4.6111381379887463E-14</v>
      </c>
      <c r="AK147" s="13">
        <f t="shared" si="143"/>
        <v>7.5804141040779151E-13</v>
      </c>
      <c r="AL147" s="20">
        <f t="shared" si="112"/>
        <v>1.4005661123635408E-12</v>
      </c>
      <c r="AM147" s="59">
        <f t="shared" si="113"/>
        <v>293.33333333333474</v>
      </c>
      <c r="AN147" s="59">
        <f ca="1">AVERAGE(OFFSET($AM$3,0,0,'Données projet'!$E$10+1,1))-AVERAGE(OFFSET($H$3,0,0,'Données projet'!$E$10+1,1))</f>
        <v>235.31102883830971</v>
      </c>
      <c r="AO147" s="59">
        <f t="shared" si="144"/>
        <v>271.48630853790422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</v>
      </c>
      <c r="AV147" s="21">
        <f>EXP(-LN(2)/25)*AV146+(1-EXP(-LN(2)/25))/(LN(2)/25)*Calculateur!AQ147*Calculateur!AS147*VLOOKUP('Données projet'!$B$10,Paramètres!$A$1:$I$89,3,0)*0.475*44/12</f>
        <v>0.36061834447801905</v>
      </c>
      <c r="AW147" s="21">
        <f>EXP(-LN(2)/2)*AW146+(1-EXP(-LN(2)/2))/(LN(2)/2)*AQ147*AT147*VLOOKUP('Données projet'!$B$10,Paramètres!$A$1:$I$89,3,0)*0.475*44/12</f>
        <v>7.6137494518145046E-17</v>
      </c>
      <c r="AX147" s="21">
        <f t="shared" si="114"/>
        <v>0.3606183444780191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2.8421709430404007E-14</v>
      </c>
      <c r="BE147" s="13">
        <f>BD147*VLOOKUP('Données projet'!$B$11,Paramètres!$A$1:$I$89,3,0)*VLOOKUP('Données projet'!$B$11,Paramètres!$A$1:$I$89,5,0)</f>
        <v>3.2366642699344085E-14</v>
      </c>
      <c r="BF147" s="13">
        <f t="shared" si="145"/>
        <v>5.5446527398450045E-13</v>
      </c>
      <c r="BG147" s="20">
        <f t="shared" si="115"/>
        <v>1.0220655882243624E-12</v>
      </c>
      <c r="BH147" s="59">
        <f t="shared" si="116"/>
        <v>293.33333333333434</v>
      </c>
      <c r="BI147" s="59">
        <f ca="1">AVERAGE(OFFSET($BH$3,0,0,'Données projet'!$E$11+1,1))-AVERAGE(OFFSET($H$3,0,0,'Données projet'!$E$11+1,1))</f>
        <v>249.01678065306629</v>
      </c>
      <c r="BJ147" s="59">
        <f t="shared" si="146"/>
        <v>99.639724892155641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0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>
        <f>BY147*VLOOKUP('Données projet'!$B$12,Paramètres!$A$1:$I$89,3,0)*VLOOKUP('Données projet'!$B$12,Paramètres!$A$1:$I$89,5,0)</f>
        <v>0</v>
      </c>
      <c r="CA147" s="13" t="e">
        <f t="shared" si="147"/>
        <v>#NUM!</v>
      </c>
      <c r="CB147" s="20" t="e">
        <f t="shared" si="118"/>
        <v>#NUM!</v>
      </c>
      <c r="CC147" s="59" t="e">
        <f t="shared" si="119"/>
        <v>#NUM!</v>
      </c>
      <c r="CD147" s="59">
        <f ca="1">AVERAGE(OFFSET($CC$3,0,0,'Données projet'!$E$12+1,1))-AVERAGE(OFFSET($H$3,0,0,'Données projet'!$E$12+1,1))</f>
        <v>0</v>
      </c>
      <c r="CE147" s="59">
        <f t="shared" si="148"/>
        <v>0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</v>
      </c>
      <c r="CL147" s="21">
        <f>EXP(-LN(2)/25)*CL146+(1-EXP(-LN(2)/25))/(LN(2)/25)*Calculateur!CG147*Calculateur!CI147*VLOOKUP('Données projet'!$B$12,Paramètres!$A$1:$I$89,3,0)*0.475*44/12</f>
        <v>0</v>
      </c>
      <c r="CM147" s="21">
        <f>EXP(-LN(2)/2)*CM146+(1-EXP(-LN(2)/2))/(LN(2)/2)*CG147*CJ147*VLOOKUP('Données projet'!$B$12,Paramètres!$A$1:$I$89,3,0)*0.475*44/12</f>
        <v>0</v>
      </c>
      <c r="CN147" s="22">
        <f t="shared" si="120"/>
        <v>0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>
        <f>CT147*VLOOKUP('Données projet'!$B$13,Paramètres!$A$1:$I$89,3,0)*VLOOKUP('Données projet'!$B$13,Paramètres!$A$1:$I$89,5,0)</f>
        <v>0</v>
      </c>
      <c r="CV147" s="13" t="e">
        <f t="shared" si="149"/>
        <v>#NUM!</v>
      </c>
      <c r="CW147" s="20" t="e">
        <f t="shared" si="121"/>
        <v>#NUM!</v>
      </c>
      <c r="CX147" s="59" t="e">
        <f t="shared" si="122"/>
        <v>#NUM!</v>
      </c>
      <c r="CY147" s="59">
        <f ca="1">AVERAGE(OFFSET($CX$3,0,0,'Données projet'!$E$13+1,1))-AVERAGE(OFFSET($H$3,0,0,'Données projet'!$E$13+1,1))</f>
        <v>0</v>
      </c>
      <c r="CZ147" s="59">
        <f t="shared" si="150"/>
        <v>0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0</v>
      </c>
      <c r="DG147" s="21">
        <f>EXP(-LN(2)/25)*DG146+(1-EXP(-LN(2)/25))/(LN(2)/25)*Calculateur!DB147*Calculateur!DD147*VLOOKUP('Données projet'!$B$13,Paramètres!$A$1:$I$89,3,0)*0.475*44/12</f>
        <v>0</v>
      </c>
      <c r="DH147" s="21">
        <f>EXP(-LN(2)/2)*DH146+(1-EXP(-LN(2)/2))/(LN(2)/2)*DB147*DE147*VLOOKUP('Données projet'!$B$13,Paramètres!$A$1:$I$89,3,0)*0.475*44/12</f>
        <v>0</v>
      </c>
      <c r="DI147" s="22">
        <f t="shared" si="123"/>
        <v>0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-2.2737367544323206E-13</v>
      </c>
      <c r="O148" s="13">
        <f>N148*VLOOKUP('Données projet'!$B$9,Paramètres!$A$1:$I$89,3,0)*VLOOKUP('Données projet'!$B$9,Paramètres!$A$1:$I$89,5,0)</f>
        <v>-1.3596945791505279E-13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181.92766225683107</v>
      </c>
      <c r="T148" s="59">
        <f t="shared" si="142"/>
        <v>370.52917139565756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6.7399837937540665</v>
      </c>
      <c r="AA148" s="21">
        <f>EXP(-LN(2)/25)*AA147+(1-EXP(-LN(2)/25))/(LN(2)/25)*Calculateur!V148*Calculateur!X148*VLOOKUP('Données projet'!$B$9,Paramètres!$A$1:$I$89,3,0)*0.475*44/12</f>
        <v>2.4273834051776846</v>
      </c>
      <c r="AB148" s="21">
        <f>EXP(-LN(2)/2)*AB147+(1-EXP(-LN(2)/2))/(LN(2)/2)*V148*Y148*VLOOKUP('Données projet'!$B$9,Paramètres!$A$1:$I$89,3,0)*0.475*44/12</f>
        <v>2.2296071999403109E-15</v>
      </c>
      <c r="AC148" s="22">
        <f t="shared" si="111"/>
        <v>9.1673671989317533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5.6843418860808015E-14</v>
      </c>
      <c r="AJ148" s="13">
        <f>AI148*VLOOKUP('Données projet'!$B$10,Paramètres!$A$1:$I$89,3,0)*VLOOKUP('Données projet'!$B$10,Paramètres!$A$1:$I$89,5,0)</f>
        <v>4.6111381379887463E-14</v>
      </c>
      <c r="AK148" s="13">
        <f t="shared" si="143"/>
        <v>7.5804141040779151E-13</v>
      </c>
      <c r="AL148" s="20">
        <f t="shared" si="112"/>
        <v>1.4005661123635408E-12</v>
      </c>
      <c r="AM148" s="59">
        <f t="shared" si="113"/>
        <v>293.33333333333474</v>
      </c>
      <c r="AN148" s="59">
        <f ca="1">AVERAGE(OFFSET($AM$3,0,0,'Données projet'!$E$10+1,1))-AVERAGE(OFFSET($H$3,0,0,'Données projet'!$E$10+1,1))</f>
        <v>235.31102883830971</v>
      </c>
      <c r="AO148" s="59">
        <f t="shared" si="144"/>
        <v>271.48630853790422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</v>
      </c>
      <c r="AV148" s="21">
        <f>EXP(-LN(2)/25)*AV147+(1-EXP(-LN(2)/25))/(LN(2)/25)*Calculateur!AQ148*Calculateur!AS148*VLOOKUP('Données projet'!$B$10,Paramètres!$A$1:$I$89,3,0)*0.475*44/12</f>
        <v>0.35075721688417311</v>
      </c>
      <c r="AW148" s="21">
        <f>EXP(-LN(2)/2)*AW147+(1-EXP(-LN(2)/2))/(LN(2)/2)*AQ148*AT148*VLOOKUP('Données projet'!$B$10,Paramètres!$A$1:$I$89,3,0)*0.475*44/12</f>
        <v>5.3837338676333952E-17</v>
      </c>
      <c r="AX148" s="21">
        <f t="shared" si="114"/>
        <v>0.35075721688417316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2.8421709430404007E-14</v>
      </c>
      <c r="BE148" s="13">
        <f>BD148*VLOOKUP('Données projet'!$B$11,Paramètres!$A$1:$I$89,3,0)*VLOOKUP('Données projet'!$B$11,Paramètres!$A$1:$I$89,5,0)</f>
        <v>3.2366642699344085E-14</v>
      </c>
      <c r="BF148" s="13">
        <f t="shared" si="145"/>
        <v>5.5446527398450045E-13</v>
      </c>
      <c r="BG148" s="20">
        <f t="shared" si="115"/>
        <v>1.0220655882243624E-12</v>
      </c>
      <c r="BH148" s="59">
        <f t="shared" si="116"/>
        <v>293.33333333333434</v>
      </c>
      <c r="BI148" s="59">
        <f ca="1">AVERAGE(OFFSET($BH$3,0,0,'Données projet'!$E$11+1,1))-AVERAGE(OFFSET($H$3,0,0,'Données projet'!$E$11+1,1))</f>
        <v>249.01678065306629</v>
      </c>
      <c r="BJ148" s="59">
        <f t="shared" si="146"/>
        <v>99.639724892155641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0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>
        <f>BY148*VLOOKUP('Données projet'!$B$12,Paramètres!$A$1:$I$89,3,0)*VLOOKUP('Données projet'!$B$12,Paramètres!$A$1:$I$89,5,0)</f>
        <v>0</v>
      </c>
      <c r="CA148" s="13" t="e">
        <f t="shared" si="147"/>
        <v>#NUM!</v>
      </c>
      <c r="CB148" s="20" t="e">
        <f t="shared" si="118"/>
        <v>#NUM!</v>
      </c>
      <c r="CC148" s="59" t="e">
        <f t="shared" si="119"/>
        <v>#NUM!</v>
      </c>
      <c r="CD148" s="59">
        <f ca="1">AVERAGE(OFFSET($CC$3,0,0,'Données projet'!$E$12+1,1))-AVERAGE(OFFSET($H$3,0,0,'Données projet'!$E$12+1,1))</f>
        <v>0</v>
      </c>
      <c r="CE148" s="59">
        <f t="shared" si="148"/>
        <v>0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</v>
      </c>
      <c r="CL148" s="21">
        <f>EXP(-LN(2)/25)*CL147+(1-EXP(-LN(2)/25))/(LN(2)/25)*Calculateur!CG148*Calculateur!CI148*VLOOKUP('Données projet'!$B$12,Paramètres!$A$1:$I$89,3,0)*0.475*44/12</f>
        <v>0</v>
      </c>
      <c r="CM148" s="21">
        <f>EXP(-LN(2)/2)*CM147+(1-EXP(-LN(2)/2))/(LN(2)/2)*CG148*CJ148*VLOOKUP('Données projet'!$B$12,Paramètres!$A$1:$I$89,3,0)*0.475*44/12</f>
        <v>0</v>
      </c>
      <c r="CN148" s="22">
        <f t="shared" si="120"/>
        <v>0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>
        <f>CT148*VLOOKUP('Données projet'!$B$13,Paramètres!$A$1:$I$89,3,0)*VLOOKUP('Données projet'!$B$13,Paramètres!$A$1:$I$89,5,0)</f>
        <v>0</v>
      </c>
      <c r="CV148" s="13" t="e">
        <f t="shared" si="149"/>
        <v>#NUM!</v>
      </c>
      <c r="CW148" s="20" t="e">
        <f t="shared" si="121"/>
        <v>#NUM!</v>
      </c>
      <c r="CX148" s="59" t="e">
        <f t="shared" si="122"/>
        <v>#NUM!</v>
      </c>
      <c r="CY148" s="59">
        <f ca="1">AVERAGE(OFFSET($CX$3,0,0,'Données projet'!$E$13+1,1))-AVERAGE(OFFSET($H$3,0,0,'Données projet'!$E$13+1,1))</f>
        <v>0</v>
      </c>
      <c r="CZ148" s="59">
        <f t="shared" si="150"/>
        <v>0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0</v>
      </c>
      <c r="DG148" s="21">
        <f>EXP(-LN(2)/25)*DG147+(1-EXP(-LN(2)/25))/(LN(2)/25)*Calculateur!DB148*Calculateur!DD148*VLOOKUP('Données projet'!$B$13,Paramètres!$A$1:$I$89,3,0)*0.475*44/12</f>
        <v>0</v>
      </c>
      <c r="DH148" s="21">
        <f>EXP(-LN(2)/2)*DH147+(1-EXP(-LN(2)/2))/(LN(2)/2)*DB148*DE148*VLOOKUP('Données projet'!$B$13,Paramètres!$A$1:$I$89,3,0)*0.475*44/12</f>
        <v>0</v>
      </c>
      <c r="DI148" s="22">
        <f t="shared" si="123"/>
        <v>0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-2.2737367544323206E-13</v>
      </c>
      <c r="O149" s="13">
        <f>N149*VLOOKUP('Données projet'!$B$9,Paramètres!$A$1:$I$89,3,0)*VLOOKUP('Données projet'!$B$9,Paramètres!$A$1:$I$89,5,0)</f>
        <v>-1.3596945791505279E-13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181.92766225683107</v>
      </c>
      <c r="T149" s="59">
        <f t="shared" si="142"/>
        <v>370.52917139565756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6.6078168225427376</v>
      </c>
      <c r="AA149" s="21">
        <f>EXP(-LN(2)/25)*AA148+(1-EXP(-LN(2)/25))/(LN(2)/25)*Calculateur!V149*Calculateur!X149*VLOOKUP('Données projet'!$B$9,Paramètres!$A$1:$I$89,3,0)*0.475*44/12</f>
        <v>2.3610064783125555</v>
      </c>
      <c r="AB149" s="21">
        <f>EXP(-LN(2)/2)*AB148+(1-EXP(-LN(2)/2))/(LN(2)/2)*V149*Y149*VLOOKUP('Données projet'!$B$9,Paramètres!$A$1:$I$89,3,0)*0.475*44/12</f>
        <v>1.5765703704601444E-15</v>
      </c>
      <c r="AC149" s="22">
        <f t="shared" si="111"/>
        <v>8.9688233008552949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5.6843418860808015E-14</v>
      </c>
      <c r="AJ149" s="13">
        <f>AI149*VLOOKUP('Données projet'!$B$10,Paramètres!$A$1:$I$89,3,0)*VLOOKUP('Données projet'!$B$10,Paramètres!$A$1:$I$89,5,0)</f>
        <v>4.6111381379887463E-14</v>
      </c>
      <c r="AK149" s="13">
        <f t="shared" si="143"/>
        <v>7.5804141040779151E-13</v>
      </c>
      <c r="AL149" s="20">
        <f t="shared" si="112"/>
        <v>1.4005661123635408E-12</v>
      </c>
      <c r="AM149" s="59">
        <f t="shared" si="113"/>
        <v>293.33333333333474</v>
      </c>
      <c r="AN149" s="59">
        <f ca="1">AVERAGE(OFFSET($AM$3,0,0,'Données projet'!$E$10+1,1))-AVERAGE(OFFSET($H$3,0,0,'Données projet'!$E$10+1,1))</f>
        <v>235.31102883830971</v>
      </c>
      <c r="AO149" s="59">
        <f t="shared" si="144"/>
        <v>271.48630853790422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</v>
      </c>
      <c r="AV149" s="21">
        <f>EXP(-LN(2)/25)*AV148+(1-EXP(-LN(2)/25))/(LN(2)/25)*Calculateur!AQ149*Calculateur!AS149*VLOOKUP('Données projet'!$B$10,Paramètres!$A$1:$I$89,3,0)*0.475*44/12</f>
        <v>0.34116574234295505</v>
      </c>
      <c r="AW149" s="21">
        <f>EXP(-LN(2)/2)*AW148+(1-EXP(-LN(2)/2))/(LN(2)/2)*AQ149*AT149*VLOOKUP('Données projet'!$B$10,Paramètres!$A$1:$I$89,3,0)*0.475*44/12</f>
        <v>3.8068747259072523E-17</v>
      </c>
      <c r="AX149" s="21">
        <f t="shared" si="114"/>
        <v>0.3411657423429551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2.8421709430404007E-14</v>
      </c>
      <c r="BE149" s="13">
        <f>BD149*VLOOKUP('Données projet'!$B$11,Paramètres!$A$1:$I$89,3,0)*VLOOKUP('Données projet'!$B$11,Paramètres!$A$1:$I$89,5,0)</f>
        <v>3.2366642699344085E-14</v>
      </c>
      <c r="BF149" s="13">
        <f t="shared" si="145"/>
        <v>5.5446527398450045E-13</v>
      </c>
      <c r="BG149" s="20">
        <f t="shared" si="115"/>
        <v>1.0220655882243624E-12</v>
      </c>
      <c r="BH149" s="59">
        <f t="shared" si="116"/>
        <v>293.33333333333434</v>
      </c>
      <c r="BI149" s="59">
        <f ca="1">AVERAGE(OFFSET($BH$3,0,0,'Données projet'!$E$11+1,1))-AVERAGE(OFFSET($H$3,0,0,'Données projet'!$E$11+1,1))</f>
        <v>249.01678065306629</v>
      </c>
      <c r="BJ149" s="59">
        <f t="shared" si="146"/>
        <v>99.639724892155641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0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>
        <f>BY149*VLOOKUP('Données projet'!$B$12,Paramètres!$A$1:$I$89,3,0)*VLOOKUP('Données projet'!$B$12,Paramètres!$A$1:$I$89,5,0)</f>
        <v>0</v>
      </c>
      <c r="CA149" s="13" t="e">
        <f t="shared" si="147"/>
        <v>#NUM!</v>
      </c>
      <c r="CB149" s="20" t="e">
        <f t="shared" si="118"/>
        <v>#NUM!</v>
      </c>
      <c r="CC149" s="59" t="e">
        <f t="shared" si="119"/>
        <v>#NUM!</v>
      </c>
      <c r="CD149" s="59">
        <f ca="1">AVERAGE(OFFSET($CC$3,0,0,'Données projet'!$E$12+1,1))-AVERAGE(OFFSET($H$3,0,0,'Données projet'!$E$12+1,1))</f>
        <v>0</v>
      </c>
      <c r="CE149" s="59">
        <f t="shared" si="148"/>
        <v>0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</v>
      </c>
      <c r="CL149" s="21">
        <f>EXP(-LN(2)/25)*CL148+(1-EXP(-LN(2)/25))/(LN(2)/25)*Calculateur!CG149*Calculateur!CI149*VLOOKUP('Données projet'!$B$12,Paramètres!$A$1:$I$89,3,0)*0.475*44/12</f>
        <v>0</v>
      </c>
      <c r="CM149" s="21">
        <f>EXP(-LN(2)/2)*CM148+(1-EXP(-LN(2)/2))/(LN(2)/2)*CG149*CJ149*VLOOKUP('Données projet'!$B$12,Paramètres!$A$1:$I$89,3,0)*0.475*44/12</f>
        <v>0</v>
      </c>
      <c r="CN149" s="22">
        <f t="shared" si="120"/>
        <v>0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>
        <f>CT149*VLOOKUP('Données projet'!$B$13,Paramètres!$A$1:$I$89,3,0)*VLOOKUP('Données projet'!$B$13,Paramètres!$A$1:$I$89,5,0)</f>
        <v>0</v>
      </c>
      <c r="CV149" s="13" t="e">
        <f t="shared" si="149"/>
        <v>#NUM!</v>
      </c>
      <c r="CW149" s="20" t="e">
        <f t="shared" si="121"/>
        <v>#NUM!</v>
      </c>
      <c r="CX149" s="59" t="e">
        <f t="shared" si="122"/>
        <v>#NUM!</v>
      </c>
      <c r="CY149" s="59">
        <f ca="1">AVERAGE(OFFSET($CX$3,0,0,'Données projet'!$E$13+1,1))-AVERAGE(OFFSET($H$3,0,0,'Données projet'!$E$13+1,1))</f>
        <v>0</v>
      </c>
      <c r="CZ149" s="59">
        <f t="shared" si="150"/>
        <v>0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0</v>
      </c>
      <c r="DG149" s="21">
        <f>EXP(-LN(2)/25)*DG148+(1-EXP(-LN(2)/25))/(LN(2)/25)*Calculateur!DB149*Calculateur!DD149*VLOOKUP('Données projet'!$B$13,Paramètres!$A$1:$I$89,3,0)*0.475*44/12</f>
        <v>0</v>
      </c>
      <c r="DH149" s="21">
        <f>EXP(-LN(2)/2)*DH148+(1-EXP(-LN(2)/2))/(LN(2)/2)*DB149*DE149*VLOOKUP('Données projet'!$B$13,Paramètres!$A$1:$I$89,3,0)*0.475*44/12</f>
        <v>0</v>
      </c>
      <c r="DI149" s="22">
        <f t="shared" si="123"/>
        <v>0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-2.2737367544323206E-13</v>
      </c>
      <c r="O150" s="13">
        <f>N150*VLOOKUP('Données projet'!$B$9,Paramètres!$A$1:$I$89,3,0)*VLOOKUP('Données projet'!$B$9,Paramètres!$A$1:$I$89,5,0)</f>
        <v>-1.3596945791505279E-13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181.92766225683107</v>
      </c>
      <c r="T150" s="59">
        <f t="shared" si="142"/>
        <v>370.52917139565756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6.4782415650229703</v>
      </c>
      <c r="AA150" s="21">
        <f>EXP(-LN(2)/25)*AA149+(1-EXP(-LN(2)/25))/(LN(2)/25)*Calculateur!V150*Calculateur!X150*VLOOKUP('Données projet'!$B$9,Paramètres!$A$1:$I$89,3,0)*0.475*44/12</f>
        <v>2.2964446320031642</v>
      </c>
      <c r="AB150" s="21">
        <f>EXP(-LN(2)/2)*AB149+(1-EXP(-LN(2)/2))/(LN(2)/2)*V150*Y150*VLOOKUP('Données projet'!$B$9,Paramètres!$A$1:$I$89,3,0)*0.475*44/12</f>
        <v>1.1148035999701555E-15</v>
      </c>
      <c r="AC150" s="22">
        <f t="shared" si="111"/>
        <v>8.7746861970261367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5.6843418860808015E-14</v>
      </c>
      <c r="AJ150" s="13">
        <f>AI150*VLOOKUP('Données projet'!$B$10,Paramètres!$A$1:$I$89,3,0)*VLOOKUP('Données projet'!$B$10,Paramètres!$A$1:$I$89,5,0)</f>
        <v>4.6111381379887463E-14</v>
      </c>
      <c r="AK150" s="13">
        <f t="shared" si="143"/>
        <v>7.5804141040779151E-13</v>
      </c>
      <c r="AL150" s="20">
        <f t="shared" si="112"/>
        <v>1.4005661123635408E-12</v>
      </c>
      <c r="AM150" s="59">
        <f t="shared" si="113"/>
        <v>293.33333333333474</v>
      </c>
      <c r="AN150" s="59">
        <f ca="1">AVERAGE(OFFSET($AM$3,0,0,'Données projet'!$E$10+1,1))-AVERAGE(OFFSET($H$3,0,0,'Données projet'!$E$10+1,1))</f>
        <v>235.31102883830971</v>
      </c>
      <c r="AO150" s="59">
        <f t="shared" si="144"/>
        <v>271.48630853790422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</v>
      </c>
      <c r="AV150" s="21">
        <f>EXP(-LN(2)/25)*AV149+(1-EXP(-LN(2)/25))/(LN(2)/25)*Calculateur!AQ150*Calculateur!AS150*VLOOKUP('Données projet'!$B$10,Paramètres!$A$1:$I$89,3,0)*0.475*44/12</f>
        <v>0.33183654717746031</v>
      </c>
      <c r="AW150" s="21">
        <f>EXP(-LN(2)/2)*AW149+(1-EXP(-LN(2)/2))/(LN(2)/2)*AQ150*AT150*VLOOKUP('Données projet'!$B$10,Paramètres!$A$1:$I$89,3,0)*0.475*44/12</f>
        <v>2.6918669338166976E-17</v>
      </c>
      <c r="AX150" s="21">
        <f t="shared" si="114"/>
        <v>0.33183654717746031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2.8421709430404007E-14</v>
      </c>
      <c r="BE150" s="13">
        <f>BD150*VLOOKUP('Données projet'!$B$11,Paramètres!$A$1:$I$89,3,0)*VLOOKUP('Données projet'!$B$11,Paramètres!$A$1:$I$89,5,0)</f>
        <v>3.2366642699344085E-14</v>
      </c>
      <c r="BF150" s="13">
        <f t="shared" si="145"/>
        <v>5.5446527398450045E-13</v>
      </c>
      <c r="BG150" s="20">
        <f t="shared" si="115"/>
        <v>1.0220655882243624E-12</v>
      </c>
      <c r="BH150" s="59">
        <f t="shared" si="116"/>
        <v>293.33333333333434</v>
      </c>
      <c r="BI150" s="59">
        <f ca="1">AVERAGE(OFFSET($BH$3,0,0,'Données projet'!$E$11+1,1))-AVERAGE(OFFSET($H$3,0,0,'Données projet'!$E$11+1,1))</f>
        <v>249.01678065306629</v>
      </c>
      <c r="BJ150" s="59">
        <f t="shared" si="146"/>
        <v>99.639724892155641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0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>
        <f>BY150*VLOOKUP('Données projet'!$B$12,Paramètres!$A$1:$I$89,3,0)*VLOOKUP('Données projet'!$B$12,Paramètres!$A$1:$I$89,5,0)</f>
        <v>0</v>
      </c>
      <c r="CA150" s="13" t="e">
        <f t="shared" si="147"/>
        <v>#NUM!</v>
      </c>
      <c r="CB150" s="20" t="e">
        <f t="shared" si="118"/>
        <v>#NUM!</v>
      </c>
      <c r="CC150" s="59" t="e">
        <f t="shared" si="119"/>
        <v>#NUM!</v>
      </c>
      <c r="CD150" s="59">
        <f ca="1">AVERAGE(OFFSET($CC$3,0,0,'Données projet'!$E$12+1,1))-AVERAGE(OFFSET($H$3,0,0,'Données projet'!$E$12+1,1))</f>
        <v>0</v>
      </c>
      <c r="CE150" s="59">
        <f t="shared" si="148"/>
        <v>0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</v>
      </c>
      <c r="CL150" s="21">
        <f>EXP(-LN(2)/25)*CL149+(1-EXP(-LN(2)/25))/(LN(2)/25)*Calculateur!CG150*Calculateur!CI150*VLOOKUP('Données projet'!$B$12,Paramètres!$A$1:$I$89,3,0)*0.475*44/12</f>
        <v>0</v>
      </c>
      <c r="CM150" s="21">
        <f>EXP(-LN(2)/2)*CM149+(1-EXP(-LN(2)/2))/(LN(2)/2)*CG150*CJ150*VLOOKUP('Données projet'!$B$12,Paramètres!$A$1:$I$89,3,0)*0.475*44/12</f>
        <v>0</v>
      </c>
      <c r="CN150" s="22">
        <f t="shared" si="120"/>
        <v>0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>
        <f>CT150*VLOOKUP('Données projet'!$B$13,Paramètres!$A$1:$I$89,3,0)*VLOOKUP('Données projet'!$B$13,Paramètres!$A$1:$I$89,5,0)</f>
        <v>0</v>
      </c>
      <c r="CV150" s="13" t="e">
        <f t="shared" si="149"/>
        <v>#NUM!</v>
      </c>
      <c r="CW150" s="20" t="e">
        <f t="shared" si="121"/>
        <v>#NUM!</v>
      </c>
      <c r="CX150" s="59" t="e">
        <f t="shared" si="122"/>
        <v>#NUM!</v>
      </c>
      <c r="CY150" s="59">
        <f ca="1">AVERAGE(OFFSET($CX$3,0,0,'Données projet'!$E$13+1,1))-AVERAGE(OFFSET($H$3,0,0,'Données projet'!$E$13+1,1))</f>
        <v>0</v>
      </c>
      <c r="CZ150" s="59">
        <f t="shared" si="150"/>
        <v>0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0</v>
      </c>
      <c r="DG150" s="21">
        <f>EXP(-LN(2)/25)*DG149+(1-EXP(-LN(2)/25))/(LN(2)/25)*Calculateur!DB150*Calculateur!DD150*VLOOKUP('Données projet'!$B$13,Paramètres!$A$1:$I$89,3,0)*0.475*44/12</f>
        <v>0</v>
      </c>
      <c r="DH150" s="21">
        <f>EXP(-LN(2)/2)*DH149+(1-EXP(-LN(2)/2))/(LN(2)/2)*DB150*DE150*VLOOKUP('Données projet'!$B$13,Paramètres!$A$1:$I$89,3,0)*0.475*44/12</f>
        <v>0</v>
      </c>
      <c r="DI150" s="22">
        <f t="shared" si="123"/>
        <v>0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-2.2737367544323206E-13</v>
      </c>
      <c r="O151" s="13">
        <f>N151*VLOOKUP('Données projet'!$B$9,Paramètres!$A$1:$I$89,3,0)*VLOOKUP('Données projet'!$B$9,Paramètres!$A$1:$I$89,5,0)</f>
        <v>-1.3596945791505279E-13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181.92766225683107</v>
      </c>
      <c r="T151" s="59">
        <f t="shared" si="142"/>
        <v>370.52917139565756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6.3512071992700623</v>
      </c>
      <c r="AA151" s="21">
        <f>EXP(-LN(2)/25)*AA150+(1-EXP(-LN(2)/25))/(LN(2)/25)*Calculateur!V151*Calculateur!X151*VLOOKUP('Données projet'!$B$9,Paramètres!$A$1:$I$89,3,0)*0.475*44/12</f>
        <v>2.2336482327762632</v>
      </c>
      <c r="AB151" s="21">
        <f>EXP(-LN(2)/2)*AB150+(1-EXP(-LN(2)/2))/(LN(2)/2)*V151*Y151*VLOOKUP('Données projet'!$B$9,Paramètres!$A$1:$I$89,3,0)*0.475*44/12</f>
        <v>7.8828518523007219E-16</v>
      </c>
      <c r="AC151" s="22">
        <f t="shared" si="111"/>
        <v>8.5848554320463251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5.6843418860808015E-14</v>
      </c>
      <c r="AJ151" s="13">
        <f>AI151*VLOOKUP('Données projet'!$B$10,Paramètres!$A$1:$I$89,3,0)*VLOOKUP('Données projet'!$B$10,Paramètres!$A$1:$I$89,5,0)</f>
        <v>4.6111381379887463E-14</v>
      </c>
      <c r="AK151" s="13">
        <f t="shared" si="143"/>
        <v>7.5804141040779151E-13</v>
      </c>
      <c r="AL151" s="20">
        <f t="shared" si="112"/>
        <v>1.4005661123635408E-12</v>
      </c>
      <c r="AM151" s="59">
        <f t="shared" si="113"/>
        <v>293.33333333333474</v>
      </c>
      <c r="AN151" s="59">
        <f ca="1">AVERAGE(OFFSET($AM$3,0,0,'Données projet'!$E$10+1,1))-AVERAGE(OFFSET($H$3,0,0,'Données projet'!$E$10+1,1))</f>
        <v>235.31102883830971</v>
      </c>
      <c r="AO151" s="59">
        <f t="shared" si="144"/>
        <v>271.48630853790422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</v>
      </c>
      <c r="AV151" s="21">
        <f>EXP(-LN(2)/25)*AV150+(1-EXP(-LN(2)/25))/(LN(2)/25)*Calculateur!AQ151*Calculateur!AS151*VLOOKUP('Données projet'!$B$10,Paramètres!$A$1:$I$89,3,0)*0.475*44/12</f>
        <v>0.32276245934436704</v>
      </c>
      <c r="AW151" s="21">
        <f>EXP(-LN(2)/2)*AW150+(1-EXP(-LN(2)/2))/(LN(2)/2)*AQ151*AT151*VLOOKUP('Données projet'!$B$10,Paramètres!$A$1:$I$89,3,0)*0.475*44/12</f>
        <v>1.9034373629536262E-17</v>
      </c>
      <c r="AX151" s="21">
        <f t="shared" si="114"/>
        <v>0.32276245934436704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2.8421709430404007E-14</v>
      </c>
      <c r="BE151" s="13">
        <f>BD151*VLOOKUP('Données projet'!$B$11,Paramètres!$A$1:$I$89,3,0)*VLOOKUP('Données projet'!$B$11,Paramètres!$A$1:$I$89,5,0)</f>
        <v>3.2366642699344085E-14</v>
      </c>
      <c r="BF151" s="13">
        <f t="shared" si="145"/>
        <v>5.5446527398450045E-13</v>
      </c>
      <c r="BG151" s="20">
        <f t="shared" si="115"/>
        <v>1.0220655882243624E-12</v>
      </c>
      <c r="BH151" s="59">
        <f t="shared" si="116"/>
        <v>293.33333333333434</v>
      </c>
      <c r="BI151" s="59">
        <f ca="1">AVERAGE(OFFSET($BH$3,0,0,'Données projet'!$E$11+1,1))-AVERAGE(OFFSET($H$3,0,0,'Données projet'!$E$11+1,1))</f>
        <v>249.01678065306629</v>
      </c>
      <c r="BJ151" s="59">
        <f t="shared" si="146"/>
        <v>99.639724892155641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0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>
        <f>BY151*VLOOKUP('Données projet'!$B$12,Paramètres!$A$1:$I$89,3,0)*VLOOKUP('Données projet'!$B$12,Paramètres!$A$1:$I$89,5,0)</f>
        <v>0</v>
      </c>
      <c r="CA151" s="13" t="e">
        <f t="shared" si="147"/>
        <v>#NUM!</v>
      </c>
      <c r="CB151" s="20" t="e">
        <f t="shared" si="118"/>
        <v>#NUM!</v>
      </c>
      <c r="CC151" s="59" t="e">
        <f t="shared" si="119"/>
        <v>#NUM!</v>
      </c>
      <c r="CD151" s="59">
        <f ca="1">AVERAGE(OFFSET($CC$3,0,0,'Données projet'!$E$12+1,1))-AVERAGE(OFFSET($H$3,0,0,'Données projet'!$E$12+1,1))</f>
        <v>0</v>
      </c>
      <c r="CE151" s="59">
        <f t="shared" si="148"/>
        <v>0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</v>
      </c>
      <c r="CL151" s="21">
        <f>EXP(-LN(2)/25)*CL150+(1-EXP(-LN(2)/25))/(LN(2)/25)*Calculateur!CG151*Calculateur!CI151*VLOOKUP('Données projet'!$B$12,Paramètres!$A$1:$I$89,3,0)*0.475*44/12</f>
        <v>0</v>
      </c>
      <c r="CM151" s="21">
        <f>EXP(-LN(2)/2)*CM150+(1-EXP(-LN(2)/2))/(LN(2)/2)*CG151*CJ151*VLOOKUP('Données projet'!$B$12,Paramètres!$A$1:$I$89,3,0)*0.475*44/12</f>
        <v>0</v>
      </c>
      <c r="CN151" s="22">
        <f t="shared" si="120"/>
        <v>0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>
        <f>CT151*VLOOKUP('Données projet'!$B$13,Paramètres!$A$1:$I$89,3,0)*VLOOKUP('Données projet'!$B$13,Paramètres!$A$1:$I$89,5,0)</f>
        <v>0</v>
      </c>
      <c r="CV151" s="13" t="e">
        <f t="shared" si="149"/>
        <v>#NUM!</v>
      </c>
      <c r="CW151" s="20" t="e">
        <f t="shared" si="121"/>
        <v>#NUM!</v>
      </c>
      <c r="CX151" s="59" t="e">
        <f t="shared" si="122"/>
        <v>#NUM!</v>
      </c>
      <c r="CY151" s="59">
        <f ca="1">AVERAGE(OFFSET($CX$3,0,0,'Données projet'!$E$13+1,1))-AVERAGE(OFFSET($H$3,0,0,'Données projet'!$E$13+1,1))</f>
        <v>0</v>
      </c>
      <c r="CZ151" s="59">
        <f t="shared" si="150"/>
        <v>0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0</v>
      </c>
      <c r="DG151" s="21">
        <f>EXP(-LN(2)/25)*DG150+(1-EXP(-LN(2)/25))/(LN(2)/25)*Calculateur!DB151*Calculateur!DD151*VLOOKUP('Données projet'!$B$13,Paramètres!$A$1:$I$89,3,0)*0.475*44/12</f>
        <v>0</v>
      </c>
      <c r="DH151" s="21">
        <f>EXP(-LN(2)/2)*DH150+(1-EXP(-LN(2)/2))/(LN(2)/2)*DB151*DE151*VLOOKUP('Données projet'!$B$13,Paramètres!$A$1:$I$89,3,0)*0.475*44/12</f>
        <v>0</v>
      </c>
      <c r="DI151" s="22">
        <f t="shared" si="123"/>
        <v>0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-2.2737367544323206E-13</v>
      </c>
      <c r="O152" s="13">
        <f>N152*VLOOKUP('Données projet'!$B$9,Paramètres!$A$1:$I$89,3,0)*VLOOKUP('Données projet'!$B$9,Paramètres!$A$1:$I$89,5,0)</f>
        <v>-1.3596945791505279E-13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181.92766225683107</v>
      </c>
      <c r="T152" s="59">
        <f t="shared" si="142"/>
        <v>370.52917139565756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6.2266638999462565</v>
      </c>
      <c r="AA152" s="21">
        <f>EXP(-LN(2)/25)*AA151+(1-EXP(-LN(2)/25))/(LN(2)/25)*Calculateur!V152*Calculateur!X152*VLOOKUP('Données projet'!$B$9,Paramètres!$A$1:$I$89,3,0)*0.475*44/12</f>
        <v>2.1725690043885408</v>
      </c>
      <c r="AB152" s="21">
        <f>EXP(-LN(2)/2)*AB151+(1-EXP(-LN(2)/2))/(LN(2)/2)*V152*Y152*VLOOKUP('Données projet'!$B$9,Paramètres!$A$1:$I$89,3,0)*0.475*44/12</f>
        <v>5.5740179998507773E-16</v>
      </c>
      <c r="AC152" s="22">
        <f t="shared" si="111"/>
        <v>8.3992329043347969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5.6843418860808015E-14</v>
      </c>
      <c r="AJ152" s="13">
        <f>AI152*VLOOKUP('Données projet'!$B$10,Paramètres!$A$1:$I$89,3,0)*VLOOKUP('Données projet'!$B$10,Paramètres!$A$1:$I$89,5,0)</f>
        <v>4.6111381379887463E-14</v>
      </c>
      <c r="AK152" s="13">
        <f t="shared" si="143"/>
        <v>7.5804141040779151E-13</v>
      </c>
      <c r="AL152" s="20">
        <f t="shared" si="112"/>
        <v>1.4005661123635408E-12</v>
      </c>
      <c r="AM152" s="59">
        <f t="shared" si="113"/>
        <v>293.33333333333474</v>
      </c>
      <c r="AN152" s="59">
        <f ca="1">AVERAGE(OFFSET($AM$3,0,0,'Données projet'!$E$10+1,1))-AVERAGE(OFFSET($H$3,0,0,'Données projet'!$E$10+1,1))</f>
        <v>235.31102883830971</v>
      </c>
      <c r="AO152" s="59">
        <f t="shared" si="144"/>
        <v>271.48630853790422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</v>
      </c>
      <c r="AV152" s="21">
        <f>EXP(-LN(2)/25)*AV151+(1-EXP(-LN(2)/25))/(LN(2)/25)*Calculateur!AQ152*Calculateur!AS152*VLOOKUP('Données projet'!$B$10,Paramètres!$A$1:$I$89,3,0)*0.475*44/12</f>
        <v>0.31393650292025527</v>
      </c>
      <c r="AW152" s="21">
        <f>EXP(-LN(2)/2)*AW151+(1-EXP(-LN(2)/2))/(LN(2)/2)*AQ152*AT152*VLOOKUP('Données projet'!$B$10,Paramètres!$A$1:$I$89,3,0)*0.475*44/12</f>
        <v>1.3459334669083488E-17</v>
      </c>
      <c r="AX152" s="21">
        <f t="shared" si="114"/>
        <v>0.31393650292025527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2.8421709430404007E-14</v>
      </c>
      <c r="BE152" s="13">
        <f>BD152*VLOOKUP('Données projet'!$B$11,Paramètres!$A$1:$I$89,3,0)*VLOOKUP('Données projet'!$B$11,Paramètres!$A$1:$I$89,5,0)</f>
        <v>3.2366642699344085E-14</v>
      </c>
      <c r="BF152" s="13">
        <f t="shared" si="145"/>
        <v>5.5446527398450045E-13</v>
      </c>
      <c r="BG152" s="20">
        <f t="shared" si="115"/>
        <v>1.0220655882243624E-12</v>
      </c>
      <c r="BH152" s="59">
        <f t="shared" si="116"/>
        <v>293.33333333333434</v>
      </c>
      <c r="BI152" s="59">
        <f ca="1">AVERAGE(OFFSET($BH$3,0,0,'Données projet'!$E$11+1,1))-AVERAGE(OFFSET($H$3,0,0,'Données projet'!$E$11+1,1))</f>
        <v>249.01678065306629</v>
      </c>
      <c r="BJ152" s="59">
        <f t="shared" si="146"/>
        <v>99.639724892155641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0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>
        <f>BY152*VLOOKUP('Données projet'!$B$12,Paramètres!$A$1:$I$89,3,0)*VLOOKUP('Données projet'!$B$12,Paramètres!$A$1:$I$89,5,0)</f>
        <v>0</v>
      </c>
      <c r="CA152" s="13" t="e">
        <f t="shared" si="147"/>
        <v>#NUM!</v>
      </c>
      <c r="CB152" s="20" t="e">
        <f t="shared" si="118"/>
        <v>#NUM!</v>
      </c>
      <c r="CC152" s="59" t="e">
        <f t="shared" si="119"/>
        <v>#NUM!</v>
      </c>
      <c r="CD152" s="59">
        <f ca="1">AVERAGE(OFFSET($CC$3,0,0,'Données projet'!$E$12+1,1))-AVERAGE(OFFSET($H$3,0,0,'Données projet'!$E$12+1,1))</f>
        <v>0</v>
      </c>
      <c r="CE152" s="59">
        <f t="shared" si="148"/>
        <v>0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</v>
      </c>
      <c r="CL152" s="21">
        <f>EXP(-LN(2)/25)*CL151+(1-EXP(-LN(2)/25))/(LN(2)/25)*Calculateur!CG152*Calculateur!CI152*VLOOKUP('Données projet'!$B$12,Paramètres!$A$1:$I$89,3,0)*0.475*44/12</f>
        <v>0</v>
      </c>
      <c r="CM152" s="21">
        <f>EXP(-LN(2)/2)*CM151+(1-EXP(-LN(2)/2))/(LN(2)/2)*CG152*CJ152*VLOOKUP('Données projet'!$B$12,Paramètres!$A$1:$I$89,3,0)*0.475*44/12</f>
        <v>0</v>
      </c>
      <c r="CN152" s="22">
        <f t="shared" si="120"/>
        <v>0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>
        <f>CT152*VLOOKUP('Données projet'!$B$13,Paramètres!$A$1:$I$89,3,0)*VLOOKUP('Données projet'!$B$13,Paramètres!$A$1:$I$89,5,0)</f>
        <v>0</v>
      </c>
      <c r="CV152" s="13" t="e">
        <f t="shared" si="149"/>
        <v>#NUM!</v>
      </c>
      <c r="CW152" s="20" t="e">
        <f t="shared" si="121"/>
        <v>#NUM!</v>
      </c>
      <c r="CX152" s="59" t="e">
        <f t="shared" si="122"/>
        <v>#NUM!</v>
      </c>
      <c r="CY152" s="59">
        <f ca="1">AVERAGE(OFFSET($CX$3,0,0,'Données projet'!$E$13+1,1))-AVERAGE(OFFSET($H$3,0,0,'Données projet'!$E$13+1,1))</f>
        <v>0</v>
      </c>
      <c r="CZ152" s="59">
        <f t="shared" si="150"/>
        <v>0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0</v>
      </c>
      <c r="DG152" s="21">
        <f>EXP(-LN(2)/25)*DG151+(1-EXP(-LN(2)/25))/(LN(2)/25)*Calculateur!DB152*Calculateur!DD152*VLOOKUP('Données projet'!$B$13,Paramètres!$A$1:$I$89,3,0)*0.475*44/12</f>
        <v>0</v>
      </c>
      <c r="DH152" s="21">
        <f>EXP(-LN(2)/2)*DH151+(1-EXP(-LN(2)/2))/(LN(2)/2)*DB152*DE152*VLOOKUP('Données projet'!$B$13,Paramètres!$A$1:$I$89,3,0)*0.475*44/12</f>
        <v>0</v>
      </c>
      <c r="DI152" s="22">
        <f t="shared" si="123"/>
        <v>0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-2.2737367544323206E-13</v>
      </c>
      <c r="O153" s="13">
        <f>N153*VLOOKUP('Données projet'!$B$9,Paramètres!$A$1:$I$89,3,0)*VLOOKUP('Données projet'!$B$9,Paramètres!$A$1:$I$89,5,0)</f>
        <v>-1.3596945791505279E-13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181.92766225683107</v>
      </c>
      <c r="T153" s="59">
        <f t="shared" si="142"/>
        <v>370.52917139565756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6.1045628187582786</v>
      </c>
      <c r="AA153" s="21">
        <f>EXP(-LN(2)/25)*AA152+(1-EXP(-LN(2)/25))/(LN(2)/25)*Calculateur!V153*Calculateur!X153*VLOOKUP('Données projet'!$B$9,Paramètres!$A$1:$I$89,3,0)*0.475*44/12</f>
        <v>2.1131599907130978</v>
      </c>
      <c r="AB153" s="21">
        <f>EXP(-LN(2)/2)*AB152+(1-EXP(-LN(2)/2))/(LN(2)/2)*V153*Y153*VLOOKUP('Données projet'!$B$9,Paramètres!$A$1:$I$89,3,0)*0.475*44/12</f>
        <v>3.9414259261503609E-16</v>
      </c>
      <c r="AC153" s="22">
        <f t="shared" si="111"/>
        <v>8.2177228094713755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5.6843418860808015E-14</v>
      </c>
      <c r="AJ153" s="13">
        <f>AI153*VLOOKUP('Données projet'!$B$10,Paramètres!$A$1:$I$89,3,0)*VLOOKUP('Données projet'!$B$10,Paramètres!$A$1:$I$89,5,0)</f>
        <v>4.6111381379887463E-14</v>
      </c>
      <c r="AK153" s="13">
        <f t="shared" si="143"/>
        <v>7.5804141040779151E-13</v>
      </c>
      <c r="AL153" s="20">
        <f t="shared" si="112"/>
        <v>1.4005661123635408E-12</v>
      </c>
      <c r="AM153" s="59">
        <f t="shared" si="113"/>
        <v>293.33333333333474</v>
      </c>
      <c r="AN153" s="59">
        <f ca="1">AVERAGE(OFFSET($AM$3,0,0,'Données projet'!$E$10+1,1))-AVERAGE(OFFSET($H$3,0,0,'Données projet'!$E$10+1,1))</f>
        <v>235.31102883830971</v>
      </c>
      <c r="AO153" s="59">
        <f t="shared" si="144"/>
        <v>271.48630853790422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</v>
      </c>
      <c r="AV153" s="21">
        <f>EXP(-LN(2)/25)*AV152+(1-EXP(-LN(2)/25))/(LN(2)/25)*Calculateur!AQ153*Calculateur!AS153*VLOOKUP('Données projet'!$B$10,Paramètres!$A$1:$I$89,3,0)*0.475*44/12</f>
        <v>0.30535189273869773</v>
      </c>
      <c r="AW153" s="21">
        <f>EXP(-LN(2)/2)*AW152+(1-EXP(-LN(2)/2))/(LN(2)/2)*AQ153*AT153*VLOOKUP('Données projet'!$B$10,Paramètres!$A$1:$I$89,3,0)*0.475*44/12</f>
        <v>9.5171868147681308E-18</v>
      </c>
      <c r="AX153" s="21">
        <f t="shared" si="114"/>
        <v>0.30535189273869773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2.8421709430404007E-14</v>
      </c>
      <c r="BE153" s="13">
        <f>BD153*VLOOKUP('Données projet'!$B$11,Paramètres!$A$1:$I$89,3,0)*VLOOKUP('Données projet'!$B$11,Paramètres!$A$1:$I$89,5,0)</f>
        <v>3.2366642699344085E-14</v>
      </c>
      <c r="BF153" s="13">
        <f t="shared" si="145"/>
        <v>5.5446527398450045E-13</v>
      </c>
      <c r="BG153" s="20">
        <f t="shared" si="115"/>
        <v>1.0220655882243624E-12</v>
      </c>
      <c r="BH153" s="59">
        <f t="shared" si="116"/>
        <v>293.33333333333434</v>
      </c>
      <c r="BI153" s="59">
        <f ca="1">AVERAGE(OFFSET($BH$3,0,0,'Données projet'!$E$11+1,1))-AVERAGE(OFFSET($H$3,0,0,'Données projet'!$E$11+1,1))</f>
        <v>249.01678065306629</v>
      </c>
      <c r="BJ153" s="59">
        <f t="shared" si="146"/>
        <v>99.639724892155641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0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>
        <f>BY153*VLOOKUP('Données projet'!$B$12,Paramètres!$A$1:$I$89,3,0)*VLOOKUP('Données projet'!$B$12,Paramètres!$A$1:$I$89,5,0)</f>
        <v>0</v>
      </c>
      <c r="CA153" s="13" t="e">
        <f t="shared" si="147"/>
        <v>#NUM!</v>
      </c>
      <c r="CB153" s="20" t="e">
        <f t="shared" si="118"/>
        <v>#NUM!</v>
      </c>
      <c r="CC153" s="59" t="e">
        <f t="shared" si="119"/>
        <v>#NUM!</v>
      </c>
      <c r="CD153" s="59">
        <f ca="1">AVERAGE(OFFSET($CC$3,0,0,'Données projet'!$E$12+1,1))-AVERAGE(OFFSET($H$3,0,0,'Données projet'!$E$12+1,1))</f>
        <v>0</v>
      </c>
      <c r="CE153" s="59">
        <f t="shared" si="148"/>
        <v>0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</v>
      </c>
      <c r="CL153" s="21">
        <f>EXP(-LN(2)/25)*CL152+(1-EXP(-LN(2)/25))/(LN(2)/25)*Calculateur!CG153*Calculateur!CI153*VLOOKUP('Données projet'!$B$12,Paramètres!$A$1:$I$89,3,0)*0.475*44/12</f>
        <v>0</v>
      </c>
      <c r="CM153" s="21">
        <f>EXP(-LN(2)/2)*CM152+(1-EXP(-LN(2)/2))/(LN(2)/2)*CG153*CJ153*VLOOKUP('Données projet'!$B$12,Paramètres!$A$1:$I$89,3,0)*0.475*44/12</f>
        <v>0</v>
      </c>
      <c r="CN153" s="22">
        <f t="shared" si="120"/>
        <v>0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>
        <f>CT153*VLOOKUP('Données projet'!$B$13,Paramètres!$A$1:$I$89,3,0)*VLOOKUP('Données projet'!$B$13,Paramètres!$A$1:$I$89,5,0)</f>
        <v>0</v>
      </c>
      <c r="CV153" s="13" t="e">
        <f t="shared" si="149"/>
        <v>#NUM!</v>
      </c>
      <c r="CW153" s="20" t="e">
        <f t="shared" si="121"/>
        <v>#NUM!</v>
      </c>
      <c r="CX153" s="59" t="e">
        <f t="shared" si="122"/>
        <v>#NUM!</v>
      </c>
      <c r="CY153" s="59">
        <f ca="1">AVERAGE(OFFSET($CX$3,0,0,'Données projet'!$E$13+1,1))-AVERAGE(OFFSET($H$3,0,0,'Données projet'!$E$13+1,1))</f>
        <v>0</v>
      </c>
      <c r="CZ153" s="59">
        <f t="shared" si="150"/>
        <v>0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0</v>
      </c>
      <c r="DG153" s="21">
        <f>EXP(-LN(2)/25)*DG152+(1-EXP(-LN(2)/25))/(LN(2)/25)*Calculateur!DB153*Calculateur!DD153*VLOOKUP('Données projet'!$B$13,Paramètres!$A$1:$I$89,3,0)*0.475*44/12</f>
        <v>0</v>
      </c>
      <c r="DH153" s="21">
        <f>EXP(-LN(2)/2)*DH152+(1-EXP(-LN(2)/2))/(LN(2)/2)*DB153*DE153*VLOOKUP('Données projet'!$B$13,Paramètres!$A$1:$I$89,3,0)*0.475*44/12</f>
        <v>0</v>
      </c>
      <c r="DI153" s="22">
        <f t="shared" si="123"/>
        <v>0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-2.2737367544323206E-13</v>
      </c>
      <c r="O154" s="13">
        <f>N154*VLOOKUP('Données projet'!$B$9,Paramètres!$A$1:$I$89,3,0)*VLOOKUP('Données projet'!$B$9,Paramètres!$A$1:$I$89,5,0)</f>
        <v>-1.3596945791505279E-13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181.92766225683107</v>
      </c>
      <c r="T154" s="59">
        <f t="shared" si="142"/>
        <v>370.52917139565756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5.9848560652980911</v>
      </c>
      <c r="AA154" s="21">
        <f>EXP(-LN(2)/25)*AA153+(1-EXP(-LN(2)/25))/(LN(2)/25)*Calculateur!V154*Calculateur!X154*VLOOKUP('Données projet'!$B$9,Paramètres!$A$1:$I$89,3,0)*0.475*44/12</f>
        <v>2.0553755196407941</v>
      </c>
      <c r="AB154" s="21">
        <f>EXP(-LN(2)/2)*AB153+(1-EXP(-LN(2)/2))/(LN(2)/2)*V154*Y154*VLOOKUP('Données projet'!$B$9,Paramètres!$A$1:$I$89,3,0)*0.475*44/12</f>
        <v>2.7870089999253886E-16</v>
      </c>
      <c r="AC154" s="22">
        <f t="shared" ref="AC154:AC203" si="163">SUM(Z154:AB154)</f>
        <v>8.0402315849388852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5.6843418860808015E-14</v>
      </c>
      <c r="AJ154" s="13">
        <f>AI154*VLOOKUP('Données projet'!$B$10,Paramètres!$A$1:$I$89,3,0)*VLOOKUP('Données projet'!$B$10,Paramètres!$A$1:$I$89,5,0)</f>
        <v>4.6111381379887463E-14</v>
      </c>
      <c r="AK154" s="13">
        <f t="shared" ref="AK154:AK203" si="164">EXP(-1.0587+0.8836*LN(AJ154)+0.284)</f>
        <v>7.5804141040779151E-13</v>
      </c>
      <c r="AL154" s="20">
        <f t="shared" ref="AL154:AL203" si="165">(AJ154+AK154)*0.475*44/12</f>
        <v>1.4005661123635408E-12</v>
      </c>
      <c r="AM154" s="59">
        <f t="shared" si="113"/>
        <v>293.33333333333474</v>
      </c>
      <c r="AN154" s="59">
        <f ca="1">AVERAGE(OFFSET($AM$3,0,0,'Données projet'!$E$10+1,1))-AVERAGE(OFFSET($H$3,0,0,'Données projet'!$E$10+1,1))</f>
        <v>235.31102883830971</v>
      </c>
      <c r="AO154" s="59">
        <f t="shared" si="144"/>
        <v>271.48630853790422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</v>
      </c>
      <c r="AV154" s="21">
        <f>EXP(-LN(2)/25)*AV153+(1-EXP(-LN(2)/25))/(LN(2)/25)*Calculateur!AQ154*Calculateur!AS154*VLOOKUP('Données projet'!$B$10,Paramètres!$A$1:$I$89,3,0)*0.475*44/12</f>
        <v>0.29700202917399987</v>
      </c>
      <c r="AW154" s="21">
        <f>EXP(-LN(2)/2)*AW153+(1-EXP(-LN(2)/2))/(LN(2)/2)*AQ154*AT154*VLOOKUP('Données projet'!$B$10,Paramètres!$A$1:$I$89,3,0)*0.475*44/12</f>
        <v>6.7296673345417439E-18</v>
      </c>
      <c r="AX154" s="21">
        <f t="shared" ref="AX154:AX203" si="166">SUM(AU154:AW154)</f>
        <v>0.29700202917399987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2.8421709430404007E-14</v>
      </c>
      <c r="BE154" s="13">
        <f>BD154*VLOOKUP('Données projet'!$B$11,Paramètres!$A$1:$I$89,3,0)*VLOOKUP('Données projet'!$B$11,Paramètres!$A$1:$I$89,5,0)</f>
        <v>3.2366642699344085E-14</v>
      </c>
      <c r="BF154" s="13">
        <f t="shared" ref="BF154:BF203" si="167">EXP(-1.0587+0.8836*LN(BE154)+0.284)</f>
        <v>5.5446527398450045E-13</v>
      </c>
      <c r="BG154" s="20">
        <f t="shared" ref="BG154:BG203" si="168">(BE154+BF154)*0.475*44/12</f>
        <v>1.0220655882243624E-12</v>
      </c>
      <c r="BH154" s="59">
        <f t="shared" si="116"/>
        <v>293.33333333333434</v>
      </c>
      <c r="BI154" s="59">
        <f ca="1">AVERAGE(OFFSET($BH$3,0,0,'Données projet'!$E$11+1,1))-AVERAGE(OFFSET($H$3,0,0,'Données projet'!$E$11+1,1))</f>
        <v>249.01678065306629</v>
      </c>
      <c r="BJ154" s="59">
        <f t="shared" si="146"/>
        <v>99.639724892155641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0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>
        <f>BY154*VLOOKUP('Données projet'!$B$12,Paramètres!$A$1:$I$89,3,0)*VLOOKUP('Données projet'!$B$12,Paramètres!$A$1:$I$89,5,0)</f>
        <v>0</v>
      </c>
      <c r="CA154" s="13" t="e">
        <f t="shared" ref="CA154:CA203" si="170">EXP(-1.0587+0.8836*LN(BZ154)+0.284)</f>
        <v>#NUM!</v>
      </c>
      <c r="CB154" s="20" t="e">
        <f t="shared" ref="CB154:CB203" si="171">(BZ154+CA154)*0.475*44/12</f>
        <v>#NUM!</v>
      </c>
      <c r="CC154" s="59" t="e">
        <f t="shared" si="119"/>
        <v>#NUM!</v>
      </c>
      <c r="CD154" s="59">
        <f ca="1">AVERAGE(OFFSET($CC$3,0,0,'Données projet'!$E$12+1,1))-AVERAGE(OFFSET($H$3,0,0,'Données projet'!$E$12+1,1))</f>
        <v>0</v>
      </c>
      <c r="CE154" s="59">
        <f t="shared" si="148"/>
        <v>0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</v>
      </c>
      <c r="CL154" s="21">
        <f>EXP(-LN(2)/25)*CL153+(1-EXP(-LN(2)/25))/(LN(2)/25)*Calculateur!CG154*Calculateur!CI154*VLOOKUP('Données projet'!$B$12,Paramètres!$A$1:$I$89,3,0)*0.475*44/12</f>
        <v>0</v>
      </c>
      <c r="CM154" s="21">
        <f>EXP(-LN(2)/2)*CM153+(1-EXP(-LN(2)/2))/(LN(2)/2)*CG154*CJ154*VLOOKUP('Données projet'!$B$12,Paramètres!$A$1:$I$89,3,0)*0.475*44/12</f>
        <v>0</v>
      </c>
      <c r="CN154" s="22">
        <f t="shared" ref="CN154:CN203" si="172">SUM(CK154:CM154)</f>
        <v>0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>
        <f>CT154*VLOOKUP('Données projet'!$B$13,Paramètres!$A$1:$I$89,3,0)*VLOOKUP('Données projet'!$B$13,Paramètres!$A$1:$I$89,5,0)</f>
        <v>0</v>
      </c>
      <c r="CV154" s="13" t="e">
        <f t="shared" ref="CV154:CV203" si="173">EXP(-1.0587+0.8836*LN(CU154)+0.284)</f>
        <v>#NUM!</v>
      </c>
      <c r="CW154" s="20" t="e">
        <f t="shared" ref="CW154:CW203" si="174">(CU154+CV154)*0.475*44/12</f>
        <v>#NUM!</v>
      </c>
      <c r="CX154" s="59" t="e">
        <f t="shared" si="122"/>
        <v>#NUM!</v>
      </c>
      <c r="CY154" s="59">
        <f ca="1">AVERAGE(OFFSET($CX$3,0,0,'Données projet'!$E$13+1,1))-AVERAGE(OFFSET($H$3,0,0,'Données projet'!$E$13+1,1))</f>
        <v>0</v>
      </c>
      <c r="CZ154" s="59">
        <f t="shared" si="150"/>
        <v>0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0</v>
      </c>
      <c r="DG154" s="21">
        <f>EXP(-LN(2)/25)*DG153+(1-EXP(-LN(2)/25))/(LN(2)/25)*Calculateur!DB154*Calculateur!DD154*VLOOKUP('Données projet'!$B$13,Paramètres!$A$1:$I$89,3,0)*0.475*44/12</f>
        <v>0</v>
      </c>
      <c r="DH154" s="21">
        <f>EXP(-LN(2)/2)*DH153+(1-EXP(-LN(2)/2))/(LN(2)/2)*DB154*DE154*VLOOKUP('Données projet'!$B$13,Paramètres!$A$1:$I$89,3,0)*0.475*44/12</f>
        <v>0</v>
      </c>
      <c r="DI154" s="22">
        <f t="shared" ref="DI154:DI203" si="175">SUM(DF154:DH154)</f>
        <v>0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-2.2737367544323206E-13</v>
      </c>
      <c r="O155" s="13">
        <f>N155*VLOOKUP('Données projet'!$B$9,Paramètres!$A$1:$I$89,3,0)*VLOOKUP('Données projet'!$B$9,Paramètres!$A$1:$I$89,5,0)</f>
        <v>-1.3596945791505279E-13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181.92766225683107</v>
      </c>
      <c r="T155" s="59">
        <f t="shared" si="142"/>
        <v>370.52917139565756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5.8674966882593482</v>
      </c>
      <c r="AA155" s="21">
        <f>EXP(-LN(2)/25)*AA154+(1-EXP(-LN(2)/25))/(LN(2)/25)*Calculateur!V155*Calculateur!X155*VLOOKUP('Données projet'!$B$9,Paramètres!$A$1:$I$89,3,0)*0.475*44/12</f>
        <v>1.9991711679687156</v>
      </c>
      <c r="AB155" s="21">
        <f>EXP(-LN(2)/2)*AB154+(1-EXP(-LN(2)/2))/(LN(2)/2)*V155*Y155*VLOOKUP('Données projet'!$B$9,Paramètres!$A$1:$I$89,3,0)*0.475*44/12</f>
        <v>1.9707129630751805E-16</v>
      </c>
      <c r="AC155" s="22">
        <f t="shared" si="163"/>
        <v>7.8666678562280641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5.6843418860808015E-14</v>
      </c>
      <c r="AJ155" s="13">
        <f>AI155*VLOOKUP('Données projet'!$B$10,Paramètres!$A$1:$I$89,3,0)*VLOOKUP('Données projet'!$B$10,Paramètres!$A$1:$I$89,5,0)</f>
        <v>4.6111381379887463E-14</v>
      </c>
      <c r="AK155" s="13">
        <f t="shared" si="164"/>
        <v>7.5804141040779151E-13</v>
      </c>
      <c r="AL155" s="20">
        <f t="shared" si="165"/>
        <v>1.4005661123635408E-12</v>
      </c>
      <c r="AM155" s="59">
        <f t="shared" si="113"/>
        <v>293.33333333333474</v>
      </c>
      <c r="AN155" s="59">
        <f ca="1">AVERAGE(OFFSET($AM$3,0,0,'Données projet'!$E$10+1,1))-AVERAGE(OFFSET($H$3,0,0,'Données projet'!$E$10+1,1))</f>
        <v>235.31102883830971</v>
      </c>
      <c r="AO155" s="59">
        <f t="shared" si="144"/>
        <v>271.48630853790422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</v>
      </c>
      <c r="AV155" s="21">
        <f>EXP(-LN(2)/25)*AV154+(1-EXP(-LN(2)/25))/(LN(2)/25)*Calculateur!AQ155*Calculateur!AS155*VLOOKUP('Données projet'!$B$10,Paramètres!$A$1:$I$89,3,0)*0.475*44/12</f>
        <v>0.28888049306757896</v>
      </c>
      <c r="AW155" s="21">
        <f>EXP(-LN(2)/2)*AW154+(1-EXP(-LN(2)/2))/(LN(2)/2)*AQ155*AT155*VLOOKUP('Données projet'!$B$10,Paramètres!$A$1:$I$89,3,0)*0.475*44/12</f>
        <v>4.7585934073840654E-18</v>
      </c>
      <c r="AX155" s="21">
        <f t="shared" si="166"/>
        <v>0.28888049306757896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2.8421709430404007E-14</v>
      </c>
      <c r="BE155" s="13">
        <f>BD155*VLOOKUP('Données projet'!$B$11,Paramètres!$A$1:$I$89,3,0)*VLOOKUP('Données projet'!$B$11,Paramètres!$A$1:$I$89,5,0)</f>
        <v>3.2366642699344085E-14</v>
      </c>
      <c r="BF155" s="13">
        <f t="shared" si="167"/>
        <v>5.5446527398450045E-13</v>
      </c>
      <c r="BG155" s="20">
        <f t="shared" si="168"/>
        <v>1.0220655882243624E-12</v>
      </c>
      <c r="BH155" s="59">
        <f t="shared" si="116"/>
        <v>293.33333333333434</v>
      </c>
      <c r="BI155" s="59">
        <f ca="1">AVERAGE(OFFSET($BH$3,0,0,'Données projet'!$E$11+1,1))-AVERAGE(OFFSET($H$3,0,0,'Données projet'!$E$11+1,1))</f>
        <v>249.01678065306629</v>
      </c>
      <c r="BJ155" s="59">
        <f t="shared" si="146"/>
        <v>99.639724892155641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0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>
        <f>BY155*VLOOKUP('Données projet'!$B$12,Paramètres!$A$1:$I$89,3,0)*VLOOKUP('Données projet'!$B$12,Paramètres!$A$1:$I$89,5,0)</f>
        <v>0</v>
      </c>
      <c r="CA155" s="13" t="e">
        <f t="shared" si="170"/>
        <v>#NUM!</v>
      </c>
      <c r="CB155" s="20" t="e">
        <f t="shared" si="171"/>
        <v>#NUM!</v>
      </c>
      <c r="CC155" s="59" t="e">
        <f t="shared" si="119"/>
        <v>#NUM!</v>
      </c>
      <c r="CD155" s="59">
        <f ca="1">AVERAGE(OFFSET($CC$3,0,0,'Données projet'!$E$12+1,1))-AVERAGE(OFFSET($H$3,0,0,'Données projet'!$E$12+1,1))</f>
        <v>0</v>
      </c>
      <c r="CE155" s="59">
        <f t="shared" si="148"/>
        <v>0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</v>
      </c>
      <c r="CL155" s="21">
        <f>EXP(-LN(2)/25)*CL154+(1-EXP(-LN(2)/25))/(LN(2)/25)*Calculateur!CG155*Calculateur!CI155*VLOOKUP('Données projet'!$B$12,Paramètres!$A$1:$I$89,3,0)*0.475*44/12</f>
        <v>0</v>
      </c>
      <c r="CM155" s="21">
        <f>EXP(-LN(2)/2)*CM154+(1-EXP(-LN(2)/2))/(LN(2)/2)*CG155*CJ155*VLOOKUP('Données projet'!$B$12,Paramètres!$A$1:$I$89,3,0)*0.475*44/12</f>
        <v>0</v>
      </c>
      <c r="CN155" s="22">
        <f t="shared" si="172"/>
        <v>0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>
        <f>CT155*VLOOKUP('Données projet'!$B$13,Paramètres!$A$1:$I$89,3,0)*VLOOKUP('Données projet'!$B$13,Paramètres!$A$1:$I$89,5,0)</f>
        <v>0</v>
      </c>
      <c r="CV155" s="13" t="e">
        <f t="shared" si="173"/>
        <v>#NUM!</v>
      </c>
      <c r="CW155" s="20" t="e">
        <f t="shared" si="174"/>
        <v>#NUM!</v>
      </c>
      <c r="CX155" s="59" t="e">
        <f t="shared" si="122"/>
        <v>#NUM!</v>
      </c>
      <c r="CY155" s="59">
        <f ca="1">AVERAGE(OFFSET($CX$3,0,0,'Données projet'!$E$13+1,1))-AVERAGE(OFFSET($H$3,0,0,'Données projet'!$E$13+1,1))</f>
        <v>0</v>
      </c>
      <c r="CZ155" s="59">
        <f t="shared" si="150"/>
        <v>0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0</v>
      </c>
      <c r="DG155" s="21">
        <f>EXP(-LN(2)/25)*DG154+(1-EXP(-LN(2)/25))/(LN(2)/25)*Calculateur!DB155*Calculateur!DD155*VLOOKUP('Données projet'!$B$13,Paramètres!$A$1:$I$89,3,0)*0.475*44/12</f>
        <v>0</v>
      </c>
      <c r="DH155" s="21">
        <f>EXP(-LN(2)/2)*DH154+(1-EXP(-LN(2)/2))/(LN(2)/2)*DB155*DE155*VLOOKUP('Données projet'!$B$13,Paramètres!$A$1:$I$89,3,0)*0.475*44/12</f>
        <v>0</v>
      </c>
      <c r="DI155" s="22">
        <f t="shared" si="175"/>
        <v>0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-2.2737367544323206E-13</v>
      </c>
      <c r="O156" s="13">
        <f>N156*VLOOKUP('Données projet'!$B$9,Paramètres!$A$1:$I$89,3,0)*VLOOKUP('Données projet'!$B$9,Paramètres!$A$1:$I$89,5,0)</f>
        <v>-1.3596945791505279E-13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181.92766225683107</v>
      </c>
      <c r="T156" s="59">
        <f t="shared" si="142"/>
        <v>370.52917139565756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5.752438657022183</v>
      </c>
      <c r="AA156" s="21">
        <f>EXP(-LN(2)/25)*AA155+(1-EXP(-LN(2)/25))/(LN(2)/25)*Calculateur!V156*Calculateur!X156*VLOOKUP('Données projet'!$B$9,Paramètres!$A$1:$I$89,3,0)*0.475*44/12</f>
        <v>1.9445037272487686</v>
      </c>
      <c r="AB156" s="21">
        <f>EXP(-LN(2)/2)*AB155+(1-EXP(-LN(2)/2))/(LN(2)/2)*V156*Y156*VLOOKUP('Données projet'!$B$9,Paramètres!$A$1:$I$89,3,0)*0.475*44/12</f>
        <v>1.3935044999626943E-16</v>
      </c>
      <c r="AC156" s="22">
        <f t="shared" si="163"/>
        <v>7.6969423842709519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5.6843418860808015E-14</v>
      </c>
      <c r="AJ156" s="13">
        <f>AI156*VLOOKUP('Données projet'!$B$10,Paramètres!$A$1:$I$89,3,0)*VLOOKUP('Données projet'!$B$10,Paramètres!$A$1:$I$89,5,0)</f>
        <v>4.6111381379887463E-14</v>
      </c>
      <c r="AK156" s="13">
        <f t="shared" si="164"/>
        <v>7.5804141040779151E-13</v>
      </c>
      <c r="AL156" s="20">
        <f t="shared" si="165"/>
        <v>1.4005661123635408E-12</v>
      </c>
      <c r="AM156" s="59">
        <f t="shared" si="113"/>
        <v>293.33333333333474</v>
      </c>
      <c r="AN156" s="59">
        <f ca="1">AVERAGE(OFFSET($AM$3,0,0,'Données projet'!$E$10+1,1))-AVERAGE(OFFSET($H$3,0,0,'Données projet'!$E$10+1,1))</f>
        <v>235.31102883830971</v>
      </c>
      <c r="AO156" s="59">
        <f t="shared" si="144"/>
        <v>271.48630853790422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</v>
      </c>
      <c r="AV156" s="21">
        <f>EXP(-LN(2)/25)*AV155+(1-EXP(-LN(2)/25))/(LN(2)/25)*Calculateur!AQ156*Calculateur!AS156*VLOOKUP('Données projet'!$B$10,Paramètres!$A$1:$I$89,3,0)*0.475*44/12</f>
        <v>0.28098104079308112</v>
      </c>
      <c r="AW156" s="21">
        <f>EXP(-LN(2)/2)*AW155+(1-EXP(-LN(2)/2))/(LN(2)/2)*AQ156*AT156*VLOOKUP('Données projet'!$B$10,Paramètres!$A$1:$I$89,3,0)*0.475*44/12</f>
        <v>3.364833667270872E-18</v>
      </c>
      <c r="AX156" s="21">
        <f t="shared" si="166"/>
        <v>0.28098104079308112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2.8421709430404007E-14</v>
      </c>
      <c r="BE156" s="13">
        <f>BD156*VLOOKUP('Données projet'!$B$11,Paramètres!$A$1:$I$89,3,0)*VLOOKUP('Données projet'!$B$11,Paramètres!$A$1:$I$89,5,0)</f>
        <v>3.2366642699344085E-14</v>
      </c>
      <c r="BF156" s="13">
        <f t="shared" si="167"/>
        <v>5.5446527398450045E-13</v>
      </c>
      <c r="BG156" s="20">
        <f t="shared" si="168"/>
        <v>1.0220655882243624E-12</v>
      </c>
      <c r="BH156" s="59">
        <f t="shared" si="116"/>
        <v>293.33333333333434</v>
      </c>
      <c r="BI156" s="59">
        <f ca="1">AVERAGE(OFFSET($BH$3,0,0,'Données projet'!$E$11+1,1))-AVERAGE(OFFSET($H$3,0,0,'Données projet'!$E$11+1,1))</f>
        <v>249.01678065306629</v>
      </c>
      <c r="BJ156" s="59">
        <f t="shared" si="146"/>
        <v>99.639724892155641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0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>
        <f>BY156*VLOOKUP('Données projet'!$B$12,Paramètres!$A$1:$I$89,3,0)*VLOOKUP('Données projet'!$B$12,Paramètres!$A$1:$I$89,5,0)</f>
        <v>0</v>
      </c>
      <c r="CA156" s="13" t="e">
        <f t="shared" si="170"/>
        <v>#NUM!</v>
      </c>
      <c r="CB156" s="20" t="e">
        <f t="shared" si="171"/>
        <v>#NUM!</v>
      </c>
      <c r="CC156" s="59" t="e">
        <f t="shared" si="119"/>
        <v>#NUM!</v>
      </c>
      <c r="CD156" s="59">
        <f ca="1">AVERAGE(OFFSET($CC$3,0,0,'Données projet'!$E$12+1,1))-AVERAGE(OFFSET($H$3,0,0,'Données projet'!$E$12+1,1))</f>
        <v>0</v>
      </c>
      <c r="CE156" s="59">
        <f t="shared" si="148"/>
        <v>0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</v>
      </c>
      <c r="CL156" s="21">
        <f>EXP(-LN(2)/25)*CL155+(1-EXP(-LN(2)/25))/(LN(2)/25)*Calculateur!CG156*Calculateur!CI156*VLOOKUP('Données projet'!$B$12,Paramètres!$A$1:$I$89,3,0)*0.475*44/12</f>
        <v>0</v>
      </c>
      <c r="CM156" s="21">
        <f>EXP(-LN(2)/2)*CM155+(1-EXP(-LN(2)/2))/(LN(2)/2)*CG156*CJ156*VLOOKUP('Données projet'!$B$12,Paramètres!$A$1:$I$89,3,0)*0.475*44/12</f>
        <v>0</v>
      </c>
      <c r="CN156" s="22">
        <f t="shared" si="172"/>
        <v>0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>
        <f>CT156*VLOOKUP('Données projet'!$B$13,Paramètres!$A$1:$I$89,3,0)*VLOOKUP('Données projet'!$B$13,Paramètres!$A$1:$I$89,5,0)</f>
        <v>0</v>
      </c>
      <c r="CV156" s="13" t="e">
        <f t="shared" si="173"/>
        <v>#NUM!</v>
      </c>
      <c r="CW156" s="20" t="e">
        <f t="shared" si="174"/>
        <v>#NUM!</v>
      </c>
      <c r="CX156" s="59" t="e">
        <f t="shared" si="122"/>
        <v>#NUM!</v>
      </c>
      <c r="CY156" s="59">
        <f ca="1">AVERAGE(OFFSET($CX$3,0,0,'Données projet'!$E$13+1,1))-AVERAGE(OFFSET($H$3,0,0,'Données projet'!$E$13+1,1))</f>
        <v>0</v>
      </c>
      <c r="CZ156" s="59">
        <f t="shared" si="150"/>
        <v>0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0</v>
      </c>
      <c r="DG156" s="21">
        <f>EXP(-LN(2)/25)*DG155+(1-EXP(-LN(2)/25))/(LN(2)/25)*Calculateur!DB156*Calculateur!DD156*VLOOKUP('Données projet'!$B$13,Paramètres!$A$1:$I$89,3,0)*0.475*44/12</f>
        <v>0</v>
      </c>
      <c r="DH156" s="21">
        <f>EXP(-LN(2)/2)*DH155+(1-EXP(-LN(2)/2))/(LN(2)/2)*DB156*DE156*VLOOKUP('Données projet'!$B$13,Paramètres!$A$1:$I$89,3,0)*0.475*44/12</f>
        <v>0</v>
      </c>
      <c r="DI156" s="22">
        <f t="shared" si="175"/>
        <v>0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-2.2737367544323206E-13</v>
      </c>
      <c r="O157" s="13">
        <f>N157*VLOOKUP('Données projet'!$B$9,Paramètres!$A$1:$I$89,3,0)*VLOOKUP('Données projet'!$B$9,Paramètres!$A$1:$I$89,5,0)</f>
        <v>-1.3596945791505279E-13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181.92766225683107</v>
      </c>
      <c r="T157" s="59">
        <f t="shared" si="142"/>
        <v>370.52917139565756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5.6396368435991091</v>
      </c>
      <c r="AA157" s="21">
        <f>EXP(-LN(2)/25)*AA156+(1-EXP(-LN(2)/25))/(LN(2)/25)*Calculateur!V157*Calculateur!X157*VLOOKUP('Données projet'!$B$9,Paramètres!$A$1:$I$89,3,0)*0.475*44/12</f>
        <v>1.8913311705701443</v>
      </c>
      <c r="AB157" s="21">
        <f>EXP(-LN(2)/2)*AB156+(1-EXP(-LN(2)/2))/(LN(2)/2)*V157*Y157*VLOOKUP('Données projet'!$B$9,Paramètres!$A$1:$I$89,3,0)*0.475*44/12</f>
        <v>9.8535648153759023E-17</v>
      </c>
      <c r="AC157" s="22">
        <f t="shared" si="163"/>
        <v>7.5309680141692539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5.6843418860808015E-14</v>
      </c>
      <c r="AJ157" s="13">
        <f>AI157*VLOOKUP('Données projet'!$B$10,Paramètres!$A$1:$I$89,3,0)*VLOOKUP('Données projet'!$B$10,Paramètres!$A$1:$I$89,5,0)</f>
        <v>4.6111381379887463E-14</v>
      </c>
      <c r="AK157" s="13">
        <f t="shared" si="164"/>
        <v>7.5804141040779151E-13</v>
      </c>
      <c r="AL157" s="20">
        <f t="shared" si="165"/>
        <v>1.4005661123635408E-12</v>
      </c>
      <c r="AM157" s="59">
        <f t="shared" si="113"/>
        <v>293.33333333333474</v>
      </c>
      <c r="AN157" s="59">
        <f ca="1">AVERAGE(OFFSET($AM$3,0,0,'Données projet'!$E$10+1,1))-AVERAGE(OFFSET($H$3,0,0,'Données projet'!$E$10+1,1))</f>
        <v>235.31102883830971</v>
      </c>
      <c r="AO157" s="59">
        <f t="shared" si="144"/>
        <v>271.48630853790422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</v>
      </c>
      <c r="AV157" s="21">
        <f>EXP(-LN(2)/25)*AV156+(1-EXP(-LN(2)/25))/(LN(2)/25)*Calculateur!AQ157*Calculateur!AS157*VLOOKUP('Données projet'!$B$10,Paramètres!$A$1:$I$89,3,0)*0.475*44/12</f>
        <v>0.27329759945644355</v>
      </c>
      <c r="AW157" s="21">
        <f>EXP(-LN(2)/2)*AW156+(1-EXP(-LN(2)/2))/(LN(2)/2)*AQ157*AT157*VLOOKUP('Données projet'!$B$10,Paramètres!$A$1:$I$89,3,0)*0.475*44/12</f>
        <v>2.3792967036920327E-18</v>
      </c>
      <c r="AX157" s="21">
        <f t="shared" si="166"/>
        <v>0.27329759945644355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2.8421709430404007E-14</v>
      </c>
      <c r="BE157" s="13">
        <f>BD157*VLOOKUP('Données projet'!$B$11,Paramètres!$A$1:$I$89,3,0)*VLOOKUP('Données projet'!$B$11,Paramètres!$A$1:$I$89,5,0)</f>
        <v>3.2366642699344085E-14</v>
      </c>
      <c r="BF157" s="13">
        <f t="shared" si="167"/>
        <v>5.5446527398450045E-13</v>
      </c>
      <c r="BG157" s="20">
        <f t="shared" si="168"/>
        <v>1.0220655882243624E-12</v>
      </c>
      <c r="BH157" s="59">
        <f t="shared" si="116"/>
        <v>293.33333333333434</v>
      </c>
      <c r="BI157" s="59">
        <f ca="1">AVERAGE(OFFSET($BH$3,0,0,'Données projet'!$E$11+1,1))-AVERAGE(OFFSET($H$3,0,0,'Données projet'!$E$11+1,1))</f>
        <v>249.01678065306629</v>
      </c>
      <c r="BJ157" s="59">
        <f t="shared" si="146"/>
        <v>99.639724892155641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0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>
        <f>BY157*VLOOKUP('Données projet'!$B$12,Paramètres!$A$1:$I$89,3,0)*VLOOKUP('Données projet'!$B$12,Paramètres!$A$1:$I$89,5,0)</f>
        <v>0</v>
      </c>
      <c r="CA157" s="13" t="e">
        <f t="shared" si="170"/>
        <v>#NUM!</v>
      </c>
      <c r="CB157" s="20" t="e">
        <f t="shared" si="171"/>
        <v>#NUM!</v>
      </c>
      <c r="CC157" s="59" t="e">
        <f t="shared" si="119"/>
        <v>#NUM!</v>
      </c>
      <c r="CD157" s="59">
        <f ca="1">AVERAGE(OFFSET($CC$3,0,0,'Données projet'!$E$12+1,1))-AVERAGE(OFFSET($H$3,0,0,'Données projet'!$E$12+1,1))</f>
        <v>0</v>
      </c>
      <c r="CE157" s="59">
        <f t="shared" si="148"/>
        <v>0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</v>
      </c>
      <c r="CL157" s="21">
        <f>EXP(-LN(2)/25)*CL156+(1-EXP(-LN(2)/25))/(LN(2)/25)*Calculateur!CG157*Calculateur!CI157*VLOOKUP('Données projet'!$B$12,Paramètres!$A$1:$I$89,3,0)*0.475*44/12</f>
        <v>0</v>
      </c>
      <c r="CM157" s="21">
        <f>EXP(-LN(2)/2)*CM156+(1-EXP(-LN(2)/2))/(LN(2)/2)*CG157*CJ157*VLOOKUP('Données projet'!$B$12,Paramètres!$A$1:$I$89,3,0)*0.475*44/12</f>
        <v>0</v>
      </c>
      <c r="CN157" s="22">
        <f t="shared" si="172"/>
        <v>0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>
        <f>CT157*VLOOKUP('Données projet'!$B$13,Paramètres!$A$1:$I$89,3,0)*VLOOKUP('Données projet'!$B$13,Paramètres!$A$1:$I$89,5,0)</f>
        <v>0</v>
      </c>
      <c r="CV157" s="13" t="e">
        <f t="shared" si="173"/>
        <v>#NUM!</v>
      </c>
      <c r="CW157" s="20" t="e">
        <f t="shared" si="174"/>
        <v>#NUM!</v>
      </c>
      <c r="CX157" s="59" t="e">
        <f t="shared" si="122"/>
        <v>#NUM!</v>
      </c>
      <c r="CY157" s="59">
        <f ca="1">AVERAGE(OFFSET($CX$3,0,0,'Données projet'!$E$13+1,1))-AVERAGE(OFFSET($H$3,0,0,'Données projet'!$E$13+1,1))</f>
        <v>0</v>
      </c>
      <c r="CZ157" s="59">
        <f t="shared" si="150"/>
        <v>0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0</v>
      </c>
      <c r="DG157" s="21">
        <f>EXP(-LN(2)/25)*DG156+(1-EXP(-LN(2)/25))/(LN(2)/25)*Calculateur!DB157*Calculateur!DD157*VLOOKUP('Données projet'!$B$13,Paramètres!$A$1:$I$89,3,0)*0.475*44/12</f>
        <v>0</v>
      </c>
      <c r="DH157" s="21">
        <f>EXP(-LN(2)/2)*DH156+(1-EXP(-LN(2)/2))/(LN(2)/2)*DB157*DE157*VLOOKUP('Données projet'!$B$13,Paramètres!$A$1:$I$89,3,0)*0.475*44/12</f>
        <v>0</v>
      </c>
      <c r="DI157" s="22">
        <f t="shared" si="175"/>
        <v>0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-2.2737367544323206E-13</v>
      </c>
      <c r="O158" s="13">
        <f>N158*VLOOKUP('Données projet'!$B$9,Paramètres!$A$1:$I$89,3,0)*VLOOKUP('Données projet'!$B$9,Paramètres!$A$1:$I$89,5,0)</f>
        <v>-1.3596945791505279E-13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181.92766225683107</v>
      </c>
      <c r="T158" s="59">
        <f t="shared" si="142"/>
        <v>370.52917139565756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5.5290470049349496</v>
      </c>
      <c r="AA158" s="21">
        <f>EXP(-LN(2)/25)*AA157+(1-EXP(-LN(2)/25))/(LN(2)/25)*Calculateur!V158*Calculateur!X158*VLOOKUP('Données projet'!$B$9,Paramètres!$A$1:$I$89,3,0)*0.475*44/12</f>
        <v>1.8396126202501202</v>
      </c>
      <c r="AB158" s="21">
        <f>EXP(-LN(2)/2)*AB157+(1-EXP(-LN(2)/2))/(LN(2)/2)*V158*Y158*VLOOKUP('Données projet'!$B$9,Paramètres!$A$1:$I$89,3,0)*0.475*44/12</f>
        <v>6.9675224998134716E-17</v>
      </c>
      <c r="AC158" s="22">
        <f t="shared" si="163"/>
        <v>7.36865962518507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5.6843418860808015E-14</v>
      </c>
      <c r="AJ158" s="13">
        <f>AI158*VLOOKUP('Données projet'!$B$10,Paramètres!$A$1:$I$89,3,0)*VLOOKUP('Données projet'!$B$10,Paramètres!$A$1:$I$89,5,0)</f>
        <v>4.6111381379887463E-14</v>
      </c>
      <c r="AK158" s="13">
        <f t="shared" si="164"/>
        <v>7.5804141040779151E-13</v>
      </c>
      <c r="AL158" s="20">
        <f t="shared" si="165"/>
        <v>1.4005661123635408E-12</v>
      </c>
      <c r="AM158" s="59">
        <f t="shared" si="113"/>
        <v>293.33333333333474</v>
      </c>
      <c r="AN158" s="59">
        <f ca="1">AVERAGE(OFFSET($AM$3,0,0,'Données projet'!$E$10+1,1))-AVERAGE(OFFSET($H$3,0,0,'Données projet'!$E$10+1,1))</f>
        <v>235.31102883830971</v>
      </c>
      <c r="AO158" s="59">
        <f t="shared" si="144"/>
        <v>271.48630853790422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</v>
      </c>
      <c r="AV158" s="21">
        <f>EXP(-LN(2)/25)*AV157+(1-EXP(-LN(2)/25))/(LN(2)/25)*Calculateur!AQ158*Calculateur!AS158*VLOOKUP('Données projet'!$B$10,Paramètres!$A$1:$I$89,3,0)*0.475*44/12</f>
        <v>0.26582426222721095</v>
      </c>
      <c r="AW158" s="21">
        <f>EXP(-LN(2)/2)*AW157+(1-EXP(-LN(2)/2))/(LN(2)/2)*AQ158*AT158*VLOOKUP('Données projet'!$B$10,Paramètres!$A$1:$I$89,3,0)*0.475*44/12</f>
        <v>1.682416833635436E-18</v>
      </c>
      <c r="AX158" s="21">
        <f t="shared" si="166"/>
        <v>0.26582426222721095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2.8421709430404007E-14</v>
      </c>
      <c r="BE158" s="13">
        <f>BD158*VLOOKUP('Données projet'!$B$11,Paramètres!$A$1:$I$89,3,0)*VLOOKUP('Données projet'!$B$11,Paramètres!$A$1:$I$89,5,0)</f>
        <v>3.2366642699344085E-14</v>
      </c>
      <c r="BF158" s="13">
        <f t="shared" si="167"/>
        <v>5.5446527398450045E-13</v>
      </c>
      <c r="BG158" s="20">
        <f t="shared" si="168"/>
        <v>1.0220655882243624E-12</v>
      </c>
      <c r="BH158" s="59">
        <f t="shared" si="116"/>
        <v>293.33333333333434</v>
      </c>
      <c r="BI158" s="59">
        <f ca="1">AVERAGE(OFFSET($BH$3,0,0,'Données projet'!$E$11+1,1))-AVERAGE(OFFSET($H$3,0,0,'Données projet'!$E$11+1,1))</f>
        <v>249.01678065306629</v>
      </c>
      <c r="BJ158" s="59">
        <f t="shared" si="146"/>
        <v>99.639724892155641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0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>
        <f>BY158*VLOOKUP('Données projet'!$B$12,Paramètres!$A$1:$I$89,3,0)*VLOOKUP('Données projet'!$B$12,Paramètres!$A$1:$I$89,5,0)</f>
        <v>0</v>
      </c>
      <c r="CA158" s="13" t="e">
        <f t="shared" si="170"/>
        <v>#NUM!</v>
      </c>
      <c r="CB158" s="20" t="e">
        <f t="shared" si="171"/>
        <v>#NUM!</v>
      </c>
      <c r="CC158" s="59" t="e">
        <f t="shared" si="119"/>
        <v>#NUM!</v>
      </c>
      <c r="CD158" s="59">
        <f ca="1">AVERAGE(OFFSET($CC$3,0,0,'Données projet'!$E$12+1,1))-AVERAGE(OFFSET($H$3,0,0,'Données projet'!$E$12+1,1))</f>
        <v>0</v>
      </c>
      <c r="CE158" s="59">
        <f t="shared" si="148"/>
        <v>0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</v>
      </c>
      <c r="CL158" s="21">
        <f>EXP(-LN(2)/25)*CL157+(1-EXP(-LN(2)/25))/(LN(2)/25)*Calculateur!CG158*Calculateur!CI158*VLOOKUP('Données projet'!$B$12,Paramètres!$A$1:$I$89,3,0)*0.475*44/12</f>
        <v>0</v>
      </c>
      <c r="CM158" s="21">
        <f>EXP(-LN(2)/2)*CM157+(1-EXP(-LN(2)/2))/(LN(2)/2)*CG158*CJ158*VLOOKUP('Données projet'!$B$12,Paramètres!$A$1:$I$89,3,0)*0.475*44/12</f>
        <v>0</v>
      </c>
      <c r="CN158" s="22">
        <f t="shared" si="172"/>
        <v>0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>
        <f>CT158*VLOOKUP('Données projet'!$B$13,Paramètres!$A$1:$I$89,3,0)*VLOOKUP('Données projet'!$B$13,Paramètres!$A$1:$I$89,5,0)</f>
        <v>0</v>
      </c>
      <c r="CV158" s="13" t="e">
        <f t="shared" si="173"/>
        <v>#NUM!</v>
      </c>
      <c r="CW158" s="20" t="e">
        <f t="shared" si="174"/>
        <v>#NUM!</v>
      </c>
      <c r="CX158" s="59" t="e">
        <f t="shared" si="122"/>
        <v>#NUM!</v>
      </c>
      <c r="CY158" s="59">
        <f ca="1">AVERAGE(OFFSET($CX$3,0,0,'Données projet'!$E$13+1,1))-AVERAGE(OFFSET($H$3,0,0,'Données projet'!$E$13+1,1))</f>
        <v>0</v>
      </c>
      <c r="CZ158" s="59">
        <f t="shared" si="150"/>
        <v>0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0</v>
      </c>
      <c r="DG158" s="21">
        <f>EXP(-LN(2)/25)*DG157+(1-EXP(-LN(2)/25))/(LN(2)/25)*Calculateur!DB158*Calculateur!DD158*VLOOKUP('Données projet'!$B$13,Paramètres!$A$1:$I$89,3,0)*0.475*44/12</f>
        <v>0</v>
      </c>
      <c r="DH158" s="21">
        <f>EXP(-LN(2)/2)*DH157+(1-EXP(-LN(2)/2))/(LN(2)/2)*DB158*DE158*VLOOKUP('Données projet'!$B$13,Paramètres!$A$1:$I$89,3,0)*0.475*44/12</f>
        <v>0</v>
      </c>
      <c r="DI158" s="22">
        <f t="shared" si="175"/>
        <v>0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-2.2737367544323206E-13</v>
      </c>
      <c r="O159" s="13">
        <f>N159*VLOOKUP('Données projet'!$B$9,Paramètres!$A$1:$I$89,3,0)*VLOOKUP('Données projet'!$B$9,Paramètres!$A$1:$I$89,5,0)</f>
        <v>-1.3596945791505279E-13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181.92766225683107</v>
      </c>
      <c r="T159" s="59">
        <f t="shared" si="142"/>
        <v>370.52917139565756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5.4206257655538526</v>
      </c>
      <c r="AA159" s="21">
        <f>EXP(-LN(2)/25)*AA158+(1-EXP(-LN(2)/25))/(LN(2)/25)*Calculateur!V159*Calculateur!X159*VLOOKUP('Données projet'!$B$9,Paramètres!$A$1:$I$89,3,0)*0.475*44/12</f>
        <v>1.7893083164083574</v>
      </c>
      <c r="AB159" s="21">
        <f>EXP(-LN(2)/2)*AB158+(1-EXP(-LN(2)/2))/(LN(2)/2)*V159*Y159*VLOOKUP('Données projet'!$B$9,Paramètres!$A$1:$I$89,3,0)*0.475*44/12</f>
        <v>4.9267824076879512E-17</v>
      </c>
      <c r="AC159" s="22">
        <f t="shared" si="163"/>
        <v>7.20993408196221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5.6843418860808015E-14</v>
      </c>
      <c r="AJ159" s="13">
        <f>AI159*VLOOKUP('Données projet'!$B$10,Paramètres!$A$1:$I$89,3,0)*VLOOKUP('Données projet'!$B$10,Paramètres!$A$1:$I$89,5,0)</f>
        <v>4.6111381379887463E-14</v>
      </c>
      <c r="AK159" s="13">
        <f t="shared" si="164"/>
        <v>7.5804141040779151E-13</v>
      </c>
      <c r="AL159" s="20">
        <f t="shared" si="165"/>
        <v>1.4005661123635408E-12</v>
      </c>
      <c r="AM159" s="59">
        <f t="shared" si="113"/>
        <v>293.33333333333474</v>
      </c>
      <c r="AN159" s="59">
        <f ca="1">AVERAGE(OFFSET($AM$3,0,0,'Données projet'!$E$10+1,1))-AVERAGE(OFFSET($H$3,0,0,'Données projet'!$E$10+1,1))</f>
        <v>235.31102883830971</v>
      </c>
      <c r="AO159" s="59">
        <f t="shared" si="144"/>
        <v>271.48630853790422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</v>
      </c>
      <c r="AV159" s="21">
        <f>EXP(-LN(2)/25)*AV158+(1-EXP(-LN(2)/25))/(LN(2)/25)*Calculateur!AQ159*Calculateur!AS159*VLOOKUP('Données projet'!$B$10,Paramètres!$A$1:$I$89,3,0)*0.475*44/12</f>
        <v>0.25855528379751747</v>
      </c>
      <c r="AW159" s="21">
        <f>EXP(-LN(2)/2)*AW158+(1-EXP(-LN(2)/2))/(LN(2)/2)*AQ159*AT159*VLOOKUP('Données projet'!$B$10,Paramètres!$A$1:$I$89,3,0)*0.475*44/12</f>
        <v>1.1896483518460163E-18</v>
      </c>
      <c r="AX159" s="21">
        <f t="shared" si="166"/>
        <v>0.25855528379751747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2.8421709430404007E-14</v>
      </c>
      <c r="BE159" s="13">
        <f>BD159*VLOOKUP('Données projet'!$B$11,Paramètres!$A$1:$I$89,3,0)*VLOOKUP('Données projet'!$B$11,Paramètres!$A$1:$I$89,5,0)</f>
        <v>3.2366642699344085E-14</v>
      </c>
      <c r="BF159" s="13">
        <f t="shared" si="167"/>
        <v>5.5446527398450045E-13</v>
      </c>
      <c r="BG159" s="20">
        <f t="shared" si="168"/>
        <v>1.0220655882243624E-12</v>
      </c>
      <c r="BH159" s="59">
        <f t="shared" si="116"/>
        <v>293.33333333333434</v>
      </c>
      <c r="BI159" s="59">
        <f ca="1">AVERAGE(OFFSET($BH$3,0,0,'Données projet'!$E$11+1,1))-AVERAGE(OFFSET($H$3,0,0,'Données projet'!$E$11+1,1))</f>
        <v>249.01678065306629</v>
      </c>
      <c r="BJ159" s="59">
        <f t="shared" si="146"/>
        <v>99.639724892155641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0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>
        <f>BY159*VLOOKUP('Données projet'!$B$12,Paramètres!$A$1:$I$89,3,0)*VLOOKUP('Données projet'!$B$12,Paramètres!$A$1:$I$89,5,0)</f>
        <v>0</v>
      </c>
      <c r="CA159" s="13" t="e">
        <f t="shared" si="170"/>
        <v>#NUM!</v>
      </c>
      <c r="CB159" s="20" t="e">
        <f t="shared" si="171"/>
        <v>#NUM!</v>
      </c>
      <c r="CC159" s="59" t="e">
        <f t="shared" si="119"/>
        <v>#NUM!</v>
      </c>
      <c r="CD159" s="59">
        <f ca="1">AVERAGE(OFFSET($CC$3,0,0,'Données projet'!$E$12+1,1))-AVERAGE(OFFSET($H$3,0,0,'Données projet'!$E$12+1,1))</f>
        <v>0</v>
      </c>
      <c r="CE159" s="59">
        <f t="shared" si="148"/>
        <v>0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</v>
      </c>
      <c r="CL159" s="21">
        <f>EXP(-LN(2)/25)*CL158+(1-EXP(-LN(2)/25))/(LN(2)/25)*Calculateur!CG159*Calculateur!CI159*VLOOKUP('Données projet'!$B$12,Paramètres!$A$1:$I$89,3,0)*0.475*44/12</f>
        <v>0</v>
      </c>
      <c r="CM159" s="21">
        <f>EXP(-LN(2)/2)*CM158+(1-EXP(-LN(2)/2))/(LN(2)/2)*CG159*CJ159*VLOOKUP('Données projet'!$B$12,Paramètres!$A$1:$I$89,3,0)*0.475*44/12</f>
        <v>0</v>
      </c>
      <c r="CN159" s="22">
        <f t="shared" si="172"/>
        <v>0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>
        <f>CT159*VLOOKUP('Données projet'!$B$13,Paramètres!$A$1:$I$89,3,0)*VLOOKUP('Données projet'!$B$13,Paramètres!$A$1:$I$89,5,0)</f>
        <v>0</v>
      </c>
      <c r="CV159" s="13" t="e">
        <f t="shared" si="173"/>
        <v>#NUM!</v>
      </c>
      <c r="CW159" s="20" t="e">
        <f t="shared" si="174"/>
        <v>#NUM!</v>
      </c>
      <c r="CX159" s="59" t="e">
        <f t="shared" si="122"/>
        <v>#NUM!</v>
      </c>
      <c r="CY159" s="59">
        <f ca="1">AVERAGE(OFFSET($CX$3,0,0,'Données projet'!$E$13+1,1))-AVERAGE(OFFSET($H$3,0,0,'Données projet'!$E$13+1,1))</f>
        <v>0</v>
      </c>
      <c r="CZ159" s="59">
        <f t="shared" si="150"/>
        <v>0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0</v>
      </c>
      <c r="DG159" s="21">
        <f>EXP(-LN(2)/25)*DG158+(1-EXP(-LN(2)/25))/(LN(2)/25)*Calculateur!DB159*Calculateur!DD159*VLOOKUP('Données projet'!$B$13,Paramètres!$A$1:$I$89,3,0)*0.475*44/12</f>
        <v>0</v>
      </c>
      <c r="DH159" s="21">
        <f>EXP(-LN(2)/2)*DH158+(1-EXP(-LN(2)/2))/(LN(2)/2)*DB159*DE159*VLOOKUP('Données projet'!$B$13,Paramètres!$A$1:$I$89,3,0)*0.475*44/12</f>
        <v>0</v>
      </c>
      <c r="DI159" s="22">
        <f t="shared" si="175"/>
        <v>0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-2.2737367544323206E-13</v>
      </c>
      <c r="O160" s="13">
        <f>N160*VLOOKUP('Données projet'!$B$9,Paramètres!$A$1:$I$89,3,0)*VLOOKUP('Données projet'!$B$9,Paramètres!$A$1:$I$89,5,0)</f>
        <v>-1.3596945791505279E-13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181.92766225683107</v>
      </c>
      <c r="T160" s="59">
        <f t="shared" si="142"/>
        <v>370.52917139565756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5.3143306005465929</v>
      </c>
      <c r="AA160" s="21">
        <f>EXP(-LN(2)/25)*AA159+(1-EXP(-LN(2)/25))/(LN(2)/25)*Calculateur!V160*Calculateur!X160*VLOOKUP('Données projet'!$B$9,Paramètres!$A$1:$I$89,3,0)*0.475*44/12</f>
        <v>1.740379586400536</v>
      </c>
      <c r="AB160" s="21">
        <f>EXP(-LN(2)/2)*AB159+(1-EXP(-LN(2)/2))/(LN(2)/2)*V160*Y160*VLOOKUP('Données projet'!$B$9,Paramètres!$A$1:$I$89,3,0)*0.475*44/12</f>
        <v>3.4837612499067358E-17</v>
      </c>
      <c r="AC160" s="22">
        <f t="shared" si="163"/>
        <v>7.0547101869471289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5.6843418860808015E-14</v>
      </c>
      <c r="AJ160" s="13">
        <f>AI160*VLOOKUP('Données projet'!$B$10,Paramètres!$A$1:$I$89,3,0)*VLOOKUP('Données projet'!$B$10,Paramètres!$A$1:$I$89,5,0)</f>
        <v>4.6111381379887463E-14</v>
      </c>
      <c r="AK160" s="13">
        <f t="shared" si="164"/>
        <v>7.5804141040779151E-13</v>
      </c>
      <c r="AL160" s="20">
        <f t="shared" si="165"/>
        <v>1.4005661123635408E-12</v>
      </c>
      <c r="AM160" s="59">
        <f t="shared" si="113"/>
        <v>293.33333333333474</v>
      </c>
      <c r="AN160" s="59">
        <f ca="1">AVERAGE(OFFSET($AM$3,0,0,'Données projet'!$E$10+1,1))-AVERAGE(OFFSET($H$3,0,0,'Données projet'!$E$10+1,1))</f>
        <v>235.31102883830971</v>
      </c>
      <c r="AO160" s="59">
        <f t="shared" si="144"/>
        <v>271.48630853790422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</v>
      </c>
      <c r="AV160" s="21">
        <f>EXP(-LN(2)/25)*AV159+(1-EXP(-LN(2)/25))/(LN(2)/25)*Calculateur!AQ160*Calculateur!AS160*VLOOKUP('Données projet'!$B$10,Paramètres!$A$1:$I$89,3,0)*0.475*44/12</f>
        <v>0.25148507596524289</v>
      </c>
      <c r="AW160" s="21">
        <f>EXP(-LN(2)/2)*AW159+(1-EXP(-LN(2)/2))/(LN(2)/2)*AQ160*AT160*VLOOKUP('Données projet'!$B$10,Paramètres!$A$1:$I$89,3,0)*0.475*44/12</f>
        <v>8.4120841681771799E-19</v>
      </c>
      <c r="AX160" s="21">
        <f t="shared" si="166"/>
        <v>0.25148507596524289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2.8421709430404007E-14</v>
      </c>
      <c r="BE160" s="13">
        <f>BD160*VLOOKUP('Données projet'!$B$11,Paramètres!$A$1:$I$89,3,0)*VLOOKUP('Données projet'!$B$11,Paramètres!$A$1:$I$89,5,0)</f>
        <v>3.2366642699344085E-14</v>
      </c>
      <c r="BF160" s="13">
        <f t="shared" si="167"/>
        <v>5.5446527398450045E-13</v>
      </c>
      <c r="BG160" s="20">
        <f t="shared" si="168"/>
        <v>1.0220655882243624E-12</v>
      </c>
      <c r="BH160" s="59">
        <f t="shared" si="116"/>
        <v>293.33333333333434</v>
      </c>
      <c r="BI160" s="59">
        <f ca="1">AVERAGE(OFFSET($BH$3,0,0,'Données projet'!$E$11+1,1))-AVERAGE(OFFSET($H$3,0,0,'Données projet'!$E$11+1,1))</f>
        <v>249.01678065306629</v>
      </c>
      <c r="BJ160" s="59">
        <f t="shared" si="146"/>
        <v>99.639724892155641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0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>
        <f>BY160*VLOOKUP('Données projet'!$B$12,Paramètres!$A$1:$I$89,3,0)*VLOOKUP('Données projet'!$B$12,Paramètres!$A$1:$I$89,5,0)</f>
        <v>0</v>
      </c>
      <c r="CA160" s="13" t="e">
        <f t="shared" si="170"/>
        <v>#NUM!</v>
      </c>
      <c r="CB160" s="20" t="e">
        <f t="shared" si="171"/>
        <v>#NUM!</v>
      </c>
      <c r="CC160" s="59" t="e">
        <f t="shared" si="119"/>
        <v>#NUM!</v>
      </c>
      <c r="CD160" s="59">
        <f ca="1">AVERAGE(OFFSET($CC$3,0,0,'Données projet'!$E$12+1,1))-AVERAGE(OFFSET($H$3,0,0,'Données projet'!$E$12+1,1))</f>
        <v>0</v>
      </c>
      <c r="CE160" s="59">
        <f t="shared" si="148"/>
        <v>0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</v>
      </c>
      <c r="CL160" s="21">
        <f>EXP(-LN(2)/25)*CL159+(1-EXP(-LN(2)/25))/(LN(2)/25)*Calculateur!CG160*Calculateur!CI160*VLOOKUP('Données projet'!$B$12,Paramètres!$A$1:$I$89,3,0)*0.475*44/12</f>
        <v>0</v>
      </c>
      <c r="CM160" s="21">
        <f>EXP(-LN(2)/2)*CM159+(1-EXP(-LN(2)/2))/(LN(2)/2)*CG160*CJ160*VLOOKUP('Données projet'!$B$12,Paramètres!$A$1:$I$89,3,0)*0.475*44/12</f>
        <v>0</v>
      </c>
      <c r="CN160" s="22">
        <f t="shared" si="172"/>
        <v>0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>
        <f>CT160*VLOOKUP('Données projet'!$B$13,Paramètres!$A$1:$I$89,3,0)*VLOOKUP('Données projet'!$B$13,Paramètres!$A$1:$I$89,5,0)</f>
        <v>0</v>
      </c>
      <c r="CV160" s="13" t="e">
        <f t="shared" si="173"/>
        <v>#NUM!</v>
      </c>
      <c r="CW160" s="20" t="e">
        <f t="shared" si="174"/>
        <v>#NUM!</v>
      </c>
      <c r="CX160" s="59" t="e">
        <f t="shared" si="122"/>
        <v>#NUM!</v>
      </c>
      <c r="CY160" s="59">
        <f ca="1">AVERAGE(OFFSET($CX$3,0,0,'Données projet'!$E$13+1,1))-AVERAGE(OFFSET($H$3,0,0,'Données projet'!$E$13+1,1))</f>
        <v>0</v>
      </c>
      <c r="CZ160" s="59">
        <f t="shared" si="150"/>
        <v>0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0</v>
      </c>
      <c r="DG160" s="21">
        <f>EXP(-LN(2)/25)*DG159+(1-EXP(-LN(2)/25))/(LN(2)/25)*Calculateur!DB160*Calculateur!DD160*VLOOKUP('Données projet'!$B$13,Paramètres!$A$1:$I$89,3,0)*0.475*44/12</f>
        <v>0</v>
      </c>
      <c r="DH160" s="21">
        <f>EXP(-LN(2)/2)*DH159+(1-EXP(-LN(2)/2))/(LN(2)/2)*DB160*DE160*VLOOKUP('Données projet'!$B$13,Paramètres!$A$1:$I$89,3,0)*0.475*44/12</f>
        <v>0</v>
      </c>
      <c r="DI160" s="22">
        <f t="shared" si="175"/>
        <v>0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-2.2737367544323206E-13</v>
      </c>
      <c r="O161" s="13">
        <f>N161*VLOOKUP('Données projet'!$B$9,Paramètres!$A$1:$I$89,3,0)*VLOOKUP('Données projet'!$B$9,Paramètres!$A$1:$I$89,5,0)</f>
        <v>-1.3596945791505279E-13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181.92766225683107</v>
      </c>
      <c r="T161" s="59">
        <f t="shared" si="142"/>
        <v>370.52917139565756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5.210119818891477</v>
      </c>
      <c r="AA161" s="21">
        <f>EXP(-LN(2)/25)*AA160+(1-EXP(-LN(2)/25))/(LN(2)/25)*Calculateur!V161*Calculateur!X161*VLOOKUP('Données projet'!$B$9,Paramètres!$A$1:$I$89,3,0)*0.475*44/12</f>
        <v>1.6927888150878285</v>
      </c>
      <c r="AB161" s="21">
        <f>EXP(-LN(2)/2)*AB160+(1-EXP(-LN(2)/2))/(LN(2)/2)*V161*Y161*VLOOKUP('Données projet'!$B$9,Paramètres!$A$1:$I$89,3,0)*0.475*44/12</f>
        <v>2.4633912038439756E-17</v>
      </c>
      <c r="AC161" s="22">
        <f t="shared" si="163"/>
        <v>6.9029086339793055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5.6843418860808015E-14</v>
      </c>
      <c r="AJ161" s="13">
        <f>AI161*VLOOKUP('Données projet'!$B$10,Paramètres!$A$1:$I$89,3,0)*VLOOKUP('Données projet'!$B$10,Paramètres!$A$1:$I$89,5,0)</f>
        <v>4.6111381379887463E-14</v>
      </c>
      <c r="AK161" s="13">
        <f t="shared" si="164"/>
        <v>7.5804141040779151E-13</v>
      </c>
      <c r="AL161" s="20">
        <f t="shared" si="165"/>
        <v>1.4005661123635408E-12</v>
      </c>
      <c r="AM161" s="59">
        <f t="shared" si="113"/>
        <v>293.33333333333474</v>
      </c>
      <c r="AN161" s="59">
        <f ca="1">AVERAGE(OFFSET($AM$3,0,0,'Données projet'!$E$10+1,1))-AVERAGE(OFFSET($H$3,0,0,'Données projet'!$E$10+1,1))</f>
        <v>235.31102883830971</v>
      </c>
      <c r="AO161" s="59">
        <f t="shared" si="144"/>
        <v>271.48630853790422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</v>
      </c>
      <c r="AV161" s="21">
        <f>EXP(-LN(2)/25)*AV160+(1-EXP(-LN(2)/25))/(LN(2)/25)*Calculateur!AQ161*Calculateur!AS161*VLOOKUP('Données projet'!$B$10,Paramètres!$A$1:$I$89,3,0)*0.475*44/12</f>
        <v>0.24460820333794794</v>
      </c>
      <c r="AW161" s="21">
        <f>EXP(-LN(2)/2)*AW160+(1-EXP(-LN(2)/2))/(LN(2)/2)*AQ161*AT161*VLOOKUP('Données projet'!$B$10,Paramètres!$A$1:$I$89,3,0)*0.475*44/12</f>
        <v>5.9482417592300817E-19</v>
      </c>
      <c r="AX161" s="21">
        <f t="shared" si="166"/>
        <v>0.24460820333794794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2.8421709430404007E-14</v>
      </c>
      <c r="BE161" s="13">
        <f>BD161*VLOOKUP('Données projet'!$B$11,Paramètres!$A$1:$I$89,3,0)*VLOOKUP('Données projet'!$B$11,Paramètres!$A$1:$I$89,5,0)</f>
        <v>3.2366642699344085E-14</v>
      </c>
      <c r="BF161" s="13">
        <f t="shared" si="167"/>
        <v>5.5446527398450045E-13</v>
      </c>
      <c r="BG161" s="20">
        <f t="shared" si="168"/>
        <v>1.0220655882243624E-12</v>
      </c>
      <c r="BH161" s="59">
        <f t="shared" si="116"/>
        <v>293.33333333333434</v>
      </c>
      <c r="BI161" s="59">
        <f ca="1">AVERAGE(OFFSET($BH$3,0,0,'Données projet'!$E$11+1,1))-AVERAGE(OFFSET($H$3,0,0,'Données projet'!$E$11+1,1))</f>
        <v>249.01678065306629</v>
      </c>
      <c r="BJ161" s="59">
        <f t="shared" si="146"/>
        <v>99.639724892155641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0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>
        <f>BY161*VLOOKUP('Données projet'!$B$12,Paramètres!$A$1:$I$89,3,0)*VLOOKUP('Données projet'!$B$12,Paramètres!$A$1:$I$89,5,0)</f>
        <v>0</v>
      </c>
      <c r="CA161" s="13" t="e">
        <f t="shared" si="170"/>
        <v>#NUM!</v>
      </c>
      <c r="CB161" s="20" t="e">
        <f t="shared" si="171"/>
        <v>#NUM!</v>
      </c>
      <c r="CC161" s="59" t="e">
        <f t="shared" si="119"/>
        <v>#NUM!</v>
      </c>
      <c r="CD161" s="59">
        <f ca="1">AVERAGE(OFFSET($CC$3,0,0,'Données projet'!$E$12+1,1))-AVERAGE(OFFSET($H$3,0,0,'Données projet'!$E$12+1,1))</f>
        <v>0</v>
      </c>
      <c r="CE161" s="59">
        <f t="shared" si="148"/>
        <v>0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</v>
      </c>
      <c r="CL161" s="21">
        <f>EXP(-LN(2)/25)*CL160+(1-EXP(-LN(2)/25))/(LN(2)/25)*Calculateur!CG161*Calculateur!CI161*VLOOKUP('Données projet'!$B$12,Paramètres!$A$1:$I$89,3,0)*0.475*44/12</f>
        <v>0</v>
      </c>
      <c r="CM161" s="21">
        <f>EXP(-LN(2)/2)*CM160+(1-EXP(-LN(2)/2))/(LN(2)/2)*CG161*CJ161*VLOOKUP('Données projet'!$B$12,Paramètres!$A$1:$I$89,3,0)*0.475*44/12</f>
        <v>0</v>
      </c>
      <c r="CN161" s="22">
        <f t="shared" si="172"/>
        <v>0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>
        <f>CT161*VLOOKUP('Données projet'!$B$13,Paramètres!$A$1:$I$89,3,0)*VLOOKUP('Données projet'!$B$13,Paramètres!$A$1:$I$89,5,0)</f>
        <v>0</v>
      </c>
      <c r="CV161" s="13" t="e">
        <f t="shared" si="173"/>
        <v>#NUM!</v>
      </c>
      <c r="CW161" s="20" t="e">
        <f t="shared" si="174"/>
        <v>#NUM!</v>
      </c>
      <c r="CX161" s="59" t="e">
        <f t="shared" si="122"/>
        <v>#NUM!</v>
      </c>
      <c r="CY161" s="59">
        <f ca="1">AVERAGE(OFFSET($CX$3,0,0,'Données projet'!$E$13+1,1))-AVERAGE(OFFSET($H$3,0,0,'Données projet'!$E$13+1,1))</f>
        <v>0</v>
      </c>
      <c r="CZ161" s="59">
        <f t="shared" si="150"/>
        <v>0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0</v>
      </c>
      <c r="DG161" s="21">
        <f>EXP(-LN(2)/25)*DG160+(1-EXP(-LN(2)/25))/(LN(2)/25)*Calculateur!DB161*Calculateur!DD161*VLOOKUP('Données projet'!$B$13,Paramètres!$A$1:$I$89,3,0)*0.475*44/12</f>
        <v>0</v>
      </c>
      <c r="DH161" s="21">
        <f>EXP(-LN(2)/2)*DH160+(1-EXP(-LN(2)/2))/(LN(2)/2)*DB161*DE161*VLOOKUP('Données projet'!$B$13,Paramètres!$A$1:$I$89,3,0)*0.475*44/12</f>
        <v>0</v>
      </c>
      <c r="DI161" s="22">
        <f t="shared" si="175"/>
        <v>0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-2.2737367544323206E-13</v>
      </c>
      <c r="O162" s="13">
        <f>N162*VLOOKUP('Données projet'!$B$9,Paramètres!$A$1:$I$89,3,0)*VLOOKUP('Données projet'!$B$9,Paramètres!$A$1:$I$89,5,0)</f>
        <v>-1.3596945791505279E-13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181.92766225683107</v>
      </c>
      <c r="T162" s="59">
        <f t="shared" si="142"/>
        <v>370.52917139565756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5.1079525471023173</v>
      </c>
      <c r="AA162" s="21">
        <f>EXP(-LN(2)/25)*AA161+(1-EXP(-LN(2)/25))/(LN(2)/25)*Calculateur!V162*Calculateur!X162*VLOOKUP('Données projet'!$B$9,Paramètres!$A$1:$I$89,3,0)*0.475*44/12</f>
        <v>1.6464994159193569</v>
      </c>
      <c r="AB162" s="21">
        <f>EXP(-LN(2)/2)*AB161+(1-EXP(-LN(2)/2))/(LN(2)/2)*V162*Y162*VLOOKUP('Données projet'!$B$9,Paramètres!$A$1:$I$89,3,0)*0.475*44/12</f>
        <v>1.7418806249533679E-17</v>
      </c>
      <c r="AC162" s="22">
        <f t="shared" si="163"/>
        <v>6.7544519630216744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5.6843418860808015E-14</v>
      </c>
      <c r="AJ162" s="13">
        <f>AI162*VLOOKUP('Données projet'!$B$10,Paramètres!$A$1:$I$89,3,0)*VLOOKUP('Données projet'!$B$10,Paramètres!$A$1:$I$89,5,0)</f>
        <v>4.6111381379887463E-14</v>
      </c>
      <c r="AK162" s="13">
        <f t="shared" si="164"/>
        <v>7.5804141040779151E-13</v>
      </c>
      <c r="AL162" s="20">
        <f t="shared" si="165"/>
        <v>1.4005661123635408E-12</v>
      </c>
      <c r="AM162" s="59">
        <f t="shared" si="113"/>
        <v>293.33333333333474</v>
      </c>
      <c r="AN162" s="59">
        <f ca="1">AVERAGE(OFFSET($AM$3,0,0,'Données projet'!$E$10+1,1))-AVERAGE(OFFSET($H$3,0,0,'Données projet'!$E$10+1,1))</f>
        <v>235.31102883830971</v>
      </c>
      <c r="AO162" s="59">
        <f t="shared" si="144"/>
        <v>271.48630853790422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</v>
      </c>
      <c r="AV162" s="21">
        <f>EXP(-LN(2)/25)*AV161+(1-EXP(-LN(2)/25))/(LN(2)/25)*Calculateur!AQ162*Calculateur!AS162*VLOOKUP('Données projet'!$B$10,Paramètres!$A$1:$I$89,3,0)*0.475*44/12</f>
        <v>0.2379193791542854</v>
      </c>
      <c r="AW162" s="21">
        <f>EXP(-LN(2)/2)*AW161+(1-EXP(-LN(2)/2))/(LN(2)/2)*AQ162*AT162*VLOOKUP('Données projet'!$B$10,Paramètres!$A$1:$I$89,3,0)*0.475*44/12</f>
        <v>4.20604208408859E-19</v>
      </c>
      <c r="AX162" s="21">
        <f t="shared" si="166"/>
        <v>0.2379193791542854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2.8421709430404007E-14</v>
      </c>
      <c r="BE162" s="13">
        <f>BD162*VLOOKUP('Données projet'!$B$11,Paramètres!$A$1:$I$89,3,0)*VLOOKUP('Données projet'!$B$11,Paramètres!$A$1:$I$89,5,0)</f>
        <v>3.2366642699344085E-14</v>
      </c>
      <c r="BF162" s="13">
        <f t="shared" si="167"/>
        <v>5.5446527398450045E-13</v>
      </c>
      <c r="BG162" s="20">
        <f t="shared" si="168"/>
        <v>1.0220655882243624E-12</v>
      </c>
      <c r="BH162" s="59">
        <f t="shared" si="116"/>
        <v>293.33333333333434</v>
      </c>
      <c r="BI162" s="59">
        <f ca="1">AVERAGE(OFFSET($BH$3,0,0,'Données projet'!$E$11+1,1))-AVERAGE(OFFSET($H$3,0,0,'Données projet'!$E$11+1,1))</f>
        <v>249.01678065306629</v>
      </c>
      <c r="BJ162" s="59">
        <f t="shared" si="146"/>
        <v>99.639724892155641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0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>
        <f>BY162*VLOOKUP('Données projet'!$B$12,Paramètres!$A$1:$I$89,3,0)*VLOOKUP('Données projet'!$B$12,Paramètres!$A$1:$I$89,5,0)</f>
        <v>0</v>
      </c>
      <c r="CA162" s="13" t="e">
        <f t="shared" si="170"/>
        <v>#NUM!</v>
      </c>
      <c r="CB162" s="20" t="e">
        <f t="shared" si="171"/>
        <v>#NUM!</v>
      </c>
      <c r="CC162" s="59" t="e">
        <f t="shared" si="119"/>
        <v>#NUM!</v>
      </c>
      <c r="CD162" s="59">
        <f ca="1">AVERAGE(OFFSET($CC$3,0,0,'Données projet'!$E$12+1,1))-AVERAGE(OFFSET($H$3,0,0,'Données projet'!$E$12+1,1))</f>
        <v>0</v>
      </c>
      <c r="CE162" s="59">
        <f t="shared" si="148"/>
        <v>0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</v>
      </c>
      <c r="CL162" s="21">
        <f>EXP(-LN(2)/25)*CL161+(1-EXP(-LN(2)/25))/(LN(2)/25)*Calculateur!CG162*Calculateur!CI162*VLOOKUP('Données projet'!$B$12,Paramètres!$A$1:$I$89,3,0)*0.475*44/12</f>
        <v>0</v>
      </c>
      <c r="CM162" s="21">
        <f>EXP(-LN(2)/2)*CM161+(1-EXP(-LN(2)/2))/(LN(2)/2)*CG162*CJ162*VLOOKUP('Données projet'!$B$12,Paramètres!$A$1:$I$89,3,0)*0.475*44/12</f>
        <v>0</v>
      </c>
      <c r="CN162" s="22">
        <f t="shared" si="172"/>
        <v>0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>
        <f>CT162*VLOOKUP('Données projet'!$B$13,Paramètres!$A$1:$I$89,3,0)*VLOOKUP('Données projet'!$B$13,Paramètres!$A$1:$I$89,5,0)</f>
        <v>0</v>
      </c>
      <c r="CV162" s="13" t="e">
        <f t="shared" si="173"/>
        <v>#NUM!</v>
      </c>
      <c r="CW162" s="20" t="e">
        <f t="shared" si="174"/>
        <v>#NUM!</v>
      </c>
      <c r="CX162" s="59" t="e">
        <f t="shared" si="122"/>
        <v>#NUM!</v>
      </c>
      <c r="CY162" s="59">
        <f ca="1">AVERAGE(OFFSET($CX$3,0,0,'Données projet'!$E$13+1,1))-AVERAGE(OFFSET($H$3,0,0,'Données projet'!$E$13+1,1))</f>
        <v>0</v>
      </c>
      <c r="CZ162" s="59">
        <f t="shared" si="150"/>
        <v>0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0</v>
      </c>
      <c r="DG162" s="21">
        <f>EXP(-LN(2)/25)*DG161+(1-EXP(-LN(2)/25))/(LN(2)/25)*Calculateur!DB162*Calculateur!DD162*VLOOKUP('Données projet'!$B$13,Paramètres!$A$1:$I$89,3,0)*0.475*44/12</f>
        <v>0</v>
      </c>
      <c r="DH162" s="21">
        <f>EXP(-LN(2)/2)*DH161+(1-EXP(-LN(2)/2))/(LN(2)/2)*DB162*DE162*VLOOKUP('Données projet'!$B$13,Paramètres!$A$1:$I$89,3,0)*0.475*44/12</f>
        <v>0</v>
      </c>
      <c r="DI162" s="22">
        <f t="shared" si="175"/>
        <v>0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-2.2737367544323206E-13</v>
      </c>
      <c r="O163" s="13">
        <f>N163*VLOOKUP('Données projet'!$B$9,Paramètres!$A$1:$I$89,3,0)*VLOOKUP('Données projet'!$B$9,Paramètres!$A$1:$I$89,5,0)</f>
        <v>-1.3596945791505279E-13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181.92766225683107</v>
      </c>
      <c r="T163" s="59">
        <f t="shared" si="142"/>
        <v>370.52917139565756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5.0077887131970602</v>
      </c>
      <c r="AA163" s="21">
        <f>EXP(-LN(2)/25)*AA162+(1-EXP(-LN(2)/25))/(LN(2)/25)*Calculateur!V163*Calculateur!X163*VLOOKUP('Données projet'!$B$9,Paramètres!$A$1:$I$89,3,0)*0.475*44/12</f>
        <v>1.601475802805401</v>
      </c>
      <c r="AB163" s="21">
        <f>EXP(-LN(2)/2)*AB162+(1-EXP(-LN(2)/2))/(LN(2)/2)*V163*Y163*VLOOKUP('Données projet'!$B$9,Paramètres!$A$1:$I$89,3,0)*0.475*44/12</f>
        <v>1.2316956019219878E-17</v>
      </c>
      <c r="AC163" s="22">
        <f t="shared" si="163"/>
        <v>6.6092645160024617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5.6843418860808015E-14</v>
      </c>
      <c r="AJ163" s="13">
        <f>AI163*VLOOKUP('Données projet'!$B$10,Paramètres!$A$1:$I$89,3,0)*VLOOKUP('Données projet'!$B$10,Paramètres!$A$1:$I$89,5,0)</f>
        <v>4.6111381379887463E-14</v>
      </c>
      <c r="AK163" s="13">
        <f t="shared" si="164"/>
        <v>7.5804141040779151E-13</v>
      </c>
      <c r="AL163" s="20">
        <f t="shared" si="165"/>
        <v>1.4005661123635408E-12</v>
      </c>
      <c r="AM163" s="59">
        <f t="shared" si="113"/>
        <v>293.33333333333474</v>
      </c>
      <c r="AN163" s="59">
        <f ca="1">AVERAGE(OFFSET($AM$3,0,0,'Données projet'!$E$10+1,1))-AVERAGE(OFFSET($H$3,0,0,'Données projet'!$E$10+1,1))</f>
        <v>235.31102883830971</v>
      </c>
      <c r="AO163" s="59">
        <f t="shared" si="144"/>
        <v>271.48630853790422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</v>
      </c>
      <c r="AV163" s="21">
        <f>EXP(-LN(2)/25)*AV162+(1-EXP(-LN(2)/25))/(LN(2)/25)*Calculateur!AQ163*Calculateur!AS163*VLOOKUP('Données projet'!$B$10,Paramètres!$A$1:$I$89,3,0)*0.475*44/12</f>
        <v>0.2314134612196751</v>
      </c>
      <c r="AW163" s="21">
        <f>EXP(-LN(2)/2)*AW162+(1-EXP(-LN(2)/2))/(LN(2)/2)*AQ163*AT163*VLOOKUP('Données projet'!$B$10,Paramètres!$A$1:$I$89,3,0)*0.475*44/12</f>
        <v>2.9741208796150409E-19</v>
      </c>
      <c r="AX163" s="21">
        <f t="shared" si="166"/>
        <v>0.2314134612196751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2.8421709430404007E-14</v>
      </c>
      <c r="BE163" s="13">
        <f>BD163*VLOOKUP('Données projet'!$B$11,Paramètres!$A$1:$I$89,3,0)*VLOOKUP('Données projet'!$B$11,Paramètres!$A$1:$I$89,5,0)</f>
        <v>3.2366642699344085E-14</v>
      </c>
      <c r="BF163" s="13">
        <f t="shared" si="167"/>
        <v>5.5446527398450045E-13</v>
      </c>
      <c r="BG163" s="20">
        <f t="shared" si="168"/>
        <v>1.0220655882243624E-12</v>
      </c>
      <c r="BH163" s="59">
        <f t="shared" si="116"/>
        <v>293.33333333333434</v>
      </c>
      <c r="BI163" s="59">
        <f ca="1">AVERAGE(OFFSET($BH$3,0,0,'Données projet'!$E$11+1,1))-AVERAGE(OFFSET($H$3,0,0,'Données projet'!$E$11+1,1))</f>
        <v>249.01678065306629</v>
      </c>
      <c r="BJ163" s="59">
        <f t="shared" si="146"/>
        <v>99.639724892155641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0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>
        <f>BY163*VLOOKUP('Données projet'!$B$12,Paramètres!$A$1:$I$89,3,0)*VLOOKUP('Données projet'!$B$12,Paramètres!$A$1:$I$89,5,0)</f>
        <v>0</v>
      </c>
      <c r="CA163" s="13" t="e">
        <f t="shared" si="170"/>
        <v>#NUM!</v>
      </c>
      <c r="CB163" s="20" t="e">
        <f t="shared" si="171"/>
        <v>#NUM!</v>
      </c>
      <c r="CC163" s="59" t="e">
        <f t="shared" si="119"/>
        <v>#NUM!</v>
      </c>
      <c r="CD163" s="59">
        <f ca="1">AVERAGE(OFFSET($CC$3,0,0,'Données projet'!$E$12+1,1))-AVERAGE(OFFSET($H$3,0,0,'Données projet'!$E$12+1,1))</f>
        <v>0</v>
      </c>
      <c r="CE163" s="59">
        <f t="shared" si="148"/>
        <v>0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</v>
      </c>
      <c r="CL163" s="21">
        <f>EXP(-LN(2)/25)*CL162+(1-EXP(-LN(2)/25))/(LN(2)/25)*Calculateur!CG163*Calculateur!CI163*VLOOKUP('Données projet'!$B$12,Paramètres!$A$1:$I$89,3,0)*0.475*44/12</f>
        <v>0</v>
      </c>
      <c r="CM163" s="21">
        <f>EXP(-LN(2)/2)*CM162+(1-EXP(-LN(2)/2))/(LN(2)/2)*CG163*CJ163*VLOOKUP('Données projet'!$B$12,Paramètres!$A$1:$I$89,3,0)*0.475*44/12</f>
        <v>0</v>
      </c>
      <c r="CN163" s="22">
        <f t="shared" si="172"/>
        <v>0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>
        <f>CT163*VLOOKUP('Données projet'!$B$13,Paramètres!$A$1:$I$89,3,0)*VLOOKUP('Données projet'!$B$13,Paramètres!$A$1:$I$89,5,0)</f>
        <v>0</v>
      </c>
      <c r="CV163" s="13" t="e">
        <f t="shared" si="173"/>
        <v>#NUM!</v>
      </c>
      <c r="CW163" s="20" t="e">
        <f t="shared" si="174"/>
        <v>#NUM!</v>
      </c>
      <c r="CX163" s="59" t="e">
        <f t="shared" si="122"/>
        <v>#NUM!</v>
      </c>
      <c r="CY163" s="59">
        <f ca="1">AVERAGE(OFFSET($CX$3,0,0,'Données projet'!$E$13+1,1))-AVERAGE(OFFSET($H$3,0,0,'Données projet'!$E$13+1,1))</f>
        <v>0</v>
      </c>
      <c r="CZ163" s="59">
        <f t="shared" si="150"/>
        <v>0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0</v>
      </c>
      <c r="DG163" s="21">
        <f>EXP(-LN(2)/25)*DG162+(1-EXP(-LN(2)/25))/(LN(2)/25)*Calculateur!DB163*Calculateur!DD163*VLOOKUP('Données projet'!$B$13,Paramètres!$A$1:$I$89,3,0)*0.475*44/12</f>
        <v>0</v>
      </c>
      <c r="DH163" s="21">
        <f>EXP(-LN(2)/2)*DH162+(1-EXP(-LN(2)/2))/(LN(2)/2)*DB163*DE163*VLOOKUP('Données projet'!$B$13,Paramètres!$A$1:$I$89,3,0)*0.475*44/12</f>
        <v>0</v>
      </c>
      <c r="DI163" s="22">
        <f t="shared" si="175"/>
        <v>0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-2.2737367544323206E-13</v>
      </c>
      <c r="O164" s="13">
        <f>N164*VLOOKUP('Données projet'!$B$9,Paramètres!$A$1:$I$89,3,0)*VLOOKUP('Données projet'!$B$9,Paramètres!$A$1:$I$89,5,0)</f>
        <v>-1.3596945791505279E-13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181.92766225683107</v>
      </c>
      <c r="T164" s="59">
        <f t="shared" si="142"/>
        <v>370.52917139565756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4.9095890309807793</v>
      </c>
      <c r="AA164" s="21">
        <f>EXP(-LN(2)/25)*AA163+(1-EXP(-LN(2)/25))/(LN(2)/25)*Calculateur!V164*Calculateur!X164*VLOOKUP('Données projet'!$B$9,Paramètres!$A$1:$I$89,3,0)*0.475*44/12</f>
        <v>1.5576833627597351</v>
      </c>
      <c r="AB164" s="21">
        <f>EXP(-LN(2)/2)*AB163+(1-EXP(-LN(2)/2))/(LN(2)/2)*V164*Y164*VLOOKUP('Données projet'!$B$9,Paramètres!$A$1:$I$89,3,0)*0.475*44/12</f>
        <v>8.7094031247668395E-18</v>
      </c>
      <c r="AC164" s="22">
        <f t="shared" si="163"/>
        <v>6.4672723937405143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5.6843418860808015E-14</v>
      </c>
      <c r="AJ164" s="13">
        <f>AI164*VLOOKUP('Données projet'!$B$10,Paramètres!$A$1:$I$89,3,0)*VLOOKUP('Données projet'!$B$10,Paramètres!$A$1:$I$89,5,0)</f>
        <v>4.6111381379887463E-14</v>
      </c>
      <c r="AK164" s="13">
        <f t="shared" si="164"/>
        <v>7.5804141040779151E-13</v>
      </c>
      <c r="AL164" s="20">
        <f t="shared" si="165"/>
        <v>1.4005661123635408E-12</v>
      </c>
      <c r="AM164" s="59">
        <f t="shared" si="113"/>
        <v>293.33333333333474</v>
      </c>
      <c r="AN164" s="59">
        <f ca="1">AVERAGE(OFFSET($AM$3,0,0,'Données projet'!$E$10+1,1))-AVERAGE(OFFSET($H$3,0,0,'Données projet'!$E$10+1,1))</f>
        <v>235.31102883830971</v>
      </c>
      <c r="AO164" s="59">
        <f t="shared" si="144"/>
        <v>271.48630853790422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</v>
      </c>
      <c r="AV164" s="21">
        <f>EXP(-LN(2)/25)*AV163+(1-EXP(-LN(2)/25))/(LN(2)/25)*Calculateur!AQ164*Calculateur!AS164*VLOOKUP('Données projet'!$B$10,Paramètres!$A$1:$I$89,3,0)*0.475*44/12</f>
        <v>0.22508544795311805</v>
      </c>
      <c r="AW164" s="21">
        <f>EXP(-LN(2)/2)*AW163+(1-EXP(-LN(2)/2))/(LN(2)/2)*AQ164*AT164*VLOOKUP('Données projet'!$B$10,Paramètres!$A$1:$I$89,3,0)*0.475*44/12</f>
        <v>2.103021042044295E-19</v>
      </c>
      <c r="AX164" s="21">
        <f t="shared" si="166"/>
        <v>0.22508544795311805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2.8421709430404007E-14</v>
      </c>
      <c r="BE164" s="13">
        <f>BD164*VLOOKUP('Données projet'!$B$11,Paramètres!$A$1:$I$89,3,0)*VLOOKUP('Données projet'!$B$11,Paramètres!$A$1:$I$89,5,0)</f>
        <v>3.2366642699344085E-14</v>
      </c>
      <c r="BF164" s="13">
        <f t="shared" si="167"/>
        <v>5.5446527398450045E-13</v>
      </c>
      <c r="BG164" s="20">
        <f t="shared" si="168"/>
        <v>1.0220655882243624E-12</v>
      </c>
      <c r="BH164" s="59">
        <f t="shared" si="116"/>
        <v>293.33333333333434</v>
      </c>
      <c r="BI164" s="59">
        <f ca="1">AVERAGE(OFFSET($BH$3,0,0,'Données projet'!$E$11+1,1))-AVERAGE(OFFSET($H$3,0,0,'Données projet'!$E$11+1,1))</f>
        <v>249.01678065306629</v>
      </c>
      <c r="BJ164" s="59">
        <f t="shared" si="146"/>
        <v>99.639724892155641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0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>
        <f>BY164*VLOOKUP('Données projet'!$B$12,Paramètres!$A$1:$I$89,3,0)*VLOOKUP('Données projet'!$B$12,Paramètres!$A$1:$I$89,5,0)</f>
        <v>0</v>
      </c>
      <c r="CA164" s="13" t="e">
        <f t="shared" si="170"/>
        <v>#NUM!</v>
      </c>
      <c r="CB164" s="20" t="e">
        <f t="shared" si="171"/>
        <v>#NUM!</v>
      </c>
      <c r="CC164" s="59" t="e">
        <f t="shared" si="119"/>
        <v>#NUM!</v>
      </c>
      <c r="CD164" s="59">
        <f ca="1">AVERAGE(OFFSET($CC$3,0,0,'Données projet'!$E$12+1,1))-AVERAGE(OFFSET($H$3,0,0,'Données projet'!$E$12+1,1))</f>
        <v>0</v>
      </c>
      <c r="CE164" s="59">
        <f t="shared" si="148"/>
        <v>0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</v>
      </c>
      <c r="CL164" s="21">
        <f>EXP(-LN(2)/25)*CL163+(1-EXP(-LN(2)/25))/(LN(2)/25)*Calculateur!CG164*Calculateur!CI164*VLOOKUP('Données projet'!$B$12,Paramètres!$A$1:$I$89,3,0)*0.475*44/12</f>
        <v>0</v>
      </c>
      <c r="CM164" s="21">
        <f>EXP(-LN(2)/2)*CM163+(1-EXP(-LN(2)/2))/(LN(2)/2)*CG164*CJ164*VLOOKUP('Données projet'!$B$12,Paramètres!$A$1:$I$89,3,0)*0.475*44/12</f>
        <v>0</v>
      </c>
      <c r="CN164" s="22">
        <f t="shared" si="172"/>
        <v>0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>
        <f>CT164*VLOOKUP('Données projet'!$B$13,Paramètres!$A$1:$I$89,3,0)*VLOOKUP('Données projet'!$B$13,Paramètres!$A$1:$I$89,5,0)</f>
        <v>0</v>
      </c>
      <c r="CV164" s="13" t="e">
        <f t="shared" si="173"/>
        <v>#NUM!</v>
      </c>
      <c r="CW164" s="20" t="e">
        <f t="shared" si="174"/>
        <v>#NUM!</v>
      </c>
      <c r="CX164" s="59" t="e">
        <f t="shared" si="122"/>
        <v>#NUM!</v>
      </c>
      <c r="CY164" s="59">
        <f ca="1">AVERAGE(OFFSET($CX$3,0,0,'Données projet'!$E$13+1,1))-AVERAGE(OFFSET($H$3,0,0,'Données projet'!$E$13+1,1))</f>
        <v>0</v>
      </c>
      <c r="CZ164" s="59">
        <f t="shared" si="150"/>
        <v>0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0</v>
      </c>
      <c r="DG164" s="21">
        <f>EXP(-LN(2)/25)*DG163+(1-EXP(-LN(2)/25))/(LN(2)/25)*Calculateur!DB164*Calculateur!DD164*VLOOKUP('Données projet'!$B$13,Paramètres!$A$1:$I$89,3,0)*0.475*44/12</f>
        <v>0</v>
      </c>
      <c r="DH164" s="21">
        <f>EXP(-LN(2)/2)*DH163+(1-EXP(-LN(2)/2))/(LN(2)/2)*DB164*DE164*VLOOKUP('Données projet'!$B$13,Paramètres!$A$1:$I$89,3,0)*0.475*44/12</f>
        <v>0</v>
      </c>
      <c r="DI164" s="22">
        <f t="shared" si="175"/>
        <v>0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-2.2737367544323206E-13</v>
      </c>
      <c r="O165" s="13">
        <f>N165*VLOOKUP('Données projet'!$B$9,Paramètres!$A$1:$I$89,3,0)*VLOOKUP('Données projet'!$B$9,Paramètres!$A$1:$I$89,5,0)</f>
        <v>-1.3596945791505279E-13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181.92766225683107</v>
      </c>
      <c r="T165" s="59">
        <f t="shared" si="142"/>
        <v>370.52917139565756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4.8133149846368672</v>
      </c>
      <c r="AA165" s="21">
        <f>EXP(-LN(2)/25)*AA164+(1-EXP(-LN(2)/25))/(LN(2)/25)*Calculateur!V165*Calculateur!X165*VLOOKUP('Données projet'!$B$9,Paramètres!$A$1:$I$89,3,0)*0.475*44/12</f>
        <v>1.5150884292900622</v>
      </c>
      <c r="AB165" s="21">
        <f>EXP(-LN(2)/2)*AB164+(1-EXP(-LN(2)/2))/(LN(2)/2)*V165*Y165*VLOOKUP('Données projet'!$B$9,Paramètres!$A$1:$I$89,3,0)*0.475*44/12</f>
        <v>6.1584780096099389E-18</v>
      </c>
      <c r="AC165" s="22">
        <f t="shared" si="163"/>
        <v>6.3284034139269298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5.6843418860808015E-14</v>
      </c>
      <c r="AJ165" s="13">
        <f>AI165*VLOOKUP('Données projet'!$B$10,Paramètres!$A$1:$I$89,3,0)*VLOOKUP('Données projet'!$B$10,Paramètres!$A$1:$I$89,5,0)</f>
        <v>4.6111381379887463E-14</v>
      </c>
      <c r="AK165" s="13">
        <f t="shared" si="164"/>
        <v>7.5804141040779151E-13</v>
      </c>
      <c r="AL165" s="20">
        <f t="shared" si="165"/>
        <v>1.4005661123635408E-12</v>
      </c>
      <c r="AM165" s="59">
        <f t="shared" si="113"/>
        <v>293.33333333333474</v>
      </c>
      <c r="AN165" s="59">
        <f ca="1">AVERAGE(OFFSET($AM$3,0,0,'Données projet'!$E$10+1,1))-AVERAGE(OFFSET($H$3,0,0,'Données projet'!$E$10+1,1))</f>
        <v>235.31102883830971</v>
      </c>
      <c r="AO165" s="59">
        <f t="shared" si="144"/>
        <v>271.48630853790422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</v>
      </c>
      <c r="AV165" s="21">
        <f>EXP(-LN(2)/25)*AV164+(1-EXP(-LN(2)/25))/(LN(2)/25)*Calculateur!AQ165*Calculateur!AS165*VLOOKUP('Données projet'!$B$10,Paramètres!$A$1:$I$89,3,0)*0.475*44/12</f>
        <v>0.21893047454211076</v>
      </c>
      <c r="AW165" s="21">
        <f>EXP(-LN(2)/2)*AW164+(1-EXP(-LN(2)/2))/(LN(2)/2)*AQ165*AT165*VLOOKUP('Données projet'!$B$10,Paramètres!$A$1:$I$89,3,0)*0.475*44/12</f>
        <v>1.4870604398075204E-19</v>
      </c>
      <c r="AX165" s="21">
        <f t="shared" si="166"/>
        <v>0.21893047454211076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2.8421709430404007E-14</v>
      </c>
      <c r="BE165" s="13">
        <f>BD165*VLOOKUP('Données projet'!$B$11,Paramètres!$A$1:$I$89,3,0)*VLOOKUP('Données projet'!$B$11,Paramètres!$A$1:$I$89,5,0)</f>
        <v>3.2366642699344085E-14</v>
      </c>
      <c r="BF165" s="13">
        <f t="shared" si="167"/>
        <v>5.5446527398450045E-13</v>
      </c>
      <c r="BG165" s="20">
        <f t="shared" si="168"/>
        <v>1.0220655882243624E-12</v>
      </c>
      <c r="BH165" s="59">
        <f t="shared" si="116"/>
        <v>293.33333333333434</v>
      </c>
      <c r="BI165" s="59">
        <f ca="1">AVERAGE(OFFSET($BH$3,0,0,'Données projet'!$E$11+1,1))-AVERAGE(OFFSET($H$3,0,0,'Données projet'!$E$11+1,1))</f>
        <v>249.01678065306629</v>
      </c>
      <c r="BJ165" s="59">
        <f t="shared" si="146"/>
        <v>99.639724892155641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0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>
        <f>BY165*VLOOKUP('Données projet'!$B$12,Paramètres!$A$1:$I$89,3,0)*VLOOKUP('Données projet'!$B$12,Paramètres!$A$1:$I$89,5,0)</f>
        <v>0</v>
      </c>
      <c r="CA165" s="13" t="e">
        <f t="shared" si="170"/>
        <v>#NUM!</v>
      </c>
      <c r="CB165" s="20" t="e">
        <f t="shared" si="171"/>
        <v>#NUM!</v>
      </c>
      <c r="CC165" s="59" t="e">
        <f t="shared" si="119"/>
        <v>#NUM!</v>
      </c>
      <c r="CD165" s="59">
        <f ca="1">AVERAGE(OFFSET($CC$3,0,0,'Données projet'!$E$12+1,1))-AVERAGE(OFFSET($H$3,0,0,'Données projet'!$E$12+1,1))</f>
        <v>0</v>
      </c>
      <c r="CE165" s="59">
        <f t="shared" si="148"/>
        <v>0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</v>
      </c>
      <c r="CL165" s="21">
        <f>EXP(-LN(2)/25)*CL164+(1-EXP(-LN(2)/25))/(LN(2)/25)*Calculateur!CG165*Calculateur!CI165*VLOOKUP('Données projet'!$B$12,Paramètres!$A$1:$I$89,3,0)*0.475*44/12</f>
        <v>0</v>
      </c>
      <c r="CM165" s="21">
        <f>EXP(-LN(2)/2)*CM164+(1-EXP(-LN(2)/2))/(LN(2)/2)*CG165*CJ165*VLOOKUP('Données projet'!$B$12,Paramètres!$A$1:$I$89,3,0)*0.475*44/12</f>
        <v>0</v>
      </c>
      <c r="CN165" s="22">
        <f t="shared" si="172"/>
        <v>0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>
        <f>CT165*VLOOKUP('Données projet'!$B$13,Paramètres!$A$1:$I$89,3,0)*VLOOKUP('Données projet'!$B$13,Paramètres!$A$1:$I$89,5,0)</f>
        <v>0</v>
      </c>
      <c r="CV165" s="13" t="e">
        <f t="shared" si="173"/>
        <v>#NUM!</v>
      </c>
      <c r="CW165" s="20" t="e">
        <f t="shared" si="174"/>
        <v>#NUM!</v>
      </c>
      <c r="CX165" s="59" t="e">
        <f t="shared" si="122"/>
        <v>#NUM!</v>
      </c>
      <c r="CY165" s="59">
        <f ca="1">AVERAGE(OFFSET($CX$3,0,0,'Données projet'!$E$13+1,1))-AVERAGE(OFFSET($H$3,0,0,'Données projet'!$E$13+1,1))</f>
        <v>0</v>
      </c>
      <c r="CZ165" s="59">
        <f t="shared" si="150"/>
        <v>0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0</v>
      </c>
      <c r="DG165" s="21">
        <f>EXP(-LN(2)/25)*DG164+(1-EXP(-LN(2)/25))/(LN(2)/25)*Calculateur!DB165*Calculateur!DD165*VLOOKUP('Données projet'!$B$13,Paramètres!$A$1:$I$89,3,0)*0.475*44/12</f>
        <v>0</v>
      </c>
      <c r="DH165" s="21">
        <f>EXP(-LN(2)/2)*DH164+(1-EXP(-LN(2)/2))/(LN(2)/2)*DB165*DE165*VLOOKUP('Données projet'!$B$13,Paramètres!$A$1:$I$89,3,0)*0.475*44/12</f>
        <v>0</v>
      </c>
      <c r="DI165" s="22">
        <f t="shared" si="175"/>
        <v>0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-2.2737367544323206E-13</v>
      </c>
      <c r="O166" s="13">
        <f>N166*VLOOKUP('Données projet'!$B$9,Paramètres!$A$1:$I$89,3,0)*VLOOKUP('Données projet'!$B$9,Paramètres!$A$1:$I$89,5,0)</f>
        <v>-1.3596945791505279E-13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181.92766225683107</v>
      </c>
      <c r="T166" s="59">
        <f t="shared" si="142"/>
        <v>370.52917139565756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4.7189288136203897</v>
      </c>
      <c r="AA166" s="21">
        <f>EXP(-LN(2)/25)*AA165+(1-EXP(-LN(2)/25))/(LN(2)/25)*Calculateur!V166*Calculateur!X166*VLOOKUP('Données projet'!$B$9,Paramètres!$A$1:$I$89,3,0)*0.475*44/12</f>
        <v>1.4736582565160876</v>
      </c>
      <c r="AB166" s="21">
        <f>EXP(-LN(2)/2)*AB165+(1-EXP(-LN(2)/2))/(LN(2)/2)*V166*Y166*VLOOKUP('Données projet'!$B$9,Paramètres!$A$1:$I$89,3,0)*0.475*44/12</f>
        <v>4.3547015623834197E-18</v>
      </c>
      <c r="AC166" s="22">
        <f t="shared" si="163"/>
        <v>6.1925870701364776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5.6843418860808015E-14</v>
      </c>
      <c r="AJ166" s="13">
        <f>AI166*VLOOKUP('Données projet'!$B$10,Paramètres!$A$1:$I$89,3,0)*VLOOKUP('Données projet'!$B$10,Paramètres!$A$1:$I$89,5,0)</f>
        <v>4.6111381379887463E-14</v>
      </c>
      <c r="AK166" s="13">
        <f t="shared" si="164"/>
        <v>7.5804141040779151E-13</v>
      </c>
      <c r="AL166" s="20">
        <f t="shared" si="165"/>
        <v>1.4005661123635408E-12</v>
      </c>
      <c r="AM166" s="59">
        <f t="shared" si="113"/>
        <v>293.33333333333474</v>
      </c>
      <c r="AN166" s="59">
        <f ca="1">AVERAGE(OFFSET($AM$3,0,0,'Données projet'!$E$10+1,1))-AVERAGE(OFFSET($H$3,0,0,'Données projet'!$E$10+1,1))</f>
        <v>235.31102883830971</v>
      </c>
      <c r="AO166" s="59">
        <f t="shared" si="144"/>
        <v>271.48630853790422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</v>
      </c>
      <c r="AV166" s="21">
        <f>EXP(-LN(2)/25)*AV165+(1-EXP(-LN(2)/25))/(LN(2)/25)*Calculateur!AQ166*Calculateur!AS166*VLOOKUP('Données projet'!$B$10,Paramètres!$A$1:$I$89,3,0)*0.475*44/12</f>
        <v>0.21294380920270345</v>
      </c>
      <c r="AW166" s="21">
        <f>EXP(-LN(2)/2)*AW165+(1-EXP(-LN(2)/2))/(LN(2)/2)*AQ166*AT166*VLOOKUP('Données projet'!$B$10,Paramètres!$A$1:$I$89,3,0)*0.475*44/12</f>
        <v>1.0515105210221475E-19</v>
      </c>
      <c r="AX166" s="21">
        <f t="shared" si="166"/>
        <v>0.21294380920270345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2.8421709430404007E-14</v>
      </c>
      <c r="BE166" s="13">
        <f>BD166*VLOOKUP('Données projet'!$B$11,Paramètres!$A$1:$I$89,3,0)*VLOOKUP('Données projet'!$B$11,Paramètres!$A$1:$I$89,5,0)</f>
        <v>3.2366642699344085E-14</v>
      </c>
      <c r="BF166" s="13">
        <f t="shared" si="167"/>
        <v>5.5446527398450045E-13</v>
      </c>
      <c r="BG166" s="20">
        <f t="shared" si="168"/>
        <v>1.0220655882243624E-12</v>
      </c>
      <c r="BH166" s="59">
        <f t="shared" si="116"/>
        <v>293.33333333333434</v>
      </c>
      <c r="BI166" s="59">
        <f ca="1">AVERAGE(OFFSET($BH$3,0,0,'Données projet'!$E$11+1,1))-AVERAGE(OFFSET($H$3,0,0,'Données projet'!$E$11+1,1))</f>
        <v>249.01678065306629</v>
      </c>
      <c r="BJ166" s="59">
        <f t="shared" si="146"/>
        <v>99.639724892155641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0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>
        <f>BY166*VLOOKUP('Données projet'!$B$12,Paramètres!$A$1:$I$89,3,0)*VLOOKUP('Données projet'!$B$12,Paramètres!$A$1:$I$89,5,0)</f>
        <v>0</v>
      </c>
      <c r="CA166" s="13" t="e">
        <f t="shared" si="170"/>
        <v>#NUM!</v>
      </c>
      <c r="CB166" s="20" t="e">
        <f t="shared" si="171"/>
        <v>#NUM!</v>
      </c>
      <c r="CC166" s="59" t="e">
        <f t="shared" si="119"/>
        <v>#NUM!</v>
      </c>
      <c r="CD166" s="59">
        <f ca="1">AVERAGE(OFFSET($CC$3,0,0,'Données projet'!$E$12+1,1))-AVERAGE(OFFSET($H$3,0,0,'Données projet'!$E$12+1,1))</f>
        <v>0</v>
      </c>
      <c r="CE166" s="59">
        <f t="shared" si="148"/>
        <v>0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</v>
      </c>
      <c r="CL166" s="21">
        <f>EXP(-LN(2)/25)*CL165+(1-EXP(-LN(2)/25))/(LN(2)/25)*Calculateur!CG166*Calculateur!CI166*VLOOKUP('Données projet'!$B$12,Paramètres!$A$1:$I$89,3,0)*0.475*44/12</f>
        <v>0</v>
      </c>
      <c r="CM166" s="21">
        <f>EXP(-LN(2)/2)*CM165+(1-EXP(-LN(2)/2))/(LN(2)/2)*CG166*CJ166*VLOOKUP('Données projet'!$B$12,Paramètres!$A$1:$I$89,3,0)*0.475*44/12</f>
        <v>0</v>
      </c>
      <c r="CN166" s="22">
        <f t="shared" si="172"/>
        <v>0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>
        <f>CT166*VLOOKUP('Données projet'!$B$13,Paramètres!$A$1:$I$89,3,0)*VLOOKUP('Données projet'!$B$13,Paramètres!$A$1:$I$89,5,0)</f>
        <v>0</v>
      </c>
      <c r="CV166" s="13" t="e">
        <f t="shared" si="173"/>
        <v>#NUM!</v>
      </c>
      <c r="CW166" s="20" t="e">
        <f t="shared" si="174"/>
        <v>#NUM!</v>
      </c>
      <c r="CX166" s="59" t="e">
        <f t="shared" si="122"/>
        <v>#NUM!</v>
      </c>
      <c r="CY166" s="59">
        <f ca="1">AVERAGE(OFFSET($CX$3,0,0,'Données projet'!$E$13+1,1))-AVERAGE(OFFSET($H$3,0,0,'Données projet'!$E$13+1,1))</f>
        <v>0</v>
      </c>
      <c r="CZ166" s="59">
        <f t="shared" si="150"/>
        <v>0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0</v>
      </c>
      <c r="DG166" s="21">
        <f>EXP(-LN(2)/25)*DG165+(1-EXP(-LN(2)/25))/(LN(2)/25)*Calculateur!DB166*Calculateur!DD166*VLOOKUP('Données projet'!$B$13,Paramètres!$A$1:$I$89,3,0)*0.475*44/12</f>
        <v>0</v>
      </c>
      <c r="DH166" s="21">
        <f>EXP(-LN(2)/2)*DH165+(1-EXP(-LN(2)/2))/(LN(2)/2)*DB166*DE166*VLOOKUP('Données projet'!$B$13,Paramètres!$A$1:$I$89,3,0)*0.475*44/12</f>
        <v>0</v>
      </c>
      <c r="DI166" s="22">
        <f t="shared" si="175"/>
        <v>0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-2.2737367544323206E-13</v>
      </c>
      <c r="O167" s="13">
        <f>N167*VLOOKUP('Données projet'!$B$9,Paramètres!$A$1:$I$89,3,0)*VLOOKUP('Données projet'!$B$9,Paramètres!$A$1:$I$89,5,0)</f>
        <v>-1.3596945791505279E-13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181.92766225683107</v>
      </c>
      <c r="T167" s="59">
        <f t="shared" si="142"/>
        <v>370.52917139565756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4.6263934978476655</v>
      </c>
      <c r="AA167" s="21">
        <f>EXP(-LN(2)/25)*AA166+(1-EXP(-LN(2)/25))/(LN(2)/25)*Calculateur!V167*Calculateur!X167*VLOOKUP('Données projet'!$B$9,Paramètres!$A$1:$I$89,3,0)*0.475*44/12</f>
        <v>1.4333609939953356</v>
      </c>
      <c r="AB167" s="21">
        <f>EXP(-LN(2)/2)*AB166+(1-EXP(-LN(2)/2))/(LN(2)/2)*V167*Y167*VLOOKUP('Données projet'!$B$9,Paramètres!$A$1:$I$89,3,0)*0.475*44/12</f>
        <v>3.0792390048049695E-18</v>
      </c>
      <c r="AC167" s="22">
        <f t="shared" si="163"/>
        <v>6.0597544918430009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5.6843418860808015E-14</v>
      </c>
      <c r="AJ167" s="13">
        <f>AI167*VLOOKUP('Données projet'!$B$10,Paramètres!$A$1:$I$89,3,0)*VLOOKUP('Données projet'!$B$10,Paramètres!$A$1:$I$89,5,0)</f>
        <v>4.6111381379887463E-14</v>
      </c>
      <c r="AK167" s="13">
        <f t="shared" si="164"/>
        <v>7.5804141040779151E-13</v>
      </c>
      <c r="AL167" s="20">
        <f t="shared" si="165"/>
        <v>1.4005661123635408E-12</v>
      </c>
      <c r="AM167" s="59">
        <f t="shared" si="113"/>
        <v>293.33333333333474</v>
      </c>
      <c r="AN167" s="59">
        <f ca="1">AVERAGE(OFFSET($AM$3,0,0,'Données projet'!$E$10+1,1))-AVERAGE(OFFSET($H$3,0,0,'Données projet'!$E$10+1,1))</f>
        <v>235.31102883830971</v>
      </c>
      <c r="AO167" s="59">
        <f t="shared" si="144"/>
        <v>271.48630853790422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</v>
      </c>
      <c r="AV167" s="21">
        <f>EXP(-LN(2)/25)*AV166+(1-EXP(-LN(2)/25))/(LN(2)/25)*Calculateur!AQ167*Calculateur!AS167*VLOOKUP('Données projet'!$B$10,Paramètres!$A$1:$I$89,3,0)*0.475*44/12</f>
        <v>0.20712084954182727</v>
      </c>
      <c r="AW167" s="21">
        <f>EXP(-LN(2)/2)*AW166+(1-EXP(-LN(2)/2))/(LN(2)/2)*AQ167*AT167*VLOOKUP('Données projet'!$B$10,Paramètres!$A$1:$I$89,3,0)*0.475*44/12</f>
        <v>7.4353021990376022E-20</v>
      </c>
      <c r="AX167" s="21">
        <f t="shared" si="166"/>
        <v>0.20712084954182727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2.8421709430404007E-14</v>
      </c>
      <c r="BE167" s="13">
        <f>BD167*VLOOKUP('Données projet'!$B$11,Paramètres!$A$1:$I$89,3,0)*VLOOKUP('Données projet'!$B$11,Paramètres!$A$1:$I$89,5,0)</f>
        <v>3.2366642699344085E-14</v>
      </c>
      <c r="BF167" s="13">
        <f t="shared" si="167"/>
        <v>5.5446527398450045E-13</v>
      </c>
      <c r="BG167" s="20">
        <f t="shared" si="168"/>
        <v>1.0220655882243624E-12</v>
      </c>
      <c r="BH167" s="59">
        <f t="shared" si="116"/>
        <v>293.33333333333434</v>
      </c>
      <c r="BI167" s="59">
        <f ca="1">AVERAGE(OFFSET($BH$3,0,0,'Données projet'!$E$11+1,1))-AVERAGE(OFFSET($H$3,0,0,'Données projet'!$E$11+1,1))</f>
        <v>249.01678065306629</v>
      </c>
      <c r="BJ167" s="59">
        <f t="shared" si="146"/>
        <v>99.639724892155641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0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>
        <f>BY167*VLOOKUP('Données projet'!$B$12,Paramètres!$A$1:$I$89,3,0)*VLOOKUP('Données projet'!$B$12,Paramètres!$A$1:$I$89,5,0)</f>
        <v>0</v>
      </c>
      <c r="CA167" s="13" t="e">
        <f t="shared" si="170"/>
        <v>#NUM!</v>
      </c>
      <c r="CB167" s="20" t="e">
        <f t="shared" si="171"/>
        <v>#NUM!</v>
      </c>
      <c r="CC167" s="59" t="e">
        <f t="shared" si="119"/>
        <v>#NUM!</v>
      </c>
      <c r="CD167" s="59">
        <f ca="1">AVERAGE(OFFSET($CC$3,0,0,'Données projet'!$E$12+1,1))-AVERAGE(OFFSET($H$3,0,0,'Données projet'!$E$12+1,1))</f>
        <v>0</v>
      </c>
      <c r="CE167" s="59">
        <f t="shared" si="148"/>
        <v>0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</v>
      </c>
      <c r="CL167" s="21">
        <f>EXP(-LN(2)/25)*CL166+(1-EXP(-LN(2)/25))/(LN(2)/25)*Calculateur!CG167*Calculateur!CI167*VLOOKUP('Données projet'!$B$12,Paramètres!$A$1:$I$89,3,0)*0.475*44/12</f>
        <v>0</v>
      </c>
      <c r="CM167" s="21">
        <f>EXP(-LN(2)/2)*CM166+(1-EXP(-LN(2)/2))/(LN(2)/2)*CG167*CJ167*VLOOKUP('Données projet'!$B$12,Paramètres!$A$1:$I$89,3,0)*0.475*44/12</f>
        <v>0</v>
      </c>
      <c r="CN167" s="22">
        <f t="shared" si="172"/>
        <v>0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>
        <f>CT167*VLOOKUP('Données projet'!$B$13,Paramètres!$A$1:$I$89,3,0)*VLOOKUP('Données projet'!$B$13,Paramètres!$A$1:$I$89,5,0)</f>
        <v>0</v>
      </c>
      <c r="CV167" s="13" t="e">
        <f t="shared" si="173"/>
        <v>#NUM!</v>
      </c>
      <c r="CW167" s="20" t="e">
        <f t="shared" si="174"/>
        <v>#NUM!</v>
      </c>
      <c r="CX167" s="59" t="e">
        <f t="shared" si="122"/>
        <v>#NUM!</v>
      </c>
      <c r="CY167" s="59">
        <f ca="1">AVERAGE(OFFSET($CX$3,0,0,'Données projet'!$E$13+1,1))-AVERAGE(OFFSET($H$3,0,0,'Données projet'!$E$13+1,1))</f>
        <v>0</v>
      </c>
      <c r="CZ167" s="59">
        <f t="shared" si="150"/>
        <v>0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0</v>
      </c>
      <c r="DG167" s="21">
        <f>EXP(-LN(2)/25)*DG166+(1-EXP(-LN(2)/25))/(LN(2)/25)*Calculateur!DB167*Calculateur!DD167*VLOOKUP('Données projet'!$B$13,Paramètres!$A$1:$I$89,3,0)*0.475*44/12</f>
        <v>0</v>
      </c>
      <c r="DH167" s="21">
        <f>EXP(-LN(2)/2)*DH166+(1-EXP(-LN(2)/2))/(LN(2)/2)*DB167*DE167*VLOOKUP('Données projet'!$B$13,Paramètres!$A$1:$I$89,3,0)*0.475*44/12</f>
        <v>0</v>
      </c>
      <c r="DI167" s="22">
        <f t="shared" si="175"/>
        <v>0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-2.2737367544323206E-13</v>
      </c>
      <c r="O168" s="13">
        <f>N168*VLOOKUP('Données projet'!$B$9,Paramètres!$A$1:$I$89,3,0)*VLOOKUP('Données projet'!$B$9,Paramètres!$A$1:$I$89,5,0)</f>
        <v>-1.3596945791505279E-13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181.92766225683107</v>
      </c>
      <c r="T168" s="59">
        <f t="shared" si="142"/>
        <v>370.52917139565756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4.5356727431762751</v>
      </c>
      <c r="AA168" s="21">
        <f>EXP(-LN(2)/25)*AA167+(1-EXP(-LN(2)/25))/(LN(2)/25)*Calculateur!V168*Calculateur!X168*VLOOKUP('Données projet'!$B$9,Paramètres!$A$1:$I$89,3,0)*0.475*44/12</f>
        <v>1.3941656622373544</v>
      </c>
      <c r="AB168" s="21">
        <f>EXP(-LN(2)/2)*AB167+(1-EXP(-LN(2)/2))/(LN(2)/2)*V168*Y168*VLOOKUP('Données projet'!$B$9,Paramètres!$A$1:$I$89,3,0)*0.475*44/12</f>
        <v>2.1773507811917099E-18</v>
      </c>
      <c r="AC168" s="22">
        <f t="shared" si="163"/>
        <v>5.9298384054136299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5.6843418860808015E-14</v>
      </c>
      <c r="AJ168" s="13">
        <f>AI168*VLOOKUP('Données projet'!$B$10,Paramètres!$A$1:$I$89,3,0)*VLOOKUP('Données projet'!$B$10,Paramètres!$A$1:$I$89,5,0)</f>
        <v>4.6111381379887463E-14</v>
      </c>
      <c r="AK168" s="13">
        <f t="shared" si="164"/>
        <v>7.5804141040779151E-13</v>
      </c>
      <c r="AL168" s="20">
        <f t="shared" si="165"/>
        <v>1.4005661123635408E-12</v>
      </c>
      <c r="AM168" s="59">
        <f t="shared" si="113"/>
        <v>293.33333333333474</v>
      </c>
      <c r="AN168" s="59">
        <f ca="1">AVERAGE(OFFSET($AM$3,0,0,'Données projet'!$E$10+1,1))-AVERAGE(OFFSET($H$3,0,0,'Données projet'!$E$10+1,1))</f>
        <v>235.31102883830971</v>
      </c>
      <c r="AO168" s="59">
        <f t="shared" si="144"/>
        <v>271.48630853790422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</v>
      </c>
      <c r="AV168" s="21">
        <f>EXP(-LN(2)/25)*AV167+(1-EXP(-LN(2)/25))/(LN(2)/25)*Calculateur!AQ168*Calculateur!AS168*VLOOKUP('Données projet'!$B$10,Paramètres!$A$1:$I$89,3,0)*0.475*44/12</f>
        <v>0.20145711901909391</v>
      </c>
      <c r="AW168" s="21">
        <f>EXP(-LN(2)/2)*AW167+(1-EXP(-LN(2)/2))/(LN(2)/2)*AQ168*AT168*VLOOKUP('Données projet'!$B$10,Paramètres!$A$1:$I$89,3,0)*0.475*44/12</f>
        <v>5.2575526051107375E-20</v>
      </c>
      <c r="AX168" s="21">
        <f t="shared" si="166"/>
        <v>0.20145711901909391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2.8421709430404007E-14</v>
      </c>
      <c r="BE168" s="13">
        <f>BD168*VLOOKUP('Données projet'!$B$11,Paramètres!$A$1:$I$89,3,0)*VLOOKUP('Données projet'!$B$11,Paramètres!$A$1:$I$89,5,0)</f>
        <v>3.2366642699344085E-14</v>
      </c>
      <c r="BF168" s="13">
        <f t="shared" si="167"/>
        <v>5.5446527398450045E-13</v>
      </c>
      <c r="BG168" s="20">
        <f t="shared" si="168"/>
        <v>1.0220655882243624E-12</v>
      </c>
      <c r="BH168" s="59">
        <f t="shared" si="116"/>
        <v>293.33333333333434</v>
      </c>
      <c r="BI168" s="59">
        <f ca="1">AVERAGE(OFFSET($BH$3,0,0,'Données projet'!$E$11+1,1))-AVERAGE(OFFSET($H$3,0,0,'Données projet'!$E$11+1,1))</f>
        <v>249.01678065306629</v>
      </c>
      <c r="BJ168" s="59">
        <f t="shared" si="146"/>
        <v>99.639724892155641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0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>
        <f>BY168*VLOOKUP('Données projet'!$B$12,Paramètres!$A$1:$I$89,3,0)*VLOOKUP('Données projet'!$B$12,Paramètres!$A$1:$I$89,5,0)</f>
        <v>0</v>
      </c>
      <c r="CA168" s="13" t="e">
        <f t="shared" si="170"/>
        <v>#NUM!</v>
      </c>
      <c r="CB168" s="20" t="e">
        <f t="shared" si="171"/>
        <v>#NUM!</v>
      </c>
      <c r="CC168" s="59" t="e">
        <f t="shared" si="119"/>
        <v>#NUM!</v>
      </c>
      <c r="CD168" s="59">
        <f ca="1">AVERAGE(OFFSET($CC$3,0,0,'Données projet'!$E$12+1,1))-AVERAGE(OFFSET($H$3,0,0,'Données projet'!$E$12+1,1))</f>
        <v>0</v>
      </c>
      <c r="CE168" s="59">
        <f t="shared" si="148"/>
        <v>0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</v>
      </c>
      <c r="CL168" s="21">
        <f>EXP(-LN(2)/25)*CL167+(1-EXP(-LN(2)/25))/(LN(2)/25)*Calculateur!CG168*Calculateur!CI168*VLOOKUP('Données projet'!$B$12,Paramètres!$A$1:$I$89,3,0)*0.475*44/12</f>
        <v>0</v>
      </c>
      <c r="CM168" s="21">
        <f>EXP(-LN(2)/2)*CM167+(1-EXP(-LN(2)/2))/(LN(2)/2)*CG168*CJ168*VLOOKUP('Données projet'!$B$12,Paramètres!$A$1:$I$89,3,0)*0.475*44/12</f>
        <v>0</v>
      </c>
      <c r="CN168" s="22">
        <f t="shared" si="172"/>
        <v>0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>
        <f>CT168*VLOOKUP('Données projet'!$B$13,Paramètres!$A$1:$I$89,3,0)*VLOOKUP('Données projet'!$B$13,Paramètres!$A$1:$I$89,5,0)</f>
        <v>0</v>
      </c>
      <c r="CV168" s="13" t="e">
        <f t="shared" si="173"/>
        <v>#NUM!</v>
      </c>
      <c r="CW168" s="20" t="e">
        <f t="shared" si="174"/>
        <v>#NUM!</v>
      </c>
      <c r="CX168" s="59" t="e">
        <f t="shared" si="122"/>
        <v>#NUM!</v>
      </c>
      <c r="CY168" s="59">
        <f ca="1">AVERAGE(OFFSET($CX$3,0,0,'Données projet'!$E$13+1,1))-AVERAGE(OFFSET($H$3,0,0,'Données projet'!$E$13+1,1))</f>
        <v>0</v>
      </c>
      <c r="CZ168" s="59">
        <f t="shared" si="150"/>
        <v>0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0</v>
      </c>
      <c r="DG168" s="21">
        <f>EXP(-LN(2)/25)*DG167+(1-EXP(-LN(2)/25))/(LN(2)/25)*Calculateur!DB168*Calculateur!DD168*VLOOKUP('Données projet'!$B$13,Paramètres!$A$1:$I$89,3,0)*0.475*44/12</f>
        <v>0</v>
      </c>
      <c r="DH168" s="21">
        <f>EXP(-LN(2)/2)*DH167+(1-EXP(-LN(2)/2))/(LN(2)/2)*DB168*DE168*VLOOKUP('Données projet'!$B$13,Paramètres!$A$1:$I$89,3,0)*0.475*44/12</f>
        <v>0</v>
      </c>
      <c r="DI168" s="22">
        <f t="shared" si="175"/>
        <v>0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-2.2737367544323206E-13</v>
      </c>
      <c r="O169" s="13">
        <f>N169*VLOOKUP('Données projet'!$B$9,Paramètres!$A$1:$I$89,3,0)*VLOOKUP('Données projet'!$B$9,Paramètres!$A$1:$I$89,5,0)</f>
        <v>-1.3596945791505279E-13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181.92766225683107</v>
      </c>
      <c r="T169" s="59">
        <f t="shared" si="142"/>
        <v>370.52917139565756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4.4467309671697937</v>
      </c>
      <c r="AA169" s="21">
        <f>EXP(-LN(2)/25)*AA168+(1-EXP(-LN(2)/25))/(LN(2)/25)*Calculateur!V169*Calculateur!X169*VLOOKUP('Données projet'!$B$9,Paramètres!$A$1:$I$89,3,0)*0.475*44/12</f>
        <v>1.3560421288874882</v>
      </c>
      <c r="AB169" s="21">
        <f>EXP(-LN(2)/2)*AB168+(1-EXP(-LN(2)/2))/(LN(2)/2)*V169*Y169*VLOOKUP('Données projet'!$B$9,Paramètres!$A$1:$I$89,3,0)*0.475*44/12</f>
        <v>1.5396195024024847E-18</v>
      </c>
      <c r="AC169" s="22">
        <f t="shared" si="163"/>
        <v>5.8027730960572814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5.6843418860808015E-14</v>
      </c>
      <c r="AJ169" s="13">
        <f>AI169*VLOOKUP('Données projet'!$B$10,Paramètres!$A$1:$I$89,3,0)*VLOOKUP('Données projet'!$B$10,Paramètres!$A$1:$I$89,5,0)</f>
        <v>4.6111381379887463E-14</v>
      </c>
      <c r="AK169" s="13">
        <f t="shared" si="164"/>
        <v>7.5804141040779151E-13</v>
      </c>
      <c r="AL169" s="20">
        <f t="shared" si="165"/>
        <v>1.4005661123635408E-12</v>
      </c>
      <c r="AM169" s="59">
        <f t="shared" si="113"/>
        <v>293.33333333333474</v>
      </c>
      <c r="AN169" s="59">
        <f ca="1">AVERAGE(OFFSET($AM$3,0,0,'Données projet'!$E$10+1,1))-AVERAGE(OFFSET($H$3,0,0,'Données projet'!$E$10+1,1))</f>
        <v>235.31102883830971</v>
      </c>
      <c r="AO169" s="59">
        <f t="shared" si="144"/>
        <v>271.48630853790422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</v>
      </c>
      <c r="AV169" s="21">
        <f>EXP(-LN(2)/25)*AV168+(1-EXP(-LN(2)/25))/(LN(2)/25)*Calculateur!AQ169*Calculateur!AS169*VLOOKUP('Données projet'!$B$10,Paramètres!$A$1:$I$89,3,0)*0.475*44/12</f>
        <v>0.19594826350534733</v>
      </c>
      <c r="AW169" s="21">
        <f>EXP(-LN(2)/2)*AW168+(1-EXP(-LN(2)/2))/(LN(2)/2)*AQ169*AT169*VLOOKUP('Données projet'!$B$10,Paramètres!$A$1:$I$89,3,0)*0.475*44/12</f>
        <v>3.7176510995188011E-20</v>
      </c>
      <c r="AX169" s="21">
        <f t="shared" si="166"/>
        <v>0.19594826350534733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2.8421709430404007E-14</v>
      </c>
      <c r="BE169" s="13">
        <f>BD169*VLOOKUP('Données projet'!$B$11,Paramètres!$A$1:$I$89,3,0)*VLOOKUP('Données projet'!$B$11,Paramètres!$A$1:$I$89,5,0)</f>
        <v>3.2366642699344085E-14</v>
      </c>
      <c r="BF169" s="13">
        <f t="shared" si="167"/>
        <v>5.5446527398450045E-13</v>
      </c>
      <c r="BG169" s="20">
        <f t="shared" si="168"/>
        <v>1.0220655882243624E-12</v>
      </c>
      <c r="BH169" s="59">
        <f t="shared" si="116"/>
        <v>293.33333333333434</v>
      </c>
      <c r="BI169" s="59">
        <f ca="1">AVERAGE(OFFSET($BH$3,0,0,'Données projet'!$E$11+1,1))-AVERAGE(OFFSET($H$3,0,0,'Données projet'!$E$11+1,1))</f>
        <v>249.01678065306629</v>
      </c>
      <c r="BJ169" s="59">
        <f t="shared" si="146"/>
        <v>99.639724892155641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0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>
        <f>BY169*VLOOKUP('Données projet'!$B$12,Paramètres!$A$1:$I$89,3,0)*VLOOKUP('Données projet'!$B$12,Paramètres!$A$1:$I$89,5,0)</f>
        <v>0</v>
      </c>
      <c r="CA169" s="13" t="e">
        <f t="shared" si="170"/>
        <v>#NUM!</v>
      </c>
      <c r="CB169" s="20" t="e">
        <f t="shared" si="171"/>
        <v>#NUM!</v>
      </c>
      <c r="CC169" s="59" t="e">
        <f t="shared" si="119"/>
        <v>#NUM!</v>
      </c>
      <c r="CD169" s="59">
        <f ca="1">AVERAGE(OFFSET($CC$3,0,0,'Données projet'!$E$12+1,1))-AVERAGE(OFFSET($H$3,0,0,'Données projet'!$E$12+1,1))</f>
        <v>0</v>
      </c>
      <c r="CE169" s="59">
        <f t="shared" si="148"/>
        <v>0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</v>
      </c>
      <c r="CL169" s="21">
        <f>EXP(-LN(2)/25)*CL168+(1-EXP(-LN(2)/25))/(LN(2)/25)*Calculateur!CG169*Calculateur!CI169*VLOOKUP('Données projet'!$B$12,Paramètres!$A$1:$I$89,3,0)*0.475*44/12</f>
        <v>0</v>
      </c>
      <c r="CM169" s="21">
        <f>EXP(-LN(2)/2)*CM168+(1-EXP(-LN(2)/2))/(LN(2)/2)*CG169*CJ169*VLOOKUP('Données projet'!$B$12,Paramètres!$A$1:$I$89,3,0)*0.475*44/12</f>
        <v>0</v>
      </c>
      <c r="CN169" s="22">
        <f t="shared" si="172"/>
        <v>0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>
        <f>CT169*VLOOKUP('Données projet'!$B$13,Paramètres!$A$1:$I$89,3,0)*VLOOKUP('Données projet'!$B$13,Paramètres!$A$1:$I$89,5,0)</f>
        <v>0</v>
      </c>
      <c r="CV169" s="13" t="e">
        <f t="shared" si="173"/>
        <v>#NUM!</v>
      </c>
      <c r="CW169" s="20" t="e">
        <f t="shared" si="174"/>
        <v>#NUM!</v>
      </c>
      <c r="CX169" s="59" t="e">
        <f t="shared" si="122"/>
        <v>#NUM!</v>
      </c>
      <c r="CY169" s="59">
        <f ca="1">AVERAGE(OFFSET($CX$3,0,0,'Données projet'!$E$13+1,1))-AVERAGE(OFFSET($H$3,0,0,'Données projet'!$E$13+1,1))</f>
        <v>0</v>
      </c>
      <c r="CZ169" s="59">
        <f t="shared" si="150"/>
        <v>0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0</v>
      </c>
      <c r="DG169" s="21">
        <f>EXP(-LN(2)/25)*DG168+(1-EXP(-LN(2)/25))/(LN(2)/25)*Calculateur!DB169*Calculateur!DD169*VLOOKUP('Données projet'!$B$13,Paramètres!$A$1:$I$89,3,0)*0.475*44/12</f>
        <v>0</v>
      </c>
      <c r="DH169" s="21">
        <f>EXP(-LN(2)/2)*DH168+(1-EXP(-LN(2)/2))/(LN(2)/2)*DB169*DE169*VLOOKUP('Données projet'!$B$13,Paramètres!$A$1:$I$89,3,0)*0.475*44/12</f>
        <v>0</v>
      </c>
      <c r="DI169" s="22">
        <f t="shared" si="175"/>
        <v>0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-2.2737367544323206E-13</v>
      </c>
      <c r="O170" s="13">
        <f>N170*VLOOKUP('Données projet'!$B$9,Paramètres!$A$1:$I$89,3,0)*VLOOKUP('Données projet'!$B$9,Paramètres!$A$1:$I$89,5,0)</f>
        <v>-1.3596945791505279E-13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181.92766225683107</v>
      </c>
      <c r="T170" s="59">
        <f t="shared" si="142"/>
        <v>370.52917139565756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4.3595332851416728</v>
      </c>
      <c r="AA170" s="21">
        <f>EXP(-LN(2)/25)*AA169+(1-EXP(-LN(2)/25))/(LN(2)/25)*Calculateur!V170*Calculateur!X170*VLOOKUP('Données projet'!$B$9,Paramètres!$A$1:$I$89,3,0)*0.475*44/12</f>
        <v>1.3189610855619036</v>
      </c>
      <c r="AB170" s="21">
        <f>EXP(-LN(2)/2)*AB169+(1-EXP(-LN(2)/2))/(LN(2)/2)*V170*Y170*VLOOKUP('Données projet'!$B$9,Paramètres!$A$1:$I$89,3,0)*0.475*44/12</f>
        <v>1.0886753905958549E-18</v>
      </c>
      <c r="AC170" s="22">
        <f t="shared" si="163"/>
        <v>5.6784943707035769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5.6843418860808015E-14</v>
      </c>
      <c r="AJ170" s="13">
        <f>AI170*VLOOKUP('Données projet'!$B$10,Paramètres!$A$1:$I$89,3,0)*VLOOKUP('Données projet'!$B$10,Paramètres!$A$1:$I$89,5,0)</f>
        <v>4.6111381379887463E-14</v>
      </c>
      <c r="AK170" s="13">
        <f t="shared" si="164"/>
        <v>7.5804141040779151E-13</v>
      </c>
      <c r="AL170" s="20">
        <f t="shared" si="165"/>
        <v>1.4005661123635408E-12</v>
      </c>
      <c r="AM170" s="59">
        <f t="shared" si="113"/>
        <v>293.33333333333474</v>
      </c>
      <c r="AN170" s="59">
        <f ca="1">AVERAGE(OFFSET($AM$3,0,0,'Données projet'!$E$10+1,1))-AVERAGE(OFFSET($H$3,0,0,'Données projet'!$E$10+1,1))</f>
        <v>235.31102883830971</v>
      </c>
      <c r="AO170" s="59">
        <f t="shared" si="144"/>
        <v>271.48630853790422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</v>
      </c>
      <c r="AV170" s="21">
        <f>EXP(-LN(2)/25)*AV169+(1-EXP(-LN(2)/25))/(LN(2)/25)*Calculateur!AQ170*Calculateur!AS170*VLOOKUP('Données projet'!$B$10,Paramètres!$A$1:$I$89,3,0)*0.475*44/12</f>
        <v>0.19059004793532228</v>
      </c>
      <c r="AW170" s="21">
        <f>EXP(-LN(2)/2)*AW169+(1-EXP(-LN(2)/2))/(LN(2)/2)*AQ170*AT170*VLOOKUP('Données projet'!$B$10,Paramètres!$A$1:$I$89,3,0)*0.475*44/12</f>
        <v>2.6287763025553687E-20</v>
      </c>
      <c r="AX170" s="21">
        <f t="shared" si="166"/>
        <v>0.19059004793532228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2.8421709430404007E-14</v>
      </c>
      <c r="BE170" s="13">
        <f>BD170*VLOOKUP('Données projet'!$B$11,Paramètres!$A$1:$I$89,3,0)*VLOOKUP('Données projet'!$B$11,Paramètres!$A$1:$I$89,5,0)</f>
        <v>3.2366642699344085E-14</v>
      </c>
      <c r="BF170" s="13">
        <f t="shared" si="167"/>
        <v>5.5446527398450045E-13</v>
      </c>
      <c r="BG170" s="20">
        <f t="shared" si="168"/>
        <v>1.0220655882243624E-12</v>
      </c>
      <c r="BH170" s="59">
        <f t="shared" si="116"/>
        <v>293.33333333333434</v>
      </c>
      <c r="BI170" s="59">
        <f ca="1">AVERAGE(OFFSET($BH$3,0,0,'Données projet'!$E$11+1,1))-AVERAGE(OFFSET($H$3,0,0,'Données projet'!$E$11+1,1))</f>
        <v>249.01678065306629</v>
      </c>
      <c r="BJ170" s="59">
        <f t="shared" si="146"/>
        <v>99.639724892155641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0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>
        <f>BY170*VLOOKUP('Données projet'!$B$12,Paramètres!$A$1:$I$89,3,0)*VLOOKUP('Données projet'!$B$12,Paramètres!$A$1:$I$89,5,0)</f>
        <v>0</v>
      </c>
      <c r="CA170" s="13" t="e">
        <f t="shared" si="170"/>
        <v>#NUM!</v>
      </c>
      <c r="CB170" s="20" t="e">
        <f t="shared" si="171"/>
        <v>#NUM!</v>
      </c>
      <c r="CC170" s="59" t="e">
        <f t="shared" si="119"/>
        <v>#NUM!</v>
      </c>
      <c r="CD170" s="59">
        <f ca="1">AVERAGE(OFFSET($CC$3,0,0,'Données projet'!$E$12+1,1))-AVERAGE(OFFSET($H$3,0,0,'Données projet'!$E$12+1,1))</f>
        <v>0</v>
      </c>
      <c r="CE170" s="59">
        <f t="shared" si="148"/>
        <v>0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</v>
      </c>
      <c r="CL170" s="21">
        <f>EXP(-LN(2)/25)*CL169+(1-EXP(-LN(2)/25))/(LN(2)/25)*Calculateur!CG170*Calculateur!CI170*VLOOKUP('Données projet'!$B$12,Paramètres!$A$1:$I$89,3,0)*0.475*44/12</f>
        <v>0</v>
      </c>
      <c r="CM170" s="21">
        <f>EXP(-LN(2)/2)*CM169+(1-EXP(-LN(2)/2))/(LN(2)/2)*CG170*CJ170*VLOOKUP('Données projet'!$B$12,Paramètres!$A$1:$I$89,3,0)*0.475*44/12</f>
        <v>0</v>
      </c>
      <c r="CN170" s="22">
        <f t="shared" si="172"/>
        <v>0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>
        <f>CT170*VLOOKUP('Données projet'!$B$13,Paramètres!$A$1:$I$89,3,0)*VLOOKUP('Données projet'!$B$13,Paramètres!$A$1:$I$89,5,0)</f>
        <v>0</v>
      </c>
      <c r="CV170" s="13" t="e">
        <f t="shared" si="173"/>
        <v>#NUM!</v>
      </c>
      <c r="CW170" s="20" t="e">
        <f t="shared" si="174"/>
        <v>#NUM!</v>
      </c>
      <c r="CX170" s="59" t="e">
        <f t="shared" si="122"/>
        <v>#NUM!</v>
      </c>
      <c r="CY170" s="59">
        <f ca="1">AVERAGE(OFFSET($CX$3,0,0,'Données projet'!$E$13+1,1))-AVERAGE(OFFSET($H$3,0,0,'Données projet'!$E$13+1,1))</f>
        <v>0</v>
      </c>
      <c r="CZ170" s="59">
        <f t="shared" si="150"/>
        <v>0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0</v>
      </c>
      <c r="DG170" s="21">
        <f>EXP(-LN(2)/25)*DG169+(1-EXP(-LN(2)/25))/(LN(2)/25)*Calculateur!DB170*Calculateur!DD170*VLOOKUP('Données projet'!$B$13,Paramètres!$A$1:$I$89,3,0)*0.475*44/12</f>
        <v>0</v>
      </c>
      <c r="DH170" s="21">
        <f>EXP(-LN(2)/2)*DH169+(1-EXP(-LN(2)/2))/(LN(2)/2)*DB170*DE170*VLOOKUP('Données projet'!$B$13,Paramètres!$A$1:$I$89,3,0)*0.475*44/12</f>
        <v>0</v>
      </c>
      <c r="DI170" s="22">
        <f t="shared" si="175"/>
        <v>0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-2.2737367544323206E-13</v>
      </c>
      <c r="O171" s="13">
        <f>N171*VLOOKUP('Données projet'!$B$9,Paramètres!$A$1:$I$89,3,0)*VLOOKUP('Données projet'!$B$9,Paramètres!$A$1:$I$89,5,0)</f>
        <v>-1.3596945791505279E-13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181.92766225683107</v>
      </c>
      <c r="T171" s="59">
        <f t="shared" si="142"/>
        <v>370.52917139565756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4.2740454964727892</v>
      </c>
      <c r="AA171" s="21">
        <f>EXP(-LN(2)/25)*AA170+(1-EXP(-LN(2)/25))/(LN(2)/25)*Calculateur!V171*Calculateur!X171*VLOOKUP('Données projet'!$B$9,Paramètres!$A$1:$I$89,3,0)*0.475*44/12</f>
        <v>1.2828940253160643</v>
      </c>
      <c r="AB171" s="21">
        <f>EXP(-LN(2)/2)*AB170+(1-EXP(-LN(2)/2))/(LN(2)/2)*V171*Y171*VLOOKUP('Données projet'!$B$9,Paramètres!$A$1:$I$89,3,0)*0.475*44/12</f>
        <v>7.6980975120124237E-19</v>
      </c>
      <c r="AC171" s="22">
        <f t="shared" si="163"/>
        <v>5.5569395217888538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5.6843418860808015E-14</v>
      </c>
      <c r="AJ171" s="13">
        <f>AI171*VLOOKUP('Données projet'!$B$10,Paramètres!$A$1:$I$89,3,0)*VLOOKUP('Données projet'!$B$10,Paramètres!$A$1:$I$89,5,0)</f>
        <v>4.6111381379887463E-14</v>
      </c>
      <c r="AK171" s="13">
        <f t="shared" si="164"/>
        <v>7.5804141040779151E-13</v>
      </c>
      <c r="AL171" s="20">
        <f t="shared" si="165"/>
        <v>1.4005661123635408E-12</v>
      </c>
      <c r="AM171" s="59">
        <f t="shared" si="113"/>
        <v>293.33333333333474</v>
      </c>
      <c r="AN171" s="59">
        <f ca="1">AVERAGE(OFFSET($AM$3,0,0,'Données projet'!$E$10+1,1))-AVERAGE(OFFSET($H$3,0,0,'Données projet'!$E$10+1,1))</f>
        <v>235.31102883830971</v>
      </c>
      <c r="AO171" s="59">
        <f t="shared" si="144"/>
        <v>271.48630853790422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</v>
      </c>
      <c r="AV171" s="21">
        <f>EXP(-LN(2)/25)*AV170+(1-EXP(-LN(2)/25))/(LN(2)/25)*Calculateur!AQ171*Calculateur!AS171*VLOOKUP('Données projet'!$B$10,Paramètres!$A$1:$I$89,3,0)*0.475*44/12</f>
        <v>0.18537835305183586</v>
      </c>
      <c r="AW171" s="21">
        <f>EXP(-LN(2)/2)*AW170+(1-EXP(-LN(2)/2))/(LN(2)/2)*AQ171*AT171*VLOOKUP('Données projet'!$B$10,Paramètres!$A$1:$I$89,3,0)*0.475*44/12</f>
        <v>1.8588255497594005E-20</v>
      </c>
      <c r="AX171" s="21">
        <f t="shared" si="166"/>
        <v>0.18537835305183586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2.8421709430404007E-14</v>
      </c>
      <c r="BE171" s="13">
        <f>BD171*VLOOKUP('Données projet'!$B$11,Paramètres!$A$1:$I$89,3,0)*VLOOKUP('Données projet'!$B$11,Paramètres!$A$1:$I$89,5,0)</f>
        <v>3.2366642699344085E-14</v>
      </c>
      <c r="BF171" s="13">
        <f t="shared" si="167"/>
        <v>5.5446527398450045E-13</v>
      </c>
      <c r="BG171" s="20">
        <f t="shared" si="168"/>
        <v>1.0220655882243624E-12</v>
      </c>
      <c r="BH171" s="59">
        <f t="shared" si="116"/>
        <v>293.33333333333434</v>
      </c>
      <c r="BI171" s="59">
        <f ca="1">AVERAGE(OFFSET($BH$3,0,0,'Données projet'!$E$11+1,1))-AVERAGE(OFFSET($H$3,0,0,'Données projet'!$E$11+1,1))</f>
        <v>249.01678065306629</v>
      </c>
      <c r="BJ171" s="59">
        <f t="shared" si="146"/>
        <v>99.639724892155641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0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>
        <f>BY171*VLOOKUP('Données projet'!$B$12,Paramètres!$A$1:$I$89,3,0)*VLOOKUP('Données projet'!$B$12,Paramètres!$A$1:$I$89,5,0)</f>
        <v>0</v>
      </c>
      <c r="CA171" s="13" t="e">
        <f t="shared" si="170"/>
        <v>#NUM!</v>
      </c>
      <c r="CB171" s="20" t="e">
        <f t="shared" si="171"/>
        <v>#NUM!</v>
      </c>
      <c r="CC171" s="59" t="e">
        <f t="shared" si="119"/>
        <v>#NUM!</v>
      </c>
      <c r="CD171" s="59">
        <f ca="1">AVERAGE(OFFSET($CC$3,0,0,'Données projet'!$E$12+1,1))-AVERAGE(OFFSET($H$3,0,0,'Données projet'!$E$12+1,1))</f>
        <v>0</v>
      </c>
      <c r="CE171" s="59">
        <f t="shared" si="148"/>
        <v>0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</v>
      </c>
      <c r="CL171" s="21">
        <f>EXP(-LN(2)/25)*CL170+(1-EXP(-LN(2)/25))/(LN(2)/25)*Calculateur!CG171*Calculateur!CI171*VLOOKUP('Données projet'!$B$12,Paramètres!$A$1:$I$89,3,0)*0.475*44/12</f>
        <v>0</v>
      </c>
      <c r="CM171" s="21">
        <f>EXP(-LN(2)/2)*CM170+(1-EXP(-LN(2)/2))/(LN(2)/2)*CG171*CJ171*VLOOKUP('Données projet'!$B$12,Paramètres!$A$1:$I$89,3,0)*0.475*44/12</f>
        <v>0</v>
      </c>
      <c r="CN171" s="22">
        <f t="shared" si="172"/>
        <v>0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>
        <f>CT171*VLOOKUP('Données projet'!$B$13,Paramètres!$A$1:$I$89,3,0)*VLOOKUP('Données projet'!$B$13,Paramètres!$A$1:$I$89,5,0)</f>
        <v>0</v>
      </c>
      <c r="CV171" s="13" t="e">
        <f t="shared" si="173"/>
        <v>#NUM!</v>
      </c>
      <c r="CW171" s="20" t="e">
        <f t="shared" si="174"/>
        <v>#NUM!</v>
      </c>
      <c r="CX171" s="59" t="e">
        <f t="shared" si="122"/>
        <v>#NUM!</v>
      </c>
      <c r="CY171" s="59">
        <f ca="1">AVERAGE(OFFSET($CX$3,0,0,'Données projet'!$E$13+1,1))-AVERAGE(OFFSET($H$3,0,0,'Données projet'!$E$13+1,1))</f>
        <v>0</v>
      </c>
      <c r="CZ171" s="59">
        <f t="shared" si="150"/>
        <v>0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0</v>
      </c>
      <c r="DG171" s="21">
        <f>EXP(-LN(2)/25)*DG170+(1-EXP(-LN(2)/25))/(LN(2)/25)*Calculateur!DB171*Calculateur!DD171*VLOOKUP('Données projet'!$B$13,Paramètres!$A$1:$I$89,3,0)*0.475*44/12</f>
        <v>0</v>
      </c>
      <c r="DH171" s="21">
        <f>EXP(-LN(2)/2)*DH170+(1-EXP(-LN(2)/2))/(LN(2)/2)*DB171*DE171*VLOOKUP('Données projet'!$B$13,Paramètres!$A$1:$I$89,3,0)*0.475*44/12</f>
        <v>0</v>
      </c>
      <c r="DI171" s="22">
        <f t="shared" si="175"/>
        <v>0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-2.2737367544323206E-13</v>
      </c>
      <c r="O172" s="13">
        <f>N172*VLOOKUP('Données projet'!$B$9,Paramètres!$A$1:$I$89,3,0)*VLOOKUP('Données projet'!$B$9,Paramètres!$A$1:$I$89,5,0)</f>
        <v>-1.3596945791505279E-13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181.92766225683107</v>
      </c>
      <c r="T172" s="59">
        <f t="shared" si="142"/>
        <v>370.52917139565756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4.1902340711972998</v>
      </c>
      <c r="AA172" s="21">
        <f>EXP(-LN(2)/25)*AA171+(1-EXP(-LN(2)/25))/(LN(2)/25)*Calculateur!V172*Calculateur!X172*VLOOKUP('Données projet'!$B$9,Paramètres!$A$1:$I$89,3,0)*0.475*44/12</f>
        <v>1.2478132207293318</v>
      </c>
      <c r="AB172" s="21">
        <f>EXP(-LN(2)/2)*AB171+(1-EXP(-LN(2)/2))/(LN(2)/2)*V172*Y172*VLOOKUP('Données projet'!$B$9,Paramètres!$A$1:$I$89,3,0)*0.475*44/12</f>
        <v>5.4433769529792747E-19</v>
      </c>
      <c r="AC172" s="22">
        <f t="shared" si="163"/>
        <v>5.4380472919266314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5.6843418860808015E-14</v>
      </c>
      <c r="AJ172" s="13">
        <f>AI172*VLOOKUP('Données projet'!$B$10,Paramètres!$A$1:$I$89,3,0)*VLOOKUP('Données projet'!$B$10,Paramètres!$A$1:$I$89,5,0)</f>
        <v>4.6111381379887463E-14</v>
      </c>
      <c r="AK172" s="13">
        <f t="shared" si="164"/>
        <v>7.5804141040779151E-13</v>
      </c>
      <c r="AL172" s="20">
        <f t="shared" si="165"/>
        <v>1.4005661123635408E-12</v>
      </c>
      <c r="AM172" s="59">
        <f t="shared" si="113"/>
        <v>293.33333333333474</v>
      </c>
      <c r="AN172" s="59">
        <f ca="1">AVERAGE(OFFSET($AM$3,0,0,'Données projet'!$E$10+1,1))-AVERAGE(OFFSET($H$3,0,0,'Données projet'!$E$10+1,1))</f>
        <v>235.31102883830971</v>
      </c>
      <c r="AO172" s="59">
        <f t="shared" si="144"/>
        <v>271.48630853790422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</v>
      </c>
      <c r="AV172" s="21">
        <f>EXP(-LN(2)/25)*AV171+(1-EXP(-LN(2)/25))/(LN(2)/25)*Calculateur!AQ172*Calculateur!AS172*VLOOKUP('Données projet'!$B$10,Paramètres!$A$1:$I$89,3,0)*0.475*44/12</f>
        <v>0.18030917223900952</v>
      </c>
      <c r="AW172" s="21">
        <f>EXP(-LN(2)/2)*AW171+(1-EXP(-LN(2)/2))/(LN(2)/2)*AQ172*AT172*VLOOKUP('Données projet'!$B$10,Paramètres!$A$1:$I$89,3,0)*0.475*44/12</f>
        <v>1.3143881512776844E-20</v>
      </c>
      <c r="AX172" s="21">
        <f t="shared" si="166"/>
        <v>0.18030917223900952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2.8421709430404007E-14</v>
      </c>
      <c r="BE172" s="13">
        <f>BD172*VLOOKUP('Données projet'!$B$11,Paramètres!$A$1:$I$89,3,0)*VLOOKUP('Données projet'!$B$11,Paramètres!$A$1:$I$89,5,0)</f>
        <v>3.2366642699344085E-14</v>
      </c>
      <c r="BF172" s="13">
        <f t="shared" si="167"/>
        <v>5.5446527398450045E-13</v>
      </c>
      <c r="BG172" s="20">
        <f t="shared" si="168"/>
        <v>1.0220655882243624E-12</v>
      </c>
      <c r="BH172" s="59">
        <f t="shared" si="116"/>
        <v>293.33333333333434</v>
      </c>
      <c r="BI172" s="59">
        <f ca="1">AVERAGE(OFFSET($BH$3,0,0,'Données projet'!$E$11+1,1))-AVERAGE(OFFSET($H$3,0,0,'Données projet'!$E$11+1,1))</f>
        <v>249.01678065306629</v>
      </c>
      <c r="BJ172" s="59">
        <f t="shared" si="146"/>
        <v>99.639724892155641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0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>
        <f>BY172*VLOOKUP('Données projet'!$B$12,Paramètres!$A$1:$I$89,3,0)*VLOOKUP('Données projet'!$B$12,Paramètres!$A$1:$I$89,5,0)</f>
        <v>0</v>
      </c>
      <c r="CA172" s="13" t="e">
        <f t="shared" si="170"/>
        <v>#NUM!</v>
      </c>
      <c r="CB172" s="20" t="e">
        <f t="shared" si="171"/>
        <v>#NUM!</v>
      </c>
      <c r="CC172" s="59" t="e">
        <f t="shared" si="119"/>
        <v>#NUM!</v>
      </c>
      <c r="CD172" s="59">
        <f ca="1">AVERAGE(OFFSET($CC$3,0,0,'Données projet'!$E$12+1,1))-AVERAGE(OFFSET($H$3,0,0,'Données projet'!$E$12+1,1))</f>
        <v>0</v>
      </c>
      <c r="CE172" s="59">
        <f t="shared" si="148"/>
        <v>0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</v>
      </c>
      <c r="CL172" s="21">
        <f>EXP(-LN(2)/25)*CL171+(1-EXP(-LN(2)/25))/(LN(2)/25)*Calculateur!CG172*Calculateur!CI172*VLOOKUP('Données projet'!$B$12,Paramètres!$A$1:$I$89,3,0)*0.475*44/12</f>
        <v>0</v>
      </c>
      <c r="CM172" s="21">
        <f>EXP(-LN(2)/2)*CM171+(1-EXP(-LN(2)/2))/(LN(2)/2)*CG172*CJ172*VLOOKUP('Données projet'!$B$12,Paramètres!$A$1:$I$89,3,0)*0.475*44/12</f>
        <v>0</v>
      </c>
      <c r="CN172" s="22">
        <f t="shared" si="172"/>
        <v>0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>
        <f>CT172*VLOOKUP('Données projet'!$B$13,Paramètres!$A$1:$I$89,3,0)*VLOOKUP('Données projet'!$B$13,Paramètres!$A$1:$I$89,5,0)</f>
        <v>0</v>
      </c>
      <c r="CV172" s="13" t="e">
        <f t="shared" si="173"/>
        <v>#NUM!</v>
      </c>
      <c r="CW172" s="20" t="e">
        <f t="shared" si="174"/>
        <v>#NUM!</v>
      </c>
      <c r="CX172" s="59" t="e">
        <f t="shared" si="122"/>
        <v>#NUM!</v>
      </c>
      <c r="CY172" s="59">
        <f ca="1">AVERAGE(OFFSET($CX$3,0,0,'Données projet'!$E$13+1,1))-AVERAGE(OFFSET($H$3,0,0,'Données projet'!$E$13+1,1))</f>
        <v>0</v>
      </c>
      <c r="CZ172" s="59">
        <f t="shared" si="150"/>
        <v>0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0</v>
      </c>
      <c r="DG172" s="21">
        <f>EXP(-LN(2)/25)*DG171+(1-EXP(-LN(2)/25))/(LN(2)/25)*Calculateur!DB172*Calculateur!DD172*VLOOKUP('Données projet'!$B$13,Paramètres!$A$1:$I$89,3,0)*0.475*44/12</f>
        <v>0</v>
      </c>
      <c r="DH172" s="21">
        <f>EXP(-LN(2)/2)*DH171+(1-EXP(-LN(2)/2))/(LN(2)/2)*DB172*DE172*VLOOKUP('Données projet'!$B$13,Paramètres!$A$1:$I$89,3,0)*0.475*44/12</f>
        <v>0</v>
      </c>
      <c r="DI172" s="22">
        <f t="shared" si="175"/>
        <v>0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-2.2737367544323206E-13</v>
      </c>
      <c r="O173" s="13">
        <f>N173*VLOOKUP('Données projet'!$B$9,Paramètres!$A$1:$I$89,3,0)*VLOOKUP('Données projet'!$B$9,Paramètres!$A$1:$I$89,5,0)</f>
        <v>-1.3596945791505279E-13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181.92766225683107</v>
      </c>
      <c r="T173" s="59">
        <f t="shared" si="142"/>
        <v>370.52917139565756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4.1080661368515408</v>
      </c>
      <c r="AA173" s="21">
        <f>EXP(-LN(2)/25)*AA172+(1-EXP(-LN(2)/25))/(LN(2)/25)*Calculateur!V173*Calculateur!X173*VLOOKUP('Données projet'!$B$9,Paramètres!$A$1:$I$89,3,0)*0.475*44/12</f>
        <v>1.2136917025888427</v>
      </c>
      <c r="AB173" s="21">
        <f>EXP(-LN(2)/2)*AB172+(1-EXP(-LN(2)/2))/(LN(2)/2)*V173*Y173*VLOOKUP('Données projet'!$B$9,Paramètres!$A$1:$I$89,3,0)*0.475*44/12</f>
        <v>3.8490487560062118E-19</v>
      </c>
      <c r="AC173" s="22">
        <f t="shared" si="163"/>
        <v>5.3217578394403837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5.6843418860808015E-14</v>
      </c>
      <c r="AJ173" s="13">
        <f>AI173*VLOOKUP('Données projet'!$B$10,Paramètres!$A$1:$I$89,3,0)*VLOOKUP('Données projet'!$B$10,Paramètres!$A$1:$I$89,5,0)</f>
        <v>4.6111381379887463E-14</v>
      </c>
      <c r="AK173" s="13">
        <f t="shared" si="164"/>
        <v>7.5804141040779151E-13</v>
      </c>
      <c r="AL173" s="20">
        <f t="shared" si="165"/>
        <v>1.4005661123635408E-12</v>
      </c>
      <c r="AM173" s="59">
        <f t="shared" si="113"/>
        <v>293.33333333333474</v>
      </c>
      <c r="AN173" s="59">
        <f ca="1">AVERAGE(OFFSET($AM$3,0,0,'Données projet'!$E$10+1,1))-AVERAGE(OFFSET($H$3,0,0,'Données projet'!$E$10+1,1))</f>
        <v>235.31102883830971</v>
      </c>
      <c r="AO173" s="59">
        <f t="shared" si="144"/>
        <v>271.48630853790422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</v>
      </c>
      <c r="AV173" s="21">
        <f>EXP(-LN(2)/25)*AV172+(1-EXP(-LN(2)/25))/(LN(2)/25)*Calculateur!AQ173*Calculateur!AS173*VLOOKUP('Données projet'!$B$10,Paramètres!$A$1:$I$89,3,0)*0.475*44/12</f>
        <v>0.17537860844208655</v>
      </c>
      <c r="AW173" s="21">
        <f>EXP(-LN(2)/2)*AW172+(1-EXP(-LN(2)/2))/(LN(2)/2)*AQ173*AT173*VLOOKUP('Données projet'!$B$10,Paramètres!$A$1:$I$89,3,0)*0.475*44/12</f>
        <v>9.2941277487970027E-21</v>
      </c>
      <c r="AX173" s="21">
        <f t="shared" si="166"/>
        <v>0.17537860844208655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2.8421709430404007E-14</v>
      </c>
      <c r="BE173" s="13">
        <f>BD173*VLOOKUP('Données projet'!$B$11,Paramètres!$A$1:$I$89,3,0)*VLOOKUP('Données projet'!$B$11,Paramètres!$A$1:$I$89,5,0)</f>
        <v>3.2366642699344085E-14</v>
      </c>
      <c r="BF173" s="13">
        <f t="shared" si="167"/>
        <v>5.5446527398450045E-13</v>
      </c>
      <c r="BG173" s="20">
        <f t="shared" si="168"/>
        <v>1.0220655882243624E-12</v>
      </c>
      <c r="BH173" s="59">
        <f t="shared" si="116"/>
        <v>293.33333333333434</v>
      </c>
      <c r="BI173" s="59">
        <f ca="1">AVERAGE(OFFSET($BH$3,0,0,'Données projet'!$E$11+1,1))-AVERAGE(OFFSET($H$3,0,0,'Données projet'!$E$11+1,1))</f>
        <v>249.01678065306629</v>
      </c>
      <c r="BJ173" s="59">
        <f t="shared" si="146"/>
        <v>99.639724892155641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0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>
        <f>BY173*VLOOKUP('Données projet'!$B$12,Paramètres!$A$1:$I$89,3,0)*VLOOKUP('Données projet'!$B$12,Paramètres!$A$1:$I$89,5,0)</f>
        <v>0</v>
      </c>
      <c r="CA173" s="13" t="e">
        <f t="shared" si="170"/>
        <v>#NUM!</v>
      </c>
      <c r="CB173" s="20" t="e">
        <f t="shared" si="171"/>
        <v>#NUM!</v>
      </c>
      <c r="CC173" s="59" t="e">
        <f t="shared" si="119"/>
        <v>#NUM!</v>
      </c>
      <c r="CD173" s="59">
        <f ca="1">AVERAGE(OFFSET($CC$3,0,0,'Données projet'!$E$12+1,1))-AVERAGE(OFFSET($H$3,0,0,'Données projet'!$E$12+1,1))</f>
        <v>0</v>
      </c>
      <c r="CE173" s="59">
        <f t="shared" si="148"/>
        <v>0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</v>
      </c>
      <c r="CL173" s="21">
        <f>EXP(-LN(2)/25)*CL172+(1-EXP(-LN(2)/25))/(LN(2)/25)*Calculateur!CG173*Calculateur!CI173*VLOOKUP('Données projet'!$B$12,Paramètres!$A$1:$I$89,3,0)*0.475*44/12</f>
        <v>0</v>
      </c>
      <c r="CM173" s="21">
        <f>EXP(-LN(2)/2)*CM172+(1-EXP(-LN(2)/2))/(LN(2)/2)*CG173*CJ173*VLOOKUP('Données projet'!$B$12,Paramètres!$A$1:$I$89,3,0)*0.475*44/12</f>
        <v>0</v>
      </c>
      <c r="CN173" s="22">
        <f t="shared" si="172"/>
        <v>0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>
        <f>CT173*VLOOKUP('Données projet'!$B$13,Paramètres!$A$1:$I$89,3,0)*VLOOKUP('Données projet'!$B$13,Paramètres!$A$1:$I$89,5,0)</f>
        <v>0</v>
      </c>
      <c r="CV173" s="13" t="e">
        <f t="shared" si="173"/>
        <v>#NUM!</v>
      </c>
      <c r="CW173" s="20" t="e">
        <f t="shared" si="174"/>
        <v>#NUM!</v>
      </c>
      <c r="CX173" s="59" t="e">
        <f t="shared" si="122"/>
        <v>#NUM!</v>
      </c>
      <c r="CY173" s="59">
        <f ca="1">AVERAGE(OFFSET($CX$3,0,0,'Données projet'!$E$13+1,1))-AVERAGE(OFFSET($H$3,0,0,'Données projet'!$E$13+1,1))</f>
        <v>0</v>
      </c>
      <c r="CZ173" s="59">
        <f t="shared" si="150"/>
        <v>0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0</v>
      </c>
      <c r="DG173" s="21">
        <f>EXP(-LN(2)/25)*DG172+(1-EXP(-LN(2)/25))/(LN(2)/25)*Calculateur!DB173*Calculateur!DD173*VLOOKUP('Données projet'!$B$13,Paramètres!$A$1:$I$89,3,0)*0.475*44/12</f>
        <v>0</v>
      </c>
      <c r="DH173" s="21">
        <f>EXP(-LN(2)/2)*DH172+(1-EXP(-LN(2)/2))/(LN(2)/2)*DB173*DE173*VLOOKUP('Données projet'!$B$13,Paramètres!$A$1:$I$89,3,0)*0.475*44/12</f>
        <v>0</v>
      </c>
      <c r="DI173" s="22">
        <f t="shared" si="175"/>
        <v>0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-2.2737367544323206E-13</v>
      </c>
      <c r="O174" s="13">
        <f>N174*VLOOKUP('Données projet'!$B$9,Paramètres!$A$1:$I$89,3,0)*VLOOKUP('Données projet'!$B$9,Paramètres!$A$1:$I$89,5,0)</f>
        <v>-1.3596945791505279E-13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181.92766225683107</v>
      </c>
      <c r="T174" s="59">
        <f t="shared" si="142"/>
        <v>370.52917139565756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4.0275094655808106</v>
      </c>
      <c r="AA174" s="21">
        <f>EXP(-LN(2)/25)*AA173+(1-EXP(-LN(2)/25))/(LN(2)/25)*Calculateur!V174*Calculateur!X174*VLOOKUP('Données projet'!$B$9,Paramètres!$A$1:$I$89,3,0)*0.475*44/12</f>
        <v>1.1805032391562782</v>
      </c>
      <c r="AB174" s="21">
        <f>EXP(-LN(2)/2)*AB173+(1-EXP(-LN(2)/2))/(LN(2)/2)*V174*Y174*VLOOKUP('Données projet'!$B$9,Paramètres!$A$1:$I$89,3,0)*0.475*44/12</f>
        <v>2.7216884764896373E-19</v>
      </c>
      <c r="AC174" s="22">
        <f t="shared" si="163"/>
        <v>5.2080127047370883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5.6843418860808015E-14</v>
      </c>
      <c r="AJ174" s="13">
        <f>AI174*VLOOKUP('Données projet'!$B$10,Paramètres!$A$1:$I$89,3,0)*VLOOKUP('Données projet'!$B$10,Paramètres!$A$1:$I$89,5,0)</f>
        <v>4.6111381379887463E-14</v>
      </c>
      <c r="AK174" s="13">
        <f t="shared" si="164"/>
        <v>7.5804141040779151E-13</v>
      </c>
      <c r="AL174" s="20">
        <f t="shared" si="165"/>
        <v>1.4005661123635408E-12</v>
      </c>
      <c r="AM174" s="59">
        <f t="shared" si="113"/>
        <v>293.33333333333474</v>
      </c>
      <c r="AN174" s="59">
        <f ca="1">AVERAGE(OFFSET($AM$3,0,0,'Données projet'!$E$10+1,1))-AVERAGE(OFFSET($H$3,0,0,'Données projet'!$E$10+1,1))</f>
        <v>235.31102883830971</v>
      </c>
      <c r="AO174" s="59">
        <f t="shared" si="144"/>
        <v>271.48630853790422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</v>
      </c>
      <c r="AV174" s="21">
        <f>EXP(-LN(2)/25)*AV173+(1-EXP(-LN(2)/25))/(LN(2)/25)*Calculateur!AQ174*Calculateur!AS174*VLOOKUP('Données projet'!$B$10,Paramètres!$A$1:$I$89,3,0)*0.475*44/12</f>
        <v>0.17058287117147752</v>
      </c>
      <c r="AW174" s="21">
        <f>EXP(-LN(2)/2)*AW173+(1-EXP(-LN(2)/2))/(LN(2)/2)*AQ174*AT174*VLOOKUP('Données projet'!$B$10,Paramètres!$A$1:$I$89,3,0)*0.475*44/12</f>
        <v>6.5719407563884218E-21</v>
      </c>
      <c r="AX174" s="21">
        <f t="shared" si="166"/>
        <v>0.17058287117147752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2.8421709430404007E-14</v>
      </c>
      <c r="BE174" s="13">
        <f>BD174*VLOOKUP('Données projet'!$B$11,Paramètres!$A$1:$I$89,3,0)*VLOOKUP('Données projet'!$B$11,Paramètres!$A$1:$I$89,5,0)</f>
        <v>3.2366642699344085E-14</v>
      </c>
      <c r="BF174" s="13">
        <f t="shared" si="167"/>
        <v>5.5446527398450045E-13</v>
      </c>
      <c r="BG174" s="20">
        <f t="shared" si="168"/>
        <v>1.0220655882243624E-12</v>
      </c>
      <c r="BH174" s="59">
        <f t="shared" si="116"/>
        <v>293.33333333333434</v>
      </c>
      <c r="BI174" s="59">
        <f ca="1">AVERAGE(OFFSET($BH$3,0,0,'Données projet'!$E$11+1,1))-AVERAGE(OFFSET($H$3,0,0,'Données projet'!$E$11+1,1))</f>
        <v>249.01678065306629</v>
      </c>
      <c r="BJ174" s="59">
        <f t="shared" si="146"/>
        <v>99.639724892155641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0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>
        <f>BY174*VLOOKUP('Données projet'!$B$12,Paramètres!$A$1:$I$89,3,0)*VLOOKUP('Données projet'!$B$12,Paramètres!$A$1:$I$89,5,0)</f>
        <v>0</v>
      </c>
      <c r="CA174" s="13" t="e">
        <f t="shared" si="170"/>
        <v>#NUM!</v>
      </c>
      <c r="CB174" s="20" t="e">
        <f t="shared" si="171"/>
        <v>#NUM!</v>
      </c>
      <c r="CC174" s="59" t="e">
        <f t="shared" si="119"/>
        <v>#NUM!</v>
      </c>
      <c r="CD174" s="59">
        <f ca="1">AVERAGE(OFFSET($CC$3,0,0,'Données projet'!$E$12+1,1))-AVERAGE(OFFSET($H$3,0,0,'Données projet'!$E$12+1,1))</f>
        <v>0</v>
      </c>
      <c r="CE174" s="59">
        <f t="shared" si="148"/>
        <v>0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</v>
      </c>
      <c r="CL174" s="21">
        <f>EXP(-LN(2)/25)*CL173+(1-EXP(-LN(2)/25))/(LN(2)/25)*Calculateur!CG174*Calculateur!CI174*VLOOKUP('Données projet'!$B$12,Paramètres!$A$1:$I$89,3,0)*0.475*44/12</f>
        <v>0</v>
      </c>
      <c r="CM174" s="21">
        <f>EXP(-LN(2)/2)*CM173+(1-EXP(-LN(2)/2))/(LN(2)/2)*CG174*CJ174*VLOOKUP('Données projet'!$B$12,Paramètres!$A$1:$I$89,3,0)*0.475*44/12</f>
        <v>0</v>
      </c>
      <c r="CN174" s="22">
        <f t="shared" si="172"/>
        <v>0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>
        <f>CT174*VLOOKUP('Données projet'!$B$13,Paramètres!$A$1:$I$89,3,0)*VLOOKUP('Données projet'!$B$13,Paramètres!$A$1:$I$89,5,0)</f>
        <v>0</v>
      </c>
      <c r="CV174" s="13" t="e">
        <f t="shared" si="173"/>
        <v>#NUM!</v>
      </c>
      <c r="CW174" s="20" t="e">
        <f t="shared" si="174"/>
        <v>#NUM!</v>
      </c>
      <c r="CX174" s="59" t="e">
        <f t="shared" si="122"/>
        <v>#NUM!</v>
      </c>
      <c r="CY174" s="59">
        <f ca="1">AVERAGE(OFFSET($CX$3,0,0,'Données projet'!$E$13+1,1))-AVERAGE(OFFSET($H$3,0,0,'Données projet'!$E$13+1,1))</f>
        <v>0</v>
      </c>
      <c r="CZ174" s="59">
        <f t="shared" si="150"/>
        <v>0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0</v>
      </c>
      <c r="DG174" s="21">
        <f>EXP(-LN(2)/25)*DG173+(1-EXP(-LN(2)/25))/(LN(2)/25)*Calculateur!DB174*Calculateur!DD174*VLOOKUP('Données projet'!$B$13,Paramètres!$A$1:$I$89,3,0)*0.475*44/12</f>
        <v>0</v>
      </c>
      <c r="DH174" s="21">
        <f>EXP(-LN(2)/2)*DH173+(1-EXP(-LN(2)/2))/(LN(2)/2)*DB174*DE174*VLOOKUP('Données projet'!$B$13,Paramètres!$A$1:$I$89,3,0)*0.475*44/12</f>
        <v>0</v>
      </c>
      <c r="DI174" s="22">
        <f t="shared" si="175"/>
        <v>0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-2.2737367544323206E-13</v>
      </c>
      <c r="O175" s="13">
        <f>N175*VLOOKUP('Données projet'!$B$9,Paramètres!$A$1:$I$89,3,0)*VLOOKUP('Données projet'!$B$9,Paramètres!$A$1:$I$89,5,0)</f>
        <v>-1.3596945791505279E-13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181.92766225683107</v>
      </c>
      <c r="T175" s="59">
        <f t="shared" si="142"/>
        <v>370.52917139565756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3.9485324614989818</v>
      </c>
      <c r="AA175" s="21">
        <f>EXP(-LN(2)/25)*AA174+(1-EXP(-LN(2)/25))/(LN(2)/25)*Calculateur!V175*Calculateur!X175*VLOOKUP('Données projet'!$B$9,Paramètres!$A$1:$I$89,3,0)*0.475*44/12</f>
        <v>1.1482223160015825</v>
      </c>
      <c r="AB175" s="21">
        <f>EXP(-LN(2)/2)*AB174+(1-EXP(-LN(2)/2))/(LN(2)/2)*V175*Y175*VLOOKUP('Données projet'!$B$9,Paramètres!$A$1:$I$89,3,0)*0.475*44/12</f>
        <v>1.9245243780031059E-19</v>
      </c>
      <c r="AC175" s="22">
        <f t="shared" si="163"/>
        <v>5.0967547775005642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5.6843418860808015E-14</v>
      </c>
      <c r="AJ175" s="13">
        <f>AI175*VLOOKUP('Données projet'!$B$10,Paramètres!$A$1:$I$89,3,0)*VLOOKUP('Données projet'!$B$10,Paramètres!$A$1:$I$89,5,0)</f>
        <v>4.6111381379887463E-14</v>
      </c>
      <c r="AK175" s="13">
        <f t="shared" si="164"/>
        <v>7.5804141040779151E-13</v>
      </c>
      <c r="AL175" s="20">
        <f t="shared" si="165"/>
        <v>1.4005661123635408E-12</v>
      </c>
      <c r="AM175" s="59">
        <f t="shared" si="113"/>
        <v>293.33333333333474</v>
      </c>
      <c r="AN175" s="59">
        <f ca="1">AVERAGE(OFFSET($AM$3,0,0,'Données projet'!$E$10+1,1))-AVERAGE(OFFSET($H$3,0,0,'Données projet'!$E$10+1,1))</f>
        <v>235.31102883830971</v>
      </c>
      <c r="AO175" s="59">
        <f t="shared" si="144"/>
        <v>271.48630853790422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</v>
      </c>
      <c r="AV175" s="21">
        <f>EXP(-LN(2)/25)*AV174+(1-EXP(-LN(2)/25))/(LN(2)/25)*Calculateur!AQ175*Calculateur!AS175*VLOOKUP('Données projet'!$B$10,Paramètres!$A$1:$I$89,3,0)*0.475*44/12</f>
        <v>0.16591827358873015</v>
      </c>
      <c r="AW175" s="21">
        <f>EXP(-LN(2)/2)*AW174+(1-EXP(-LN(2)/2))/(LN(2)/2)*AQ175*AT175*VLOOKUP('Données projet'!$B$10,Paramètres!$A$1:$I$89,3,0)*0.475*44/12</f>
        <v>4.6470638743985014E-21</v>
      </c>
      <c r="AX175" s="21">
        <f t="shared" si="166"/>
        <v>0.16591827358873015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2.8421709430404007E-14</v>
      </c>
      <c r="BE175" s="13">
        <f>BD175*VLOOKUP('Données projet'!$B$11,Paramètres!$A$1:$I$89,3,0)*VLOOKUP('Données projet'!$B$11,Paramètres!$A$1:$I$89,5,0)</f>
        <v>3.2366642699344085E-14</v>
      </c>
      <c r="BF175" s="13">
        <f t="shared" si="167"/>
        <v>5.5446527398450045E-13</v>
      </c>
      <c r="BG175" s="20">
        <f t="shared" si="168"/>
        <v>1.0220655882243624E-12</v>
      </c>
      <c r="BH175" s="59">
        <f t="shared" si="116"/>
        <v>293.33333333333434</v>
      </c>
      <c r="BI175" s="59">
        <f ca="1">AVERAGE(OFFSET($BH$3,0,0,'Données projet'!$E$11+1,1))-AVERAGE(OFFSET($H$3,0,0,'Données projet'!$E$11+1,1))</f>
        <v>249.01678065306629</v>
      </c>
      <c r="BJ175" s="59">
        <f t="shared" si="146"/>
        <v>99.639724892155641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0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>
        <f>BY175*VLOOKUP('Données projet'!$B$12,Paramètres!$A$1:$I$89,3,0)*VLOOKUP('Données projet'!$B$12,Paramètres!$A$1:$I$89,5,0)</f>
        <v>0</v>
      </c>
      <c r="CA175" s="13" t="e">
        <f t="shared" si="170"/>
        <v>#NUM!</v>
      </c>
      <c r="CB175" s="20" t="e">
        <f t="shared" si="171"/>
        <v>#NUM!</v>
      </c>
      <c r="CC175" s="59" t="e">
        <f t="shared" si="119"/>
        <v>#NUM!</v>
      </c>
      <c r="CD175" s="59">
        <f ca="1">AVERAGE(OFFSET($CC$3,0,0,'Données projet'!$E$12+1,1))-AVERAGE(OFFSET($H$3,0,0,'Données projet'!$E$12+1,1))</f>
        <v>0</v>
      </c>
      <c r="CE175" s="59">
        <f t="shared" si="148"/>
        <v>0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</v>
      </c>
      <c r="CL175" s="21">
        <f>EXP(-LN(2)/25)*CL174+(1-EXP(-LN(2)/25))/(LN(2)/25)*Calculateur!CG175*Calculateur!CI175*VLOOKUP('Données projet'!$B$12,Paramètres!$A$1:$I$89,3,0)*0.475*44/12</f>
        <v>0</v>
      </c>
      <c r="CM175" s="21">
        <f>EXP(-LN(2)/2)*CM174+(1-EXP(-LN(2)/2))/(LN(2)/2)*CG175*CJ175*VLOOKUP('Données projet'!$B$12,Paramètres!$A$1:$I$89,3,0)*0.475*44/12</f>
        <v>0</v>
      </c>
      <c r="CN175" s="22">
        <f t="shared" si="172"/>
        <v>0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>
        <f>CT175*VLOOKUP('Données projet'!$B$13,Paramètres!$A$1:$I$89,3,0)*VLOOKUP('Données projet'!$B$13,Paramètres!$A$1:$I$89,5,0)</f>
        <v>0</v>
      </c>
      <c r="CV175" s="13" t="e">
        <f t="shared" si="173"/>
        <v>#NUM!</v>
      </c>
      <c r="CW175" s="20" t="e">
        <f t="shared" si="174"/>
        <v>#NUM!</v>
      </c>
      <c r="CX175" s="59" t="e">
        <f t="shared" si="122"/>
        <v>#NUM!</v>
      </c>
      <c r="CY175" s="59">
        <f ca="1">AVERAGE(OFFSET($CX$3,0,0,'Données projet'!$E$13+1,1))-AVERAGE(OFFSET($H$3,0,0,'Données projet'!$E$13+1,1))</f>
        <v>0</v>
      </c>
      <c r="CZ175" s="59">
        <f t="shared" si="150"/>
        <v>0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0</v>
      </c>
      <c r="DG175" s="21">
        <f>EXP(-LN(2)/25)*DG174+(1-EXP(-LN(2)/25))/(LN(2)/25)*Calculateur!DB175*Calculateur!DD175*VLOOKUP('Données projet'!$B$13,Paramètres!$A$1:$I$89,3,0)*0.475*44/12</f>
        <v>0</v>
      </c>
      <c r="DH175" s="21">
        <f>EXP(-LN(2)/2)*DH174+(1-EXP(-LN(2)/2))/(LN(2)/2)*DB175*DE175*VLOOKUP('Données projet'!$B$13,Paramètres!$A$1:$I$89,3,0)*0.475*44/12</f>
        <v>0</v>
      </c>
      <c r="DI175" s="22">
        <f t="shared" si="175"/>
        <v>0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-2.2737367544323206E-13</v>
      </c>
      <c r="O176" s="13">
        <f>N176*VLOOKUP('Données projet'!$B$9,Paramètres!$A$1:$I$89,3,0)*VLOOKUP('Données projet'!$B$9,Paramètres!$A$1:$I$89,5,0)</f>
        <v>-1.3596945791505279E-13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181.92766225683107</v>
      </c>
      <c r="T176" s="59">
        <f t="shared" si="142"/>
        <v>370.52917139565756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3.871104148295982</v>
      </c>
      <c r="AA176" s="21">
        <f>EXP(-LN(2)/25)*AA175+(1-EXP(-LN(2)/25))/(LN(2)/25)*Calculateur!V176*Calculateur!X176*VLOOKUP('Données projet'!$B$9,Paramètres!$A$1:$I$89,3,0)*0.475*44/12</f>
        <v>1.1168241163881321</v>
      </c>
      <c r="AB176" s="21">
        <f>EXP(-LN(2)/2)*AB175+(1-EXP(-LN(2)/2))/(LN(2)/2)*V176*Y176*VLOOKUP('Données projet'!$B$9,Paramètres!$A$1:$I$89,3,0)*0.475*44/12</f>
        <v>1.3608442382448187E-19</v>
      </c>
      <c r="AC176" s="22">
        <f t="shared" si="163"/>
        <v>4.9879282646841139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5.6843418860808015E-14</v>
      </c>
      <c r="AJ176" s="13">
        <f>AI176*VLOOKUP('Données projet'!$B$10,Paramètres!$A$1:$I$89,3,0)*VLOOKUP('Données projet'!$B$10,Paramètres!$A$1:$I$89,5,0)</f>
        <v>4.6111381379887463E-14</v>
      </c>
      <c r="AK176" s="13">
        <f t="shared" si="164"/>
        <v>7.5804141040779151E-13</v>
      </c>
      <c r="AL176" s="20">
        <f t="shared" si="165"/>
        <v>1.4005661123635408E-12</v>
      </c>
      <c r="AM176" s="59">
        <f t="shared" si="113"/>
        <v>293.33333333333474</v>
      </c>
      <c r="AN176" s="59">
        <f ca="1">AVERAGE(OFFSET($AM$3,0,0,'Données projet'!$E$10+1,1))-AVERAGE(OFFSET($H$3,0,0,'Données projet'!$E$10+1,1))</f>
        <v>235.31102883830971</v>
      </c>
      <c r="AO176" s="59">
        <f t="shared" si="144"/>
        <v>271.48630853790422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</v>
      </c>
      <c r="AV176" s="21">
        <f>EXP(-LN(2)/25)*AV175+(1-EXP(-LN(2)/25))/(LN(2)/25)*Calculateur!AQ176*Calculateur!AS176*VLOOKUP('Données projet'!$B$10,Paramètres!$A$1:$I$89,3,0)*0.475*44/12</f>
        <v>0.16138122967218352</v>
      </c>
      <c r="AW176" s="21">
        <f>EXP(-LN(2)/2)*AW175+(1-EXP(-LN(2)/2))/(LN(2)/2)*AQ176*AT176*VLOOKUP('Données projet'!$B$10,Paramètres!$A$1:$I$89,3,0)*0.475*44/12</f>
        <v>3.2859703781942109E-21</v>
      </c>
      <c r="AX176" s="21">
        <f t="shared" si="166"/>
        <v>0.16138122967218352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2.8421709430404007E-14</v>
      </c>
      <c r="BE176" s="13">
        <f>BD176*VLOOKUP('Données projet'!$B$11,Paramètres!$A$1:$I$89,3,0)*VLOOKUP('Données projet'!$B$11,Paramètres!$A$1:$I$89,5,0)</f>
        <v>3.2366642699344085E-14</v>
      </c>
      <c r="BF176" s="13">
        <f t="shared" si="167"/>
        <v>5.5446527398450045E-13</v>
      </c>
      <c r="BG176" s="20">
        <f t="shared" si="168"/>
        <v>1.0220655882243624E-12</v>
      </c>
      <c r="BH176" s="59">
        <f t="shared" si="116"/>
        <v>293.33333333333434</v>
      </c>
      <c r="BI176" s="59">
        <f ca="1">AVERAGE(OFFSET($BH$3,0,0,'Données projet'!$E$11+1,1))-AVERAGE(OFFSET($H$3,0,0,'Données projet'!$E$11+1,1))</f>
        <v>249.01678065306629</v>
      </c>
      <c r="BJ176" s="59">
        <f t="shared" si="146"/>
        <v>99.639724892155641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0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>
        <f>BY176*VLOOKUP('Données projet'!$B$12,Paramètres!$A$1:$I$89,3,0)*VLOOKUP('Données projet'!$B$12,Paramètres!$A$1:$I$89,5,0)</f>
        <v>0</v>
      </c>
      <c r="CA176" s="13" t="e">
        <f t="shared" si="170"/>
        <v>#NUM!</v>
      </c>
      <c r="CB176" s="20" t="e">
        <f t="shared" si="171"/>
        <v>#NUM!</v>
      </c>
      <c r="CC176" s="59" t="e">
        <f t="shared" si="119"/>
        <v>#NUM!</v>
      </c>
      <c r="CD176" s="59">
        <f ca="1">AVERAGE(OFFSET($CC$3,0,0,'Données projet'!$E$12+1,1))-AVERAGE(OFFSET($H$3,0,0,'Données projet'!$E$12+1,1))</f>
        <v>0</v>
      </c>
      <c r="CE176" s="59">
        <f t="shared" si="148"/>
        <v>0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</v>
      </c>
      <c r="CL176" s="21">
        <f>EXP(-LN(2)/25)*CL175+(1-EXP(-LN(2)/25))/(LN(2)/25)*Calculateur!CG176*Calculateur!CI176*VLOOKUP('Données projet'!$B$12,Paramètres!$A$1:$I$89,3,0)*0.475*44/12</f>
        <v>0</v>
      </c>
      <c r="CM176" s="21">
        <f>EXP(-LN(2)/2)*CM175+(1-EXP(-LN(2)/2))/(LN(2)/2)*CG176*CJ176*VLOOKUP('Données projet'!$B$12,Paramètres!$A$1:$I$89,3,0)*0.475*44/12</f>
        <v>0</v>
      </c>
      <c r="CN176" s="22">
        <f t="shared" si="172"/>
        <v>0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>
        <f>CT176*VLOOKUP('Données projet'!$B$13,Paramètres!$A$1:$I$89,3,0)*VLOOKUP('Données projet'!$B$13,Paramètres!$A$1:$I$89,5,0)</f>
        <v>0</v>
      </c>
      <c r="CV176" s="13" t="e">
        <f t="shared" si="173"/>
        <v>#NUM!</v>
      </c>
      <c r="CW176" s="20" t="e">
        <f t="shared" si="174"/>
        <v>#NUM!</v>
      </c>
      <c r="CX176" s="59" t="e">
        <f t="shared" si="122"/>
        <v>#NUM!</v>
      </c>
      <c r="CY176" s="59">
        <f ca="1">AVERAGE(OFFSET($CX$3,0,0,'Données projet'!$E$13+1,1))-AVERAGE(OFFSET($H$3,0,0,'Données projet'!$E$13+1,1))</f>
        <v>0</v>
      </c>
      <c r="CZ176" s="59">
        <f t="shared" si="150"/>
        <v>0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0</v>
      </c>
      <c r="DG176" s="21">
        <f>EXP(-LN(2)/25)*DG175+(1-EXP(-LN(2)/25))/(LN(2)/25)*Calculateur!DB176*Calculateur!DD176*VLOOKUP('Données projet'!$B$13,Paramètres!$A$1:$I$89,3,0)*0.475*44/12</f>
        <v>0</v>
      </c>
      <c r="DH176" s="21">
        <f>EXP(-LN(2)/2)*DH175+(1-EXP(-LN(2)/2))/(LN(2)/2)*DB176*DE176*VLOOKUP('Données projet'!$B$13,Paramètres!$A$1:$I$89,3,0)*0.475*44/12</f>
        <v>0</v>
      </c>
      <c r="DI176" s="22">
        <f t="shared" si="175"/>
        <v>0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-2.2737367544323206E-13</v>
      </c>
      <c r="O177" s="13">
        <f>N177*VLOOKUP('Données projet'!$B$9,Paramètres!$A$1:$I$89,3,0)*VLOOKUP('Données projet'!$B$9,Paramètres!$A$1:$I$89,5,0)</f>
        <v>-1.3596945791505279E-13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181.92766225683107</v>
      </c>
      <c r="T177" s="59">
        <f t="shared" si="142"/>
        <v>370.52917139565756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3.795194157088285</v>
      </c>
      <c r="AA177" s="21">
        <f>EXP(-LN(2)/25)*AA176+(1-EXP(-LN(2)/25))/(LN(2)/25)*Calculateur!V177*Calculateur!X177*VLOOKUP('Données projet'!$B$9,Paramètres!$A$1:$I$89,3,0)*0.475*44/12</f>
        <v>1.0862845021942709</v>
      </c>
      <c r="AB177" s="21">
        <f>EXP(-LN(2)/2)*AB176+(1-EXP(-LN(2)/2))/(LN(2)/2)*V177*Y177*VLOOKUP('Données projet'!$B$9,Paramètres!$A$1:$I$89,3,0)*0.475*44/12</f>
        <v>9.6226218900155296E-20</v>
      </c>
      <c r="AC177" s="22">
        <f t="shared" si="163"/>
        <v>4.8814786592825561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5.6843418860808015E-14</v>
      </c>
      <c r="AJ177" s="13">
        <f>AI177*VLOOKUP('Données projet'!$B$10,Paramètres!$A$1:$I$89,3,0)*VLOOKUP('Données projet'!$B$10,Paramètres!$A$1:$I$89,5,0)</f>
        <v>4.6111381379887463E-14</v>
      </c>
      <c r="AK177" s="13">
        <f t="shared" si="164"/>
        <v>7.5804141040779151E-13</v>
      </c>
      <c r="AL177" s="20">
        <f t="shared" si="165"/>
        <v>1.4005661123635408E-12</v>
      </c>
      <c r="AM177" s="59">
        <f t="shared" si="113"/>
        <v>293.33333333333474</v>
      </c>
      <c r="AN177" s="59">
        <f ca="1">AVERAGE(OFFSET($AM$3,0,0,'Données projet'!$E$10+1,1))-AVERAGE(OFFSET($H$3,0,0,'Données projet'!$E$10+1,1))</f>
        <v>235.31102883830971</v>
      </c>
      <c r="AO177" s="59">
        <f t="shared" si="144"/>
        <v>271.48630853790422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</v>
      </c>
      <c r="AV177" s="21">
        <f>EXP(-LN(2)/25)*AV176+(1-EXP(-LN(2)/25))/(LN(2)/25)*Calculateur!AQ177*Calculateur!AS177*VLOOKUP('Données projet'!$B$10,Paramètres!$A$1:$I$89,3,0)*0.475*44/12</f>
        <v>0.15696825146012763</v>
      </c>
      <c r="AW177" s="21">
        <f>EXP(-LN(2)/2)*AW176+(1-EXP(-LN(2)/2))/(LN(2)/2)*AQ177*AT177*VLOOKUP('Données projet'!$B$10,Paramètres!$A$1:$I$89,3,0)*0.475*44/12</f>
        <v>2.3235319371992507E-21</v>
      </c>
      <c r="AX177" s="21">
        <f t="shared" si="166"/>
        <v>0.15696825146012763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2.8421709430404007E-14</v>
      </c>
      <c r="BE177" s="13">
        <f>BD177*VLOOKUP('Données projet'!$B$11,Paramètres!$A$1:$I$89,3,0)*VLOOKUP('Données projet'!$B$11,Paramètres!$A$1:$I$89,5,0)</f>
        <v>3.2366642699344085E-14</v>
      </c>
      <c r="BF177" s="13">
        <f t="shared" si="167"/>
        <v>5.5446527398450045E-13</v>
      </c>
      <c r="BG177" s="20">
        <f t="shared" si="168"/>
        <v>1.0220655882243624E-12</v>
      </c>
      <c r="BH177" s="59">
        <f t="shared" si="116"/>
        <v>293.33333333333434</v>
      </c>
      <c r="BI177" s="59">
        <f ca="1">AVERAGE(OFFSET($BH$3,0,0,'Données projet'!$E$11+1,1))-AVERAGE(OFFSET($H$3,0,0,'Données projet'!$E$11+1,1))</f>
        <v>249.01678065306629</v>
      </c>
      <c r="BJ177" s="59">
        <f t="shared" si="146"/>
        <v>99.639724892155641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0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>
        <f>BY177*VLOOKUP('Données projet'!$B$12,Paramètres!$A$1:$I$89,3,0)*VLOOKUP('Données projet'!$B$12,Paramètres!$A$1:$I$89,5,0)</f>
        <v>0</v>
      </c>
      <c r="CA177" s="13" t="e">
        <f t="shared" si="170"/>
        <v>#NUM!</v>
      </c>
      <c r="CB177" s="20" t="e">
        <f t="shared" si="171"/>
        <v>#NUM!</v>
      </c>
      <c r="CC177" s="59" t="e">
        <f t="shared" si="119"/>
        <v>#NUM!</v>
      </c>
      <c r="CD177" s="59">
        <f ca="1">AVERAGE(OFFSET($CC$3,0,0,'Données projet'!$E$12+1,1))-AVERAGE(OFFSET($H$3,0,0,'Données projet'!$E$12+1,1))</f>
        <v>0</v>
      </c>
      <c r="CE177" s="59">
        <f t="shared" si="148"/>
        <v>0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</v>
      </c>
      <c r="CL177" s="21">
        <f>EXP(-LN(2)/25)*CL176+(1-EXP(-LN(2)/25))/(LN(2)/25)*Calculateur!CG177*Calculateur!CI177*VLOOKUP('Données projet'!$B$12,Paramètres!$A$1:$I$89,3,0)*0.475*44/12</f>
        <v>0</v>
      </c>
      <c r="CM177" s="21">
        <f>EXP(-LN(2)/2)*CM176+(1-EXP(-LN(2)/2))/(LN(2)/2)*CG177*CJ177*VLOOKUP('Données projet'!$B$12,Paramètres!$A$1:$I$89,3,0)*0.475*44/12</f>
        <v>0</v>
      </c>
      <c r="CN177" s="22">
        <f t="shared" si="172"/>
        <v>0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>
        <f>CT177*VLOOKUP('Données projet'!$B$13,Paramètres!$A$1:$I$89,3,0)*VLOOKUP('Données projet'!$B$13,Paramètres!$A$1:$I$89,5,0)</f>
        <v>0</v>
      </c>
      <c r="CV177" s="13" t="e">
        <f t="shared" si="173"/>
        <v>#NUM!</v>
      </c>
      <c r="CW177" s="20" t="e">
        <f t="shared" si="174"/>
        <v>#NUM!</v>
      </c>
      <c r="CX177" s="59" t="e">
        <f t="shared" si="122"/>
        <v>#NUM!</v>
      </c>
      <c r="CY177" s="59">
        <f ca="1">AVERAGE(OFFSET($CX$3,0,0,'Données projet'!$E$13+1,1))-AVERAGE(OFFSET($H$3,0,0,'Données projet'!$E$13+1,1))</f>
        <v>0</v>
      </c>
      <c r="CZ177" s="59">
        <f t="shared" si="150"/>
        <v>0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0</v>
      </c>
      <c r="DG177" s="21">
        <f>EXP(-LN(2)/25)*DG176+(1-EXP(-LN(2)/25))/(LN(2)/25)*Calculateur!DB177*Calculateur!DD177*VLOOKUP('Données projet'!$B$13,Paramètres!$A$1:$I$89,3,0)*0.475*44/12</f>
        <v>0</v>
      </c>
      <c r="DH177" s="21">
        <f>EXP(-LN(2)/2)*DH176+(1-EXP(-LN(2)/2))/(LN(2)/2)*DB177*DE177*VLOOKUP('Données projet'!$B$13,Paramètres!$A$1:$I$89,3,0)*0.475*44/12</f>
        <v>0</v>
      </c>
      <c r="DI177" s="22">
        <f t="shared" si="175"/>
        <v>0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-2.2737367544323206E-13</v>
      </c>
      <c r="O178" s="13">
        <f>N178*VLOOKUP('Données projet'!$B$9,Paramètres!$A$1:$I$89,3,0)*VLOOKUP('Données projet'!$B$9,Paramètres!$A$1:$I$89,5,0)</f>
        <v>-1.3596945791505279E-13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181.92766225683107</v>
      </c>
      <c r="T178" s="59">
        <f t="shared" si="142"/>
        <v>370.52917139565756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3.7207727145076479</v>
      </c>
      <c r="AA178" s="21">
        <f>EXP(-LN(2)/25)*AA177+(1-EXP(-LN(2)/25))/(LN(2)/25)*Calculateur!V178*Calculateur!X178*VLOOKUP('Données projet'!$B$9,Paramètres!$A$1:$I$89,3,0)*0.475*44/12</f>
        <v>1.0565799953565493</v>
      </c>
      <c r="AB178" s="21">
        <f>EXP(-LN(2)/2)*AB177+(1-EXP(-LN(2)/2))/(LN(2)/2)*V178*Y178*VLOOKUP('Données projet'!$B$9,Paramètres!$A$1:$I$89,3,0)*0.475*44/12</f>
        <v>6.8042211912240933E-20</v>
      </c>
      <c r="AC178" s="22">
        <f t="shared" si="163"/>
        <v>4.7773527098641972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5.6843418860808015E-14</v>
      </c>
      <c r="AJ178" s="13">
        <f>AI178*VLOOKUP('Données projet'!$B$10,Paramètres!$A$1:$I$89,3,0)*VLOOKUP('Données projet'!$B$10,Paramètres!$A$1:$I$89,5,0)</f>
        <v>4.6111381379887463E-14</v>
      </c>
      <c r="AK178" s="13">
        <f t="shared" si="164"/>
        <v>7.5804141040779151E-13</v>
      </c>
      <c r="AL178" s="20">
        <f t="shared" si="165"/>
        <v>1.4005661123635408E-12</v>
      </c>
      <c r="AM178" s="59">
        <f t="shared" si="113"/>
        <v>293.33333333333474</v>
      </c>
      <c r="AN178" s="59">
        <f ca="1">AVERAGE(OFFSET($AM$3,0,0,'Données projet'!$E$10+1,1))-AVERAGE(OFFSET($H$3,0,0,'Données projet'!$E$10+1,1))</f>
        <v>235.31102883830971</v>
      </c>
      <c r="AO178" s="59">
        <f t="shared" si="144"/>
        <v>271.48630853790422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</v>
      </c>
      <c r="AV178" s="21">
        <f>EXP(-LN(2)/25)*AV177+(1-EXP(-LN(2)/25))/(LN(2)/25)*Calculateur!AQ178*Calculateur!AS178*VLOOKUP('Données projet'!$B$10,Paramètres!$A$1:$I$89,3,0)*0.475*44/12</f>
        <v>0.15267594636934886</v>
      </c>
      <c r="AW178" s="21">
        <f>EXP(-LN(2)/2)*AW177+(1-EXP(-LN(2)/2))/(LN(2)/2)*AQ178*AT178*VLOOKUP('Données projet'!$B$10,Paramètres!$A$1:$I$89,3,0)*0.475*44/12</f>
        <v>1.6429851890971055E-21</v>
      </c>
      <c r="AX178" s="21">
        <f t="shared" si="166"/>
        <v>0.15267594636934886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2.8421709430404007E-14</v>
      </c>
      <c r="BE178" s="13">
        <f>BD178*VLOOKUP('Données projet'!$B$11,Paramètres!$A$1:$I$89,3,0)*VLOOKUP('Données projet'!$B$11,Paramètres!$A$1:$I$89,5,0)</f>
        <v>3.2366642699344085E-14</v>
      </c>
      <c r="BF178" s="13">
        <f t="shared" si="167"/>
        <v>5.5446527398450045E-13</v>
      </c>
      <c r="BG178" s="20">
        <f t="shared" si="168"/>
        <v>1.0220655882243624E-12</v>
      </c>
      <c r="BH178" s="59">
        <f t="shared" si="116"/>
        <v>293.33333333333434</v>
      </c>
      <c r="BI178" s="59">
        <f ca="1">AVERAGE(OFFSET($BH$3,0,0,'Données projet'!$E$11+1,1))-AVERAGE(OFFSET($H$3,0,0,'Données projet'!$E$11+1,1))</f>
        <v>249.01678065306629</v>
      </c>
      <c r="BJ178" s="59">
        <f t="shared" si="146"/>
        <v>99.639724892155641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0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>
        <f>BY178*VLOOKUP('Données projet'!$B$12,Paramètres!$A$1:$I$89,3,0)*VLOOKUP('Données projet'!$B$12,Paramètres!$A$1:$I$89,5,0)</f>
        <v>0</v>
      </c>
      <c r="CA178" s="13" t="e">
        <f t="shared" si="170"/>
        <v>#NUM!</v>
      </c>
      <c r="CB178" s="20" t="e">
        <f t="shared" si="171"/>
        <v>#NUM!</v>
      </c>
      <c r="CC178" s="59" t="e">
        <f t="shared" si="119"/>
        <v>#NUM!</v>
      </c>
      <c r="CD178" s="59">
        <f ca="1">AVERAGE(OFFSET($CC$3,0,0,'Données projet'!$E$12+1,1))-AVERAGE(OFFSET($H$3,0,0,'Données projet'!$E$12+1,1))</f>
        <v>0</v>
      </c>
      <c r="CE178" s="59">
        <f t="shared" si="148"/>
        <v>0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</v>
      </c>
      <c r="CL178" s="21">
        <f>EXP(-LN(2)/25)*CL177+(1-EXP(-LN(2)/25))/(LN(2)/25)*Calculateur!CG178*Calculateur!CI178*VLOOKUP('Données projet'!$B$12,Paramètres!$A$1:$I$89,3,0)*0.475*44/12</f>
        <v>0</v>
      </c>
      <c r="CM178" s="21">
        <f>EXP(-LN(2)/2)*CM177+(1-EXP(-LN(2)/2))/(LN(2)/2)*CG178*CJ178*VLOOKUP('Données projet'!$B$12,Paramètres!$A$1:$I$89,3,0)*0.475*44/12</f>
        <v>0</v>
      </c>
      <c r="CN178" s="22">
        <f t="shared" si="172"/>
        <v>0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>
        <f>CT178*VLOOKUP('Données projet'!$B$13,Paramètres!$A$1:$I$89,3,0)*VLOOKUP('Données projet'!$B$13,Paramètres!$A$1:$I$89,5,0)</f>
        <v>0</v>
      </c>
      <c r="CV178" s="13" t="e">
        <f t="shared" si="173"/>
        <v>#NUM!</v>
      </c>
      <c r="CW178" s="20" t="e">
        <f t="shared" si="174"/>
        <v>#NUM!</v>
      </c>
      <c r="CX178" s="59" t="e">
        <f t="shared" si="122"/>
        <v>#NUM!</v>
      </c>
      <c r="CY178" s="59">
        <f ca="1">AVERAGE(OFFSET($CX$3,0,0,'Données projet'!$E$13+1,1))-AVERAGE(OFFSET($H$3,0,0,'Données projet'!$E$13+1,1))</f>
        <v>0</v>
      </c>
      <c r="CZ178" s="59">
        <f t="shared" si="150"/>
        <v>0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0</v>
      </c>
      <c r="DG178" s="21">
        <f>EXP(-LN(2)/25)*DG177+(1-EXP(-LN(2)/25))/(LN(2)/25)*Calculateur!DB178*Calculateur!DD178*VLOOKUP('Données projet'!$B$13,Paramètres!$A$1:$I$89,3,0)*0.475*44/12</f>
        <v>0</v>
      </c>
      <c r="DH178" s="21">
        <f>EXP(-LN(2)/2)*DH177+(1-EXP(-LN(2)/2))/(LN(2)/2)*DB178*DE178*VLOOKUP('Données projet'!$B$13,Paramètres!$A$1:$I$89,3,0)*0.475*44/12</f>
        <v>0</v>
      </c>
      <c r="DI178" s="22">
        <f t="shared" si="175"/>
        <v>0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-2.2737367544323206E-13</v>
      </c>
      <c r="O179" s="13">
        <f>N179*VLOOKUP('Données projet'!$B$9,Paramètres!$A$1:$I$89,3,0)*VLOOKUP('Données projet'!$B$9,Paramètres!$A$1:$I$89,5,0)</f>
        <v>-1.3596945791505279E-13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181.92766225683107</v>
      </c>
      <c r="T179" s="59">
        <f t="shared" si="142"/>
        <v>370.52917139565756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3.6478106310234195</v>
      </c>
      <c r="AA179" s="21">
        <f>EXP(-LN(2)/25)*AA178+(1-EXP(-LN(2)/25))/(LN(2)/25)*Calculateur!V179*Calculateur!X179*VLOOKUP('Données projet'!$B$9,Paramètres!$A$1:$I$89,3,0)*0.475*44/12</f>
        <v>1.0276877598203973</v>
      </c>
      <c r="AB179" s="21">
        <f>EXP(-LN(2)/2)*AB178+(1-EXP(-LN(2)/2))/(LN(2)/2)*V179*Y179*VLOOKUP('Données projet'!$B$9,Paramètres!$A$1:$I$89,3,0)*0.475*44/12</f>
        <v>4.8113109450077648E-20</v>
      </c>
      <c r="AC179" s="22">
        <f t="shared" si="163"/>
        <v>4.675498390843817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5.6843418860808015E-14</v>
      </c>
      <c r="AJ179" s="13">
        <f>AI179*VLOOKUP('Données projet'!$B$10,Paramètres!$A$1:$I$89,3,0)*VLOOKUP('Données projet'!$B$10,Paramètres!$A$1:$I$89,5,0)</f>
        <v>4.6111381379887463E-14</v>
      </c>
      <c r="AK179" s="13">
        <f t="shared" si="164"/>
        <v>7.5804141040779151E-13</v>
      </c>
      <c r="AL179" s="20">
        <f t="shared" si="165"/>
        <v>1.4005661123635408E-12</v>
      </c>
      <c r="AM179" s="59">
        <f t="shared" si="113"/>
        <v>293.33333333333474</v>
      </c>
      <c r="AN179" s="59">
        <f ca="1">AVERAGE(OFFSET($AM$3,0,0,'Données projet'!$E$10+1,1))-AVERAGE(OFFSET($H$3,0,0,'Données projet'!$E$10+1,1))</f>
        <v>235.31102883830971</v>
      </c>
      <c r="AO179" s="59">
        <f t="shared" si="144"/>
        <v>271.48630853790422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</v>
      </c>
      <c r="AV179" s="21">
        <f>EXP(-LN(2)/25)*AV178+(1-EXP(-LN(2)/25))/(LN(2)/25)*Calculateur!AQ179*Calculateur!AS179*VLOOKUP('Données projet'!$B$10,Paramètres!$A$1:$I$89,3,0)*0.475*44/12</f>
        <v>0.14850101458699994</v>
      </c>
      <c r="AW179" s="21">
        <f>EXP(-LN(2)/2)*AW178+(1-EXP(-LN(2)/2))/(LN(2)/2)*AQ179*AT179*VLOOKUP('Données projet'!$B$10,Paramètres!$A$1:$I$89,3,0)*0.475*44/12</f>
        <v>1.1617659685996253E-21</v>
      </c>
      <c r="AX179" s="21">
        <f t="shared" si="166"/>
        <v>0.14850101458699994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2.8421709430404007E-14</v>
      </c>
      <c r="BE179" s="13">
        <f>BD179*VLOOKUP('Données projet'!$B$11,Paramètres!$A$1:$I$89,3,0)*VLOOKUP('Données projet'!$B$11,Paramètres!$A$1:$I$89,5,0)</f>
        <v>3.2366642699344085E-14</v>
      </c>
      <c r="BF179" s="13">
        <f t="shared" si="167"/>
        <v>5.5446527398450045E-13</v>
      </c>
      <c r="BG179" s="20">
        <f t="shared" si="168"/>
        <v>1.0220655882243624E-12</v>
      </c>
      <c r="BH179" s="59">
        <f t="shared" si="116"/>
        <v>293.33333333333434</v>
      </c>
      <c r="BI179" s="59">
        <f ca="1">AVERAGE(OFFSET($BH$3,0,0,'Données projet'!$E$11+1,1))-AVERAGE(OFFSET($H$3,0,0,'Données projet'!$E$11+1,1))</f>
        <v>249.01678065306629</v>
      </c>
      <c r="BJ179" s="59">
        <f t="shared" si="146"/>
        <v>99.639724892155641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0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>
        <f>BY179*VLOOKUP('Données projet'!$B$12,Paramètres!$A$1:$I$89,3,0)*VLOOKUP('Données projet'!$B$12,Paramètres!$A$1:$I$89,5,0)</f>
        <v>0</v>
      </c>
      <c r="CA179" s="13" t="e">
        <f t="shared" si="170"/>
        <v>#NUM!</v>
      </c>
      <c r="CB179" s="20" t="e">
        <f t="shared" si="171"/>
        <v>#NUM!</v>
      </c>
      <c r="CC179" s="59" t="e">
        <f t="shared" si="119"/>
        <v>#NUM!</v>
      </c>
      <c r="CD179" s="59">
        <f ca="1">AVERAGE(OFFSET($CC$3,0,0,'Données projet'!$E$12+1,1))-AVERAGE(OFFSET($H$3,0,0,'Données projet'!$E$12+1,1))</f>
        <v>0</v>
      </c>
      <c r="CE179" s="59">
        <f t="shared" si="148"/>
        <v>0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</v>
      </c>
      <c r="CL179" s="21">
        <f>EXP(-LN(2)/25)*CL178+(1-EXP(-LN(2)/25))/(LN(2)/25)*Calculateur!CG179*Calculateur!CI179*VLOOKUP('Données projet'!$B$12,Paramètres!$A$1:$I$89,3,0)*0.475*44/12</f>
        <v>0</v>
      </c>
      <c r="CM179" s="21">
        <f>EXP(-LN(2)/2)*CM178+(1-EXP(-LN(2)/2))/(LN(2)/2)*CG179*CJ179*VLOOKUP('Données projet'!$B$12,Paramètres!$A$1:$I$89,3,0)*0.475*44/12</f>
        <v>0</v>
      </c>
      <c r="CN179" s="22">
        <f t="shared" si="172"/>
        <v>0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>
        <f>CT179*VLOOKUP('Données projet'!$B$13,Paramètres!$A$1:$I$89,3,0)*VLOOKUP('Données projet'!$B$13,Paramètres!$A$1:$I$89,5,0)</f>
        <v>0</v>
      </c>
      <c r="CV179" s="13" t="e">
        <f t="shared" si="173"/>
        <v>#NUM!</v>
      </c>
      <c r="CW179" s="20" t="e">
        <f t="shared" si="174"/>
        <v>#NUM!</v>
      </c>
      <c r="CX179" s="59" t="e">
        <f t="shared" si="122"/>
        <v>#NUM!</v>
      </c>
      <c r="CY179" s="59">
        <f ca="1">AVERAGE(OFFSET($CX$3,0,0,'Données projet'!$E$13+1,1))-AVERAGE(OFFSET($H$3,0,0,'Données projet'!$E$13+1,1))</f>
        <v>0</v>
      </c>
      <c r="CZ179" s="59">
        <f t="shared" si="150"/>
        <v>0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0</v>
      </c>
      <c r="DG179" s="21">
        <f>EXP(-LN(2)/25)*DG178+(1-EXP(-LN(2)/25))/(LN(2)/25)*Calculateur!DB179*Calculateur!DD179*VLOOKUP('Données projet'!$B$13,Paramètres!$A$1:$I$89,3,0)*0.475*44/12</f>
        <v>0</v>
      </c>
      <c r="DH179" s="21">
        <f>EXP(-LN(2)/2)*DH178+(1-EXP(-LN(2)/2))/(LN(2)/2)*DB179*DE179*VLOOKUP('Données projet'!$B$13,Paramètres!$A$1:$I$89,3,0)*0.475*44/12</f>
        <v>0</v>
      </c>
      <c r="DI179" s="22">
        <f t="shared" si="175"/>
        <v>0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-2.2737367544323206E-13</v>
      </c>
      <c r="O180" s="13">
        <f>N180*VLOOKUP('Données projet'!$B$9,Paramètres!$A$1:$I$89,3,0)*VLOOKUP('Données projet'!$B$9,Paramètres!$A$1:$I$89,5,0)</f>
        <v>-1.3596945791505279E-13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181.92766225683107</v>
      </c>
      <c r="T180" s="59">
        <f t="shared" si="142"/>
        <v>370.52917139565756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3.57627928949384</v>
      </c>
      <c r="AA180" s="21">
        <f>EXP(-LN(2)/25)*AA179+(1-EXP(-LN(2)/25))/(LN(2)/25)*Calculateur!V180*Calculateur!X180*VLOOKUP('Données projet'!$B$9,Paramètres!$A$1:$I$89,3,0)*0.475*44/12</f>
        <v>0.99958558398435804</v>
      </c>
      <c r="AB180" s="21">
        <f>EXP(-LN(2)/2)*AB179+(1-EXP(-LN(2)/2))/(LN(2)/2)*V180*Y180*VLOOKUP('Données projet'!$B$9,Paramètres!$A$1:$I$89,3,0)*0.475*44/12</f>
        <v>3.4021105956120467E-20</v>
      </c>
      <c r="AC180" s="22">
        <f t="shared" si="163"/>
        <v>4.5758648734781984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5.6843418860808015E-14</v>
      </c>
      <c r="AJ180" s="13">
        <f>AI180*VLOOKUP('Données projet'!$B$10,Paramètres!$A$1:$I$89,3,0)*VLOOKUP('Données projet'!$B$10,Paramètres!$A$1:$I$89,5,0)</f>
        <v>4.6111381379887463E-14</v>
      </c>
      <c r="AK180" s="13">
        <f t="shared" si="164"/>
        <v>7.5804141040779151E-13</v>
      </c>
      <c r="AL180" s="20">
        <f t="shared" si="165"/>
        <v>1.4005661123635408E-12</v>
      </c>
      <c r="AM180" s="59">
        <f t="shared" si="113"/>
        <v>293.33333333333474</v>
      </c>
      <c r="AN180" s="59">
        <f ca="1">AVERAGE(OFFSET($AM$3,0,0,'Données projet'!$E$10+1,1))-AVERAGE(OFFSET($H$3,0,0,'Données projet'!$E$10+1,1))</f>
        <v>235.31102883830971</v>
      </c>
      <c r="AO180" s="59">
        <f t="shared" si="144"/>
        <v>271.48630853790422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</v>
      </c>
      <c r="AV180" s="21">
        <f>EXP(-LN(2)/25)*AV179+(1-EXP(-LN(2)/25))/(LN(2)/25)*Calculateur!AQ180*Calculateur!AS180*VLOOKUP('Données projet'!$B$10,Paramètres!$A$1:$I$89,3,0)*0.475*44/12</f>
        <v>0.14444024653378948</v>
      </c>
      <c r="AW180" s="21">
        <f>EXP(-LN(2)/2)*AW179+(1-EXP(-LN(2)/2))/(LN(2)/2)*AQ180*AT180*VLOOKUP('Données projet'!$B$10,Paramètres!$A$1:$I$89,3,0)*0.475*44/12</f>
        <v>8.2149259454855273E-22</v>
      </c>
      <c r="AX180" s="21">
        <f t="shared" si="166"/>
        <v>0.14444024653378948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2.8421709430404007E-14</v>
      </c>
      <c r="BE180" s="13">
        <f>BD180*VLOOKUP('Données projet'!$B$11,Paramètres!$A$1:$I$89,3,0)*VLOOKUP('Données projet'!$B$11,Paramètres!$A$1:$I$89,5,0)</f>
        <v>3.2366642699344085E-14</v>
      </c>
      <c r="BF180" s="13">
        <f t="shared" si="167"/>
        <v>5.5446527398450045E-13</v>
      </c>
      <c r="BG180" s="20">
        <f t="shared" si="168"/>
        <v>1.0220655882243624E-12</v>
      </c>
      <c r="BH180" s="59">
        <f t="shared" si="116"/>
        <v>293.33333333333434</v>
      </c>
      <c r="BI180" s="59">
        <f ca="1">AVERAGE(OFFSET($BH$3,0,0,'Données projet'!$E$11+1,1))-AVERAGE(OFFSET($H$3,0,0,'Données projet'!$E$11+1,1))</f>
        <v>249.01678065306629</v>
      </c>
      <c r="BJ180" s="59">
        <f t="shared" si="146"/>
        <v>99.639724892155641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0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>
        <f>BY180*VLOOKUP('Données projet'!$B$12,Paramètres!$A$1:$I$89,3,0)*VLOOKUP('Données projet'!$B$12,Paramètres!$A$1:$I$89,5,0)</f>
        <v>0</v>
      </c>
      <c r="CA180" s="13" t="e">
        <f t="shared" si="170"/>
        <v>#NUM!</v>
      </c>
      <c r="CB180" s="20" t="e">
        <f t="shared" si="171"/>
        <v>#NUM!</v>
      </c>
      <c r="CC180" s="59" t="e">
        <f t="shared" si="119"/>
        <v>#NUM!</v>
      </c>
      <c r="CD180" s="59">
        <f ca="1">AVERAGE(OFFSET($CC$3,0,0,'Données projet'!$E$12+1,1))-AVERAGE(OFFSET($H$3,0,0,'Données projet'!$E$12+1,1))</f>
        <v>0</v>
      </c>
      <c r="CE180" s="59">
        <f t="shared" si="148"/>
        <v>0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</v>
      </c>
      <c r="CL180" s="21">
        <f>EXP(-LN(2)/25)*CL179+(1-EXP(-LN(2)/25))/(LN(2)/25)*Calculateur!CG180*Calculateur!CI180*VLOOKUP('Données projet'!$B$12,Paramètres!$A$1:$I$89,3,0)*0.475*44/12</f>
        <v>0</v>
      </c>
      <c r="CM180" s="21">
        <f>EXP(-LN(2)/2)*CM179+(1-EXP(-LN(2)/2))/(LN(2)/2)*CG180*CJ180*VLOOKUP('Données projet'!$B$12,Paramètres!$A$1:$I$89,3,0)*0.475*44/12</f>
        <v>0</v>
      </c>
      <c r="CN180" s="22">
        <f t="shared" si="172"/>
        <v>0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>
        <f>CT180*VLOOKUP('Données projet'!$B$13,Paramètres!$A$1:$I$89,3,0)*VLOOKUP('Données projet'!$B$13,Paramètres!$A$1:$I$89,5,0)</f>
        <v>0</v>
      </c>
      <c r="CV180" s="13" t="e">
        <f t="shared" si="173"/>
        <v>#NUM!</v>
      </c>
      <c r="CW180" s="20" t="e">
        <f t="shared" si="174"/>
        <v>#NUM!</v>
      </c>
      <c r="CX180" s="59" t="e">
        <f t="shared" si="122"/>
        <v>#NUM!</v>
      </c>
      <c r="CY180" s="59">
        <f ca="1">AVERAGE(OFFSET($CX$3,0,0,'Données projet'!$E$13+1,1))-AVERAGE(OFFSET($H$3,0,0,'Données projet'!$E$13+1,1))</f>
        <v>0</v>
      </c>
      <c r="CZ180" s="59">
        <f t="shared" si="150"/>
        <v>0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0</v>
      </c>
      <c r="DG180" s="21">
        <f>EXP(-LN(2)/25)*DG179+(1-EXP(-LN(2)/25))/(LN(2)/25)*Calculateur!DB180*Calculateur!DD180*VLOOKUP('Données projet'!$B$13,Paramètres!$A$1:$I$89,3,0)*0.475*44/12</f>
        <v>0</v>
      </c>
      <c r="DH180" s="21">
        <f>EXP(-LN(2)/2)*DH179+(1-EXP(-LN(2)/2))/(LN(2)/2)*DB180*DE180*VLOOKUP('Données projet'!$B$13,Paramètres!$A$1:$I$89,3,0)*0.475*44/12</f>
        <v>0</v>
      </c>
      <c r="DI180" s="22">
        <f t="shared" si="175"/>
        <v>0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-2.2737367544323206E-13</v>
      </c>
      <c r="O181" s="13">
        <f>N181*VLOOKUP('Données projet'!$B$9,Paramètres!$A$1:$I$89,3,0)*VLOOKUP('Données projet'!$B$9,Paramètres!$A$1:$I$89,5,0)</f>
        <v>-1.3596945791505279E-13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181.92766225683107</v>
      </c>
      <c r="T181" s="59">
        <f t="shared" si="142"/>
        <v>370.52917139565756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3.5061506339418456</v>
      </c>
      <c r="AA181" s="21">
        <f>EXP(-LN(2)/25)*AA180+(1-EXP(-LN(2)/25))/(LN(2)/25)*Calculateur!V181*Calculateur!X181*VLOOKUP('Données projet'!$B$9,Paramètres!$A$1:$I$89,3,0)*0.475*44/12</f>
        <v>0.97225186362438454</v>
      </c>
      <c r="AB181" s="21">
        <f>EXP(-LN(2)/2)*AB180+(1-EXP(-LN(2)/2))/(LN(2)/2)*V181*Y181*VLOOKUP('Données projet'!$B$9,Paramètres!$A$1:$I$89,3,0)*0.475*44/12</f>
        <v>2.4056554725038824E-20</v>
      </c>
      <c r="AC181" s="22">
        <f t="shared" si="163"/>
        <v>4.47840249756623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5.6843418860808015E-14</v>
      </c>
      <c r="AJ181" s="13">
        <f>AI181*VLOOKUP('Données projet'!$B$10,Paramètres!$A$1:$I$89,3,0)*VLOOKUP('Données projet'!$B$10,Paramètres!$A$1:$I$89,5,0)</f>
        <v>4.6111381379887463E-14</v>
      </c>
      <c r="AK181" s="13">
        <f t="shared" si="164"/>
        <v>7.5804141040779151E-13</v>
      </c>
      <c r="AL181" s="20">
        <f t="shared" si="165"/>
        <v>1.4005661123635408E-12</v>
      </c>
      <c r="AM181" s="59">
        <f t="shared" si="113"/>
        <v>293.33333333333474</v>
      </c>
      <c r="AN181" s="59">
        <f ca="1">AVERAGE(OFFSET($AM$3,0,0,'Données projet'!$E$10+1,1))-AVERAGE(OFFSET($H$3,0,0,'Données projet'!$E$10+1,1))</f>
        <v>235.31102883830971</v>
      </c>
      <c r="AO181" s="59">
        <f t="shared" si="144"/>
        <v>271.48630853790422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</v>
      </c>
      <c r="AV181" s="21">
        <f>EXP(-LN(2)/25)*AV180+(1-EXP(-LN(2)/25))/(LN(2)/25)*Calculateur!AQ181*Calculateur!AS181*VLOOKUP('Données projet'!$B$10,Paramètres!$A$1:$I$89,3,0)*0.475*44/12</f>
        <v>0.14049052039654056</v>
      </c>
      <c r="AW181" s="21">
        <f>EXP(-LN(2)/2)*AW180+(1-EXP(-LN(2)/2))/(LN(2)/2)*AQ181*AT181*VLOOKUP('Données projet'!$B$10,Paramètres!$A$1:$I$89,3,0)*0.475*44/12</f>
        <v>5.8088298429981267E-22</v>
      </c>
      <c r="AX181" s="21">
        <f t="shared" si="166"/>
        <v>0.14049052039654056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2.8421709430404007E-14</v>
      </c>
      <c r="BE181" s="13">
        <f>BD181*VLOOKUP('Données projet'!$B$11,Paramètres!$A$1:$I$89,3,0)*VLOOKUP('Données projet'!$B$11,Paramètres!$A$1:$I$89,5,0)</f>
        <v>3.2366642699344085E-14</v>
      </c>
      <c r="BF181" s="13">
        <f t="shared" si="167"/>
        <v>5.5446527398450045E-13</v>
      </c>
      <c r="BG181" s="20">
        <f t="shared" si="168"/>
        <v>1.0220655882243624E-12</v>
      </c>
      <c r="BH181" s="59">
        <f t="shared" si="116"/>
        <v>293.33333333333434</v>
      </c>
      <c r="BI181" s="59">
        <f ca="1">AVERAGE(OFFSET($BH$3,0,0,'Données projet'!$E$11+1,1))-AVERAGE(OFFSET($H$3,0,0,'Données projet'!$E$11+1,1))</f>
        <v>249.01678065306629</v>
      </c>
      <c r="BJ181" s="59">
        <f t="shared" si="146"/>
        <v>99.639724892155641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0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>
        <f>BY181*VLOOKUP('Données projet'!$B$12,Paramètres!$A$1:$I$89,3,0)*VLOOKUP('Données projet'!$B$12,Paramètres!$A$1:$I$89,5,0)</f>
        <v>0</v>
      </c>
      <c r="CA181" s="13" t="e">
        <f t="shared" si="170"/>
        <v>#NUM!</v>
      </c>
      <c r="CB181" s="20" t="e">
        <f t="shared" si="171"/>
        <v>#NUM!</v>
      </c>
      <c r="CC181" s="59" t="e">
        <f t="shared" si="119"/>
        <v>#NUM!</v>
      </c>
      <c r="CD181" s="59">
        <f ca="1">AVERAGE(OFFSET($CC$3,0,0,'Données projet'!$E$12+1,1))-AVERAGE(OFFSET($H$3,0,0,'Données projet'!$E$12+1,1))</f>
        <v>0</v>
      </c>
      <c r="CE181" s="59">
        <f t="shared" si="148"/>
        <v>0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</v>
      </c>
      <c r="CL181" s="21">
        <f>EXP(-LN(2)/25)*CL180+(1-EXP(-LN(2)/25))/(LN(2)/25)*Calculateur!CG181*Calculateur!CI181*VLOOKUP('Données projet'!$B$12,Paramètres!$A$1:$I$89,3,0)*0.475*44/12</f>
        <v>0</v>
      </c>
      <c r="CM181" s="21">
        <f>EXP(-LN(2)/2)*CM180+(1-EXP(-LN(2)/2))/(LN(2)/2)*CG181*CJ181*VLOOKUP('Données projet'!$B$12,Paramètres!$A$1:$I$89,3,0)*0.475*44/12</f>
        <v>0</v>
      </c>
      <c r="CN181" s="22">
        <f t="shared" si="172"/>
        <v>0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>
        <f>CT181*VLOOKUP('Données projet'!$B$13,Paramètres!$A$1:$I$89,3,0)*VLOOKUP('Données projet'!$B$13,Paramètres!$A$1:$I$89,5,0)</f>
        <v>0</v>
      </c>
      <c r="CV181" s="13" t="e">
        <f t="shared" si="173"/>
        <v>#NUM!</v>
      </c>
      <c r="CW181" s="20" t="e">
        <f t="shared" si="174"/>
        <v>#NUM!</v>
      </c>
      <c r="CX181" s="59" t="e">
        <f t="shared" si="122"/>
        <v>#NUM!</v>
      </c>
      <c r="CY181" s="59">
        <f ca="1">AVERAGE(OFFSET($CX$3,0,0,'Données projet'!$E$13+1,1))-AVERAGE(OFFSET($H$3,0,0,'Données projet'!$E$13+1,1))</f>
        <v>0</v>
      </c>
      <c r="CZ181" s="59">
        <f t="shared" si="150"/>
        <v>0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0</v>
      </c>
      <c r="DG181" s="21">
        <f>EXP(-LN(2)/25)*DG180+(1-EXP(-LN(2)/25))/(LN(2)/25)*Calculateur!DB181*Calculateur!DD181*VLOOKUP('Données projet'!$B$13,Paramètres!$A$1:$I$89,3,0)*0.475*44/12</f>
        <v>0</v>
      </c>
      <c r="DH181" s="21">
        <f>EXP(-LN(2)/2)*DH180+(1-EXP(-LN(2)/2))/(LN(2)/2)*DB181*DE181*VLOOKUP('Données projet'!$B$13,Paramètres!$A$1:$I$89,3,0)*0.475*44/12</f>
        <v>0</v>
      </c>
      <c r="DI181" s="22">
        <f t="shared" si="175"/>
        <v>0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-2.2737367544323206E-13</v>
      </c>
      <c r="O182" s="13">
        <f>N182*VLOOKUP('Données projet'!$B$9,Paramètres!$A$1:$I$89,3,0)*VLOOKUP('Données projet'!$B$9,Paramètres!$A$1:$I$89,5,0)</f>
        <v>-1.3596945791505279E-13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181.92766225683107</v>
      </c>
      <c r="T182" s="59">
        <f t="shared" si="142"/>
        <v>370.52917139565756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3.4373971585509695</v>
      </c>
      <c r="AA182" s="21">
        <f>EXP(-LN(2)/25)*AA181+(1-EXP(-LN(2)/25))/(LN(2)/25)*Calculateur!V182*Calculateur!X182*VLOOKUP('Données projet'!$B$9,Paramètres!$A$1:$I$89,3,0)*0.475*44/12</f>
        <v>0.94566558528507239</v>
      </c>
      <c r="AB182" s="21">
        <f>EXP(-LN(2)/2)*AB181+(1-EXP(-LN(2)/2))/(LN(2)/2)*V182*Y182*VLOOKUP('Données projet'!$B$9,Paramètres!$A$1:$I$89,3,0)*0.475*44/12</f>
        <v>1.7010552978060233E-20</v>
      </c>
      <c r="AC182" s="22">
        <f t="shared" si="163"/>
        <v>4.3830627438360423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5.6843418860808015E-14</v>
      </c>
      <c r="AJ182" s="13">
        <f>AI182*VLOOKUP('Données projet'!$B$10,Paramètres!$A$1:$I$89,3,0)*VLOOKUP('Données projet'!$B$10,Paramètres!$A$1:$I$89,5,0)</f>
        <v>4.6111381379887463E-14</v>
      </c>
      <c r="AK182" s="13">
        <f t="shared" si="164"/>
        <v>7.5804141040779151E-13</v>
      </c>
      <c r="AL182" s="20">
        <f t="shared" si="165"/>
        <v>1.4005661123635408E-12</v>
      </c>
      <c r="AM182" s="59">
        <f t="shared" si="113"/>
        <v>293.33333333333474</v>
      </c>
      <c r="AN182" s="59">
        <f ca="1">AVERAGE(OFFSET($AM$3,0,0,'Données projet'!$E$10+1,1))-AVERAGE(OFFSET($H$3,0,0,'Données projet'!$E$10+1,1))</f>
        <v>235.31102883830971</v>
      </c>
      <c r="AO182" s="59">
        <f t="shared" si="144"/>
        <v>271.48630853790422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</v>
      </c>
      <c r="AV182" s="21">
        <f>EXP(-LN(2)/25)*AV181+(1-EXP(-LN(2)/25))/(LN(2)/25)*Calculateur!AQ182*Calculateur!AS182*VLOOKUP('Données projet'!$B$10,Paramètres!$A$1:$I$89,3,0)*0.475*44/12</f>
        <v>0.13664879972822178</v>
      </c>
      <c r="AW182" s="21">
        <f>EXP(-LN(2)/2)*AW181+(1-EXP(-LN(2)/2))/(LN(2)/2)*AQ182*AT182*VLOOKUP('Données projet'!$B$10,Paramètres!$A$1:$I$89,3,0)*0.475*44/12</f>
        <v>4.1074629727427636E-22</v>
      </c>
      <c r="AX182" s="21">
        <f t="shared" si="166"/>
        <v>0.13664879972822178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2.8421709430404007E-14</v>
      </c>
      <c r="BE182" s="13">
        <f>BD182*VLOOKUP('Données projet'!$B$11,Paramètres!$A$1:$I$89,3,0)*VLOOKUP('Données projet'!$B$11,Paramètres!$A$1:$I$89,5,0)</f>
        <v>3.2366642699344085E-14</v>
      </c>
      <c r="BF182" s="13">
        <f t="shared" si="167"/>
        <v>5.5446527398450045E-13</v>
      </c>
      <c r="BG182" s="20">
        <f t="shared" si="168"/>
        <v>1.0220655882243624E-12</v>
      </c>
      <c r="BH182" s="59">
        <f t="shared" si="116"/>
        <v>293.33333333333434</v>
      </c>
      <c r="BI182" s="59">
        <f ca="1">AVERAGE(OFFSET($BH$3,0,0,'Données projet'!$E$11+1,1))-AVERAGE(OFFSET($H$3,0,0,'Données projet'!$E$11+1,1))</f>
        <v>249.01678065306629</v>
      </c>
      <c r="BJ182" s="59">
        <f t="shared" si="146"/>
        <v>99.639724892155641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0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>
        <f>BY182*VLOOKUP('Données projet'!$B$12,Paramètres!$A$1:$I$89,3,0)*VLOOKUP('Données projet'!$B$12,Paramètres!$A$1:$I$89,5,0)</f>
        <v>0</v>
      </c>
      <c r="CA182" s="13" t="e">
        <f t="shared" si="170"/>
        <v>#NUM!</v>
      </c>
      <c r="CB182" s="20" t="e">
        <f t="shared" si="171"/>
        <v>#NUM!</v>
      </c>
      <c r="CC182" s="59" t="e">
        <f t="shared" si="119"/>
        <v>#NUM!</v>
      </c>
      <c r="CD182" s="59">
        <f ca="1">AVERAGE(OFFSET($CC$3,0,0,'Données projet'!$E$12+1,1))-AVERAGE(OFFSET($H$3,0,0,'Données projet'!$E$12+1,1))</f>
        <v>0</v>
      </c>
      <c r="CE182" s="59">
        <f t="shared" si="148"/>
        <v>0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</v>
      </c>
      <c r="CL182" s="21">
        <f>EXP(-LN(2)/25)*CL181+(1-EXP(-LN(2)/25))/(LN(2)/25)*Calculateur!CG182*Calculateur!CI182*VLOOKUP('Données projet'!$B$12,Paramètres!$A$1:$I$89,3,0)*0.475*44/12</f>
        <v>0</v>
      </c>
      <c r="CM182" s="21">
        <f>EXP(-LN(2)/2)*CM181+(1-EXP(-LN(2)/2))/(LN(2)/2)*CG182*CJ182*VLOOKUP('Données projet'!$B$12,Paramètres!$A$1:$I$89,3,0)*0.475*44/12</f>
        <v>0</v>
      </c>
      <c r="CN182" s="22">
        <f t="shared" si="172"/>
        <v>0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>
        <f>CT182*VLOOKUP('Données projet'!$B$13,Paramètres!$A$1:$I$89,3,0)*VLOOKUP('Données projet'!$B$13,Paramètres!$A$1:$I$89,5,0)</f>
        <v>0</v>
      </c>
      <c r="CV182" s="13" t="e">
        <f t="shared" si="173"/>
        <v>#NUM!</v>
      </c>
      <c r="CW182" s="20" t="e">
        <f t="shared" si="174"/>
        <v>#NUM!</v>
      </c>
      <c r="CX182" s="59" t="e">
        <f t="shared" si="122"/>
        <v>#NUM!</v>
      </c>
      <c r="CY182" s="59">
        <f ca="1">AVERAGE(OFFSET($CX$3,0,0,'Données projet'!$E$13+1,1))-AVERAGE(OFFSET($H$3,0,0,'Données projet'!$E$13+1,1))</f>
        <v>0</v>
      </c>
      <c r="CZ182" s="59">
        <f t="shared" si="150"/>
        <v>0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0</v>
      </c>
      <c r="DG182" s="21">
        <f>EXP(-LN(2)/25)*DG181+(1-EXP(-LN(2)/25))/(LN(2)/25)*Calculateur!DB182*Calculateur!DD182*VLOOKUP('Données projet'!$B$13,Paramètres!$A$1:$I$89,3,0)*0.475*44/12</f>
        <v>0</v>
      </c>
      <c r="DH182" s="21">
        <f>EXP(-LN(2)/2)*DH181+(1-EXP(-LN(2)/2))/(LN(2)/2)*DB182*DE182*VLOOKUP('Données projet'!$B$13,Paramètres!$A$1:$I$89,3,0)*0.475*44/12</f>
        <v>0</v>
      </c>
      <c r="DI182" s="22">
        <f t="shared" si="175"/>
        <v>0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-2.2737367544323206E-13</v>
      </c>
      <c r="O183" s="13">
        <f>N183*VLOOKUP('Données projet'!$B$9,Paramètres!$A$1:$I$89,3,0)*VLOOKUP('Données projet'!$B$9,Paramètres!$A$1:$I$89,5,0)</f>
        <v>-1.3596945791505279E-13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181.92766225683107</v>
      </c>
      <c r="T183" s="59">
        <f t="shared" si="142"/>
        <v>370.52917139565756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3.3699918968770293</v>
      </c>
      <c r="AA183" s="21">
        <f>EXP(-LN(2)/25)*AA182+(1-EXP(-LN(2)/25))/(LN(2)/25)*Calculateur!V183*Calculateur!X183*VLOOKUP('Données projet'!$B$9,Paramètres!$A$1:$I$89,3,0)*0.475*44/12</f>
        <v>0.91980631012506031</v>
      </c>
      <c r="AB183" s="21">
        <f>EXP(-LN(2)/2)*AB182+(1-EXP(-LN(2)/2))/(LN(2)/2)*V183*Y183*VLOOKUP('Données projet'!$B$9,Paramètres!$A$1:$I$89,3,0)*0.475*44/12</f>
        <v>1.2028277362519412E-20</v>
      </c>
      <c r="AC183" s="22">
        <f t="shared" si="163"/>
        <v>4.2897982070020895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5.6843418860808015E-14</v>
      </c>
      <c r="AJ183" s="13">
        <f>AI183*VLOOKUP('Données projet'!$B$10,Paramètres!$A$1:$I$89,3,0)*VLOOKUP('Données projet'!$B$10,Paramètres!$A$1:$I$89,5,0)</f>
        <v>4.6111381379887463E-14</v>
      </c>
      <c r="AK183" s="13">
        <f t="shared" si="164"/>
        <v>7.5804141040779151E-13</v>
      </c>
      <c r="AL183" s="20">
        <f t="shared" si="165"/>
        <v>1.4005661123635408E-12</v>
      </c>
      <c r="AM183" s="59">
        <f t="shared" si="113"/>
        <v>293.33333333333474</v>
      </c>
      <c r="AN183" s="59">
        <f ca="1">AVERAGE(OFFSET($AM$3,0,0,'Données projet'!$E$10+1,1))-AVERAGE(OFFSET($H$3,0,0,'Données projet'!$E$10+1,1))</f>
        <v>235.31102883830971</v>
      </c>
      <c r="AO183" s="59">
        <f t="shared" si="144"/>
        <v>271.48630853790422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</v>
      </c>
      <c r="AV183" s="21">
        <f>EXP(-LN(2)/25)*AV182+(1-EXP(-LN(2)/25))/(LN(2)/25)*Calculateur!AQ183*Calculateur!AS183*VLOOKUP('Données projet'!$B$10,Paramètres!$A$1:$I$89,3,0)*0.475*44/12</f>
        <v>0.13291213111360548</v>
      </c>
      <c r="AW183" s="21">
        <f>EXP(-LN(2)/2)*AW182+(1-EXP(-LN(2)/2))/(LN(2)/2)*AQ183*AT183*VLOOKUP('Données projet'!$B$10,Paramètres!$A$1:$I$89,3,0)*0.475*44/12</f>
        <v>2.9044149214990634E-22</v>
      </c>
      <c r="AX183" s="21">
        <f t="shared" si="166"/>
        <v>0.13291213111360548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2.8421709430404007E-14</v>
      </c>
      <c r="BE183" s="13">
        <f>BD183*VLOOKUP('Données projet'!$B$11,Paramètres!$A$1:$I$89,3,0)*VLOOKUP('Données projet'!$B$11,Paramètres!$A$1:$I$89,5,0)</f>
        <v>3.2366642699344085E-14</v>
      </c>
      <c r="BF183" s="13">
        <f t="shared" si="167"/>
        <v>5.5446527398450045E-13</v>
      </c>
      <c r="BG183" s="20">
        <f t="shared" si="168"/>
        <v>1.0220655882243624E-12</v>
      </c>
      <c r="BH183" s="59">
        <f t="shared" si="116"/>
        <v>293.33333333333434</v>
      </c>
      <c r="BI183" s="59">
        <f ca="1">AVERAGE(OFFSET($BH$3,0,0,'Données projet'!$E$11+1,1))-AVERAGE(OFFSET($H$3,0,0,'Données projet'!$E$11+1,1))</f>
        <v>249.01678065306629</v>
      </c>
      <c r="BJ183" s="59">
        <f t="shared" si="146"/>
        <v>99.639724892155641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0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>
        <f>BY183*VLOOKUP('Données projet'!$B$12,Paramètres!$A$1:$I$89,3,0)*VLOOKUP('Données projet'!$B$12,Paramètres!$A$1:$I$89,5,0)</f>
        <v>0</v>
      </c>
      <c r="CA183" s="13" t="e">
        <f t="shared" si="170"/>
        <v>#NUM!</v>
      </c>
      <c r="CB183" s="20" t="e">
        <f t="shared" si="171"/>
        <v>#NUM!</v>
      </c>
      <c r="CC183" s="59" t="e">
        <f t="shared" si="119"/>
        <v>#NUM!</v>
      </c>
      <c r="CD183" s="59">
        <f ca="1">AVERAGE(OFFSET($CC$3,0,0,'Données projet'!$E$12+1,1))-AVERAGE(OFFSET($H$3,0,0,'Données projet'!$E$12+1,1))</f>
        <v>0</v>
      </c>
      <c r="CE183" s="59">
        <f t="shared" si="148"/>
        <v>0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</v>
      </c>
      <c r="CL183" s="21">
        <f>EXP(-LN(2)/25)*CL182+(1-EXP(-LN(2)/25))/(LN(2)/25)*Calculateur!CG183*Calculateur!CI183*VLOOKUP('Données projet'!$B$12,Paramètres!$A$1:$I$89,3,0)*0.475*44/12</f>
        <v>0</v>
      </c>
      <c r="CM183" s="21">
        <f>EXP(-LN(2)/2)*CM182+(1-EXP(-LN(2)/2))/(LN(2)/2)*CG183*CJ183*VLOOKUP('Données projet'!$B$12,Paramètres!$A$1:$I$89,3,0)*0.475*44/12</f>
        <v>0</v>
      </c>
      <c r="CN183" s="22">
        <f t="shared" si="172"/>
        <v>0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>
        <f>CT183*VLOOKUP('Données projet'!$B$13,Paramètres!$A$1:$I$89,3,0)*VLOOKUP('Données projet'!$B$13,Paramètres!$A$1:$I$89,5,0)</f>
        <v>0</v>
      </c>
      <c r="CV183" s="13" t="e">
        <f t="shared" si="173"/>
        <v>#NUM!</v>
      </c>
      <c r="CW183" s="20" t="e">
        <f t="shared" si="174"/>
        <v>#NUM!</v>
      </c>
      <c r="CX183" s="59" t="e">
        <f t="shared" si="122"/>
        <v>#NUM!</v>
      </c>
      <c r="CY183" s="59">
        <f ca="1">AVERAGE(OFFSET($CX$3,0,0,'Données projet'!$E$13+1,1))-AVERAGE(OFFSET($H$3,0,0,'Données projet'!$E$13+1,1))</f>
        <v>0</v>
      </c>
      <c r="CZ183" s="59">
        <f t="shared" si="150"/>
        <v>0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0</v>
      </c>
      <c r="DG183" s="21">
        <f>EXP(-LN(2)/25)*DG182+(1-EXP(-LN(2)/25))/(LN(2)/25)*Calculateur!DB183*Calculateur!DD183*VLOOKUP('Données projet'!$B$13,Paramètres!$A$1:$I$89,3,0)*0.475*44/12</f>
        <v>0</v>
      </c>
      <c r="DH183" s="21">
        <f>EXP(-LN(2)/2)*DH182+(1-EXP(-LN(2)/2))/(LN(2)/2)*DB183*DE183*VLOOKUP('Données projet'!$B$13,Paramètres!$A$1:$I$89,3,0)*0.475*44/12</f>
        <v>0</v>
      </c>
      <c r="DI183" s="22">
        <f t="shared" si="175"/>
        <v>0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-2.2737367544323206E-13</v>
      </c>
      <c r="O184" s="13">
        <f>N184*VLOOKUP('Données projet'!$B$9,Paramètres!$A$1:$I$89,3,0)*VLOOKUP('Données projet'!$B$9,Paramètres!$A$1:$I$89,5,0)</f>
        <v>-1.3596945791505279E-13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181.92766225683107</v>
      </c>
      <c r="T184" s="59">
        <f t="shared" si="142"/>
        <v>370.52917139565756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3.3039084112713648</v>
      </c>
      <c r="AA184" s="21">
        <f>EXP(-LN(2)/25)*AA183+(1-EXP(-LN(2)/25))/(LN(2)/25)*Calculateur!V184*Calculateur!X184*VLOOKUP('Données projet'!$B$9,Paramètres!$A$1:$I$89,3,0)*0.475*44/12</f>
        <v>0.89465415820417893</v>
      </c>
      <c r="AB184" s="21">
        <f>EXP(-LN(2)/2)*AB183+(1-EXP(-LN(2)/2))/(LN(2)/2)*V184*Y184*VLOOKUP('Données projet'!$B$9,Paramètres!$A$1:$I$89,3,0)*0.475*44/12</f>
        <v>8.5052764890301167E-21</v>
      </c>
      <c r="AC184" s="22">
        <f t="shared" si="163"/>
        <v>4.198562569475544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5.6843418860808015E-14</v>
      </c>
      <c r="AJ184" s="13">
        <f>AI184*VLOOKUP('Données projet'!$B$10,Paramètres!$A$1:$I$89,3,0)*VLOOKUP('Données projet'!$B$10,Paramètres!$A$1:$I$89,5,0)</f>
        <v>4.6111381379887463E-14</v>
      </c>
      <c r="AK184" s="13">
        <f t="shared" si="164"/>
        <v>7.5804141040779151E-13</v>
      </c>
      <c r="AL184" s="20">
        <f t="shared" si="165"/>
        <v>1.4005661123635408E-12</v>
      </c>
      <c r="AM184" s="59">
        <f t="shared" si="113"/>
        <v>293.33333333333474</v>
      </c>
      <c r="AN184" s="59">
        <f ca="1">AVERAGE(OFFSET($AM$3,0,0,'Données projet'!$E$10+1,1))-AVERAGE(OFFSET($H$3,0,0,'Données projet'!$E$10+1,1))</f>
        <v>235.31102883830971</v>
      </c>
      <c r="AO184" s="59">
        <f t="shared" si="144"/>
        <v>271.48630853790422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</v>
      </c>
      <c r="AV184" s="21">
        <f>EXP(-LN(2)/25)*AV183+(1-EXP(-LN(2)/25))/(LN(2)/25)*Calculateur!AQ184*Calculateur!AS184*VLOOKUP('Données projet'!$B$10,Paramètres!$A$1:$I$89,3,0)*0.475*44/12</f>
        <v>0.12927764189875873</v>
      </c>
      <c r="AW184" s="21">
        <f>EXP(-LN(2)/2)*AW183+(1-EXP(-LN(2)/2))/(LN(2)/2)*AQ184*AT184*VLOOKUP('Données projet'!$B$10,Paramètres!$A$1:$I$89,3,0)*0.475*44/12</f>
        <v>2.0537314863713818E-22</v>
      </c>
      <c r="AX184" s="21">
        <f t="shared" si="166"/>
        <v>0.12927764189875873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2.8421709430404007E-14</v>
      </c>
      <c r="BE184" s="13">
        <f>BD184*VLOOKUP('Données projet'!$B$11,Paramètres!$A$1:$I$89,3,0)*VLOOKUP('Données projet'!$B$11,Paramètres!$A$1:$I$89,5,0)</f>
        <v>3.2366642699344085E-14</v>
      </c>
      <c r="BF184" s="13">
        <f t="shared" si="167"/>
        <v>5.5446527398450045E-13</v>
      </c>
      <c r="BG184" s="20">
        <f t="shared" si="168"/>
        <v>1.0220655882243624E-12</v>
      </c>
      <c r="BH184" s="59">
        <f t="shared" si="116"/>
        <v>293.33333333333434</v>
      </c>
      <c r="BI184" s="59">
        <f ca="1">AVERAGE(OFFSET($BH$3,0,0,'Données projet'!$E$11+1,1))-AVERAGE(OFFSET($H$3,0,0,'Données projet'!$E$11+1,1))</f>
        <v>249.01678065306629</v>
      </c>
      <c r="BJ184" s="59">
        <f t="shared" si="146"/>
        <v>99.639724892155641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0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>
        <f>BY184*VLOOKUP('Données projet'!$B$12,Paramètres!$A$1:$I$89,3,0)*VLOOKUP('Données projet'!$B$12,Paramètres!$A$1:$I$89,5,0)</f>
        <v>0</v>
      </c>
      <c r="CA184" s="13" t="e">
        <f t="shared" si="170"/>
        <v>#NUM!</v>
      </c>
      <c r="CB184" s="20" t="e">
        <f t="shared" si="171"/>
        <v>#NUM!</v>
      </c>
      <c r="CC184" s="59" t="e">
        <f t="shared" si="119"/>
        <v>#NUM!</v>
      </c>
      <c r="CD184" s="59">
        <f ca="1">AVERAGE(OFFSET($CC$3,0,0,'Données projet'!$E$12+1,1))-AVERAGE(OFFSET($H$3,0,0,'Données projet'!$E$12+1,1))</f>
        <v>0</v>
      </c>
      <c r="CE184" s="59">
        <f t="shared" si="148"/>
        <v>0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</v>
      </c>
      <c r="CL184" s="21">
        <f>EXP(-LN(2)/25)*CL183+(1-EXP(-LN(2)/25))/(LN(2)/25)*Calculateur!CG184*Calculateur!CI184*VLOOKUP('Données projet'!$B$12,Paramètres!$A$1:$I$89,3,0)*0.475*44/12</f>
        <v>0</v>
      </c>
      <c r="CM184" s="21">
        <f>EXP(-LN(2)/2)*CM183+(1-EXP(-LN(2)/2))/(LN(2)/2)*CG184*CJ184*VLOOKUP('Données projet'!$B$12,Paramètres!$A$1:$I$89,3,0)*0.475*44/12</f>
        <v>0</v>
      </c>
      <c r="CN184" s="22">
        <f t="shared" si="172"/>
        <v>0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>
        <f>CT184*VLOOKUP('Données projet'!$B$13,Paramètres!$A$1:$I$89,3,0)*VLOOKUP('Données projet'!$B$13,Paramètres!$A$1:$I$89,5,0)</f>
        <v>0</v>
      </c>
      <c r="CV184" s="13" t="e">
        <f t="shared" si="173"/>
        <v>#NUM!</v>
      </c>
      <c r="CW184" s="20" t="e">
        <f t="shared" si="174"/>
        <v>#NUM!</v>
      </c>
      <c r="CX184" s="59" t="e">
        <f t="shared" si="122"/>
        <v>#NUM!</v>
      </c>
      <c r="CY184" s="59">
        <f ca="1">AVERAGE(OFFSET($CX$3,0,0,'Données projet'!$E$13+1,1))-AVERAGE(OFFSET($H$3,0,0,'Données projet'!$E$13+1,1))</f>
        <v>0</v>
      </c>
      <c r="CZ184" s="59">
        <f t="shared" si="150"/>
        <v>0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0</v>
      </c>
      <c r="DG184" s="21">
        <f>EXP(-LN(2)/25)*DG183+(1-EXP(-LN(2)/25))/(LN(2)/25)*Calculateur!DB184*Calculateur!DD184*VLOOKUP('Données projet'!$B$13,Paramètres!$A$1:$I$89,3,0)*0.475*44/12</f>
        <v>0</v>
      </c>
      <c r="DH184" s="21">
        <f>EXP(-LN(2)/2)*DH183+(1-EXP(-LN(2)/2))/(LN(2)/2)*DB184*DE184*VLOOKUP('Données projet'!$B$13,Paramètres!$A$1:$I$89,3,0)*0.475*44/12</f>
        <v>0</v>
      </c>
      <c r="DI184" s="22">
        <f t="shared" si="175"/>
        <v>0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-2.2737367544323206E-13</v>
      </c>
      <c r="O185" s="13">
        <f>N185*VLOOKUP('Données projet'!$B$9,Paramètres!$A$1:$I$89,3,0)*VLOOKUP('Données projet'!$B$9,Paramètres!$A$1:$I$89,5,0)</f>
        <v>-1.3596945791505279E-13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181.92766225683107</v>
      </c>
      <c r="T185" s="59">
        <f t="shared" si="142"/>
        <v>370.52917139565756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3.2391207825114812</v>
      </c>
      <c r="AA185" s="21">
        <f>EXP(-LN(2)/25)*AA184+(1-EXP(-LN(2)/25))/(LN(2)/25)*Calculateur!V185*Calculateur!X185*VLOOKUP('Données projet'!$B$9,Paramètres!$A$1:$I$89,3,0)*0.475*44/12</f>
        <v>0.87018979320026824</v>
      </c>
      <c r="AB185" s="21">
        <f>EXP(-LN(2)/2)*AB184+(1-EXP(-LN(2)/2))/(LN(2)/2)*V185*Y185*VLOOKUP('Données projet'!$B$9,Paramètres!$A$1:$I$89,3,0)*0.475*44/12</f>
        <v>6.014138681259706E-21</v>
      </c>
      <c r="AC185" s="22">
        <f t="shared" si="163"/>
        <v>4.1093105757117492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5.6843418860808015E-14</v>
      </c>
      <c r="AJ185" s="13">
        <f>AI185*VLOOKUP('Données projet'!$B$10,Paramètres!$A$1:$I$89,3,0)*VLOOKUP('Données projet'!$B$10,Paramètres!$A$1:$I$89,5,0)</f>
        <v>4.6111381379887463E-14</v>
      </c>
      <c r="AK185" s="13">
        <f t="shared" si="164"/>
        <v>7.5804141040779151E-13</v>
      </c>
      <c r="AL185" s="20">
        <f t="shared" si="165"/>
        <v>1.4005661123635408E-12</v>
      </c>
      <c r="AM185" s="59">
        <f t="shared" si="113"/>
        <v>293.33333333333474</v>
      </c>
      <c r="AN185" s="59">
        <f ca="1">AVERAGE(OFFSET($AM$3,0,0,'Données projet'!$E$10+1,1))-AVERAGE(OFFSET($H$3,0,0,'Données projet'!$E$10+1,1))</f>
        <v>235.31102883830971</v>
      </c>
      <c r="AO185" s="59">
        <f t="shared" si="144"/>
        <v>271.48630853790422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</v>
      </c>
      <c r="AV185" s="21">
        <f>EXP(-LN(2)/25)*AV184+(1-EXP(-LN(2)/25))/(LN(2)/25)*Calculateur!AQ185*Calculateur!AS185*VLOOKUP('Données projet'!$B$10,Paramètres!$A$1:$I$89,3,0)*0.475*44/12</f>
        <v>0.12574253798262144</v>
      </c>
      <c r="AW185" s="21">
        <f>EXP(-LN(2)/2)*AW184+(1-EXP(-LN(2)/2))/(LN(2)/2)*AQ185*AT185*VLOOKUP('Données projet'!$B$10,Paramètres!$A$1:$I$89,3,0)*0.475*44/12</f>
        <v>1.4522074607495317E-22</v>
      </c>
      <c r="AX185" s="21">
        <f t="shared" si="166"/>
        <v>0.12574253798262144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2.8421709430404007E-14</v>
      </c>
      <c r="BE185" s="13">
        <f>BD185*VLOOKUP('Données projet'!$B$11,Paramètres!$A$1:$I$89,3,0)*VLOOKUP('Données projet'!$B$11,Paramètres!$A$1:$I$89,5,0)</f>
        <v>3.2366642699344085E-14</v>
      </c>
      <c r="BF185" s="13">
        <f t="shared" si="167"/>
        <v>5.5446527398450045E-13</v>
      </c>
      <c r="BG185" s="20">
        <f t="shared" si="168"/>
        <v>1.0220655882243624E-12</v>
      </c>
      <c r="BH185" s="59">
        <f t="shared" si="116"/>
        <v>293.33333333333434</v>
      </c>
      <c r="BI185" s="59">
        <f ca="1">AVERAGE(OFFSET($BH$3,0,0,'Données projet'!$E$11+1,1))-AVERAGE(OFFSET($H$3,0,0,'Données projet'!$E$11+1,1))</f>
        <v>249.01678065306629</v>
      </c>
      <c r="BJ185" s="59">
        <f t="shared" si="146"/>
        <v>99.639724892155641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0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>
        <f>BY185*VLOOKUP('Données projet'!$B$12,Paramètres!$A$1:$I$89,3,0)*VLOOKUP('Données projet'!$B$12,Paramètres!$A$1:$I$89,5,0)</f>
        <v>0</v>
      </c>
      <c r="CA185" s="13" t="e">
        <f t="shared" si="170"/>
        <v>#NUM!</v>
      </c>
      <c r="CB185" s="20" t="e">
        <f t="shared" si="171"/>
        <v>#NUM!</v>
      </c>
      <c r="CC185" s="59" t="e">
        <f t="shared" si="119"/>
        <v>#NUM!</v>
      </c>
      <c r="CD185" s="59">
        <f ca="1">AVERAGE(OFFSET($CC$3,0,0,'Données projet'!$E$12+1,1))-AVERAGE(OFFSET($H$3,0,0,'Données projet'!$E$12+1,1))</f>
        <v>0</v>
      </c>
      <c r="CE185" s="59">
        <f t="shared" si="148"/>
        <v>0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</v>
      </c>
      <c r="CL185" s="21">
        <f>EXP(-LN(2)/25)*CL184+(1-EXP(-LN(2)/25))/(LN(2)/25)*Calculateur!CG185*Calculateur!CI185*VLOOKUP('Données projet'!$B$12,Paramètres!$A$1:$I$89,3,0)*0.475*44/12</f>
        <v>0</v>
      </c>
      <c r="CM185" s="21">
        <f>EXP(-LN(2)/2)*CM184+(1-EXP(-LN(2)/2))/(LN(2)/2)*CG185*CJ185*VLOOKUP('Données projet'!$B$12,Paramètres!$A$1:$I$89,3,0)*0.475*44/12</f>
        <v>0</v>
      </c>
      <c r="CN185" s="22">
        <f t="shared" si="172"/>
        <v>0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>
        <f>CT185*VLOOKUP('Données projet'!$B$13,Paramètres!$A$1:$I$89,3,0)*VLOOKUP('Données projet'!$B$13,Paramètres!$A$1:$I$89,5,0)</f>
        <v>0</v>
      </c>
      <c r="CV185" s="13" t="e">
        <f t="shared" si="173"/>
        <v>#NUM!</v>
      </c>
      <c r="CW185" s="20" t="e">
        <f t="shared" si="174"/>
        <v>#NUM!</v>
      </c>
      <c r="CX185" s="59" t="e">
        <f t="shared" si="122"/>
        <v>#NUM!</v>
      </c>
      <c r="CY185" s="59">
        <f ca="1">AVERAGE(OFFSET($CX$3,0,0,'Données projet'!$E$13+1,1))-AVERAGE(OFFSET($H$3,0,0,'Données projet'!$E$13+1,1))</f>
        <v>0</v>
      </c>
      <c r="CZ185" s="59">
        <f t="shared" si="150"/>
        <v>0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0</v>
      </c>
      <c r="DG185" s="21">
        <f>EXP(-LN(2)/25)*DG184+(1-EXP(-LN(2)/25))/(LN(2)/25)*Calculateur!DB185*Calculateur!DD185*VLOOKUP('Données projet'!$B$13,Paramètres!$A$1:$I$89,3,0)*0.475*44/12</f>
        <v>0</v>
      </c>
      <c r="DH185" s="21">
        <f>EXP(-LN(2)/2)*DH184+(1-EXP(-LN(2)/2))/(LN(2)/2)*DB185*DE185*VLOOKUP('Données projet'!$B$13,Paramètres!$A$1:$I$89,3,0)*0.475*44/12</f>
        <v>0</v>
      </c>
      <c r="DI185" s="22">
        <f t="shared" si="175"/>
        <v>0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-2.2737367544323206E-13</v>
      </c>
      <c r="O186" s="13">
        <f>N186*VLOOKUP('Données projet'!$B$9,Paramètres!$A$1:$I$89,3,0)*VLOOKUP('Données projet'!$B$9,Paramètres!$A$1:$I$89,5,0)</f>
        <v>-1.3596945791505279E-13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181.92766225683107</v>
      </c>
      <c r="T186" s="59">
        <f t="shared" si="142"/>
        <v>370.52917139565756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3.1756035996350271</v>
      </c>
      <c r="AA186" s="21">
        <f>EXP(-LN(2)/25)*AA185+(1-EXP(-LN(2)/25))/(LN(2)/25)*Calculateur!V186*Calculateur!X186*VLOOKUP('Données projet'!$B$9,Paramètres!$A$1:$I$89,3,0)*0.475*44/12</f>
        <v>0.84639440754391448</v>
      </c>
      <c r="AB186" s="21">
        <f>EXP(-LN(2)/2)*AB185+(1-EXP(-LN(2)/2))/(LN(2)/2)*V186*Y186*VLOOKUP('Données projet'!$B$9,Paramètres!$A$1:$I$89,3,0)*0.475*44/12</f>
        <v>4.2526382445150583E-21</v>
      </c>
      <c r="AC186" s="22">
        <f t="shared" si="163"/>
        <v>4.0219980071789418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5.6843418860808015E-14</v>
      </c>
      <c r="AJ186" s="13">
        <f>AI186*VLOOKUP('Données projet'!$B$10,Paramètres!$A$1:$I$89,3,0)*VLOOKUP('Données projet'!$B$10,Paramètres!$A$1:$I$89,5,0)</f>
        <v>4.6111381379887463E-14</v>
      </c>
      <c r="AK186" s="13">
        <f t="shared" si="164"/>
        <v>7.5804141040779151E-13</v>
      </c>
      <c r="AL186" s="20">
        <f t="shared" si="165"/>
        <v>1.4005661123635408E-12</v>
      </c>
      <c r="AM186" s="59">
        <f t="shared" si="113"/>
        <v>293.33333333333474</v>
      </c>
      <c r="AN186" s="59">
        <f ca="1">AVERAGE(OFFSET($AM$3,0,0,'Données projet'!$E$10+1,1))-AVERAGE(OFFSET($H$3,0,0,'Données projet'!$E$10+1,1))</f>
        <v>235.31102883830971</v>
      </c>
      <c r="AO186" s="59">
        <f t="shared" si="144"/>
        <v>271.48630853790422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</v>
      </c>
      <c r="AV186" s="21">
        <f>EXP(-LN(2)/25)*AV185+(1-EXP(-LN(2)/25))/(LN(2)/25)*Calculateur!AQ186*Calculateur!AS186*VLOOKUP('Données projet'!$B$10,Paramètres!$A$1:$I$89,3,0)*0.475*44/12</f>
        <v>0.12230410166897397</v>
      </c>
      <c r="AW186" s="21">
        <f>EXP(-LN(2)/2)*AW185+(1-EXP(-LN(2)/2))/(LN(2)/2)*AQ186*AT186*VLOOKUP('Données projet'!$B$10,Paramètres!$A$1:$I$89,3,0)*0.475*44/12</f>
        <v>1.0268657431856909E-22</v>
      </c>
      <c r="AX186" s="21">
        <f t="shared" si="166"/>
        <v>0.12230410166897397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2.8421709430404007E-14</v>
      </c>
      <c r="BE186" s="13">
        <f>BD186*VLOOKUP('Données projet'!$B$11,Paramètres!$A$1:$I$89,3,0)*VLOOKUP('Données projet'!$B$11,Paramètres!$A$1:$I$89,5,0)</f>
        <v>3.2366642699344085E-14</v>
      </c>
      <c r="BF186" s="13">
        <f t="shared" si="167"/>
        <v>5.5446527398450045E-13</v>
      </c>
      <c r="BG186" s="20">
        <f t="shared" si="168"/>
        <v>1.0220655882243624E-12</v>
      </c>
      <c r="BH186" s="59">
        <f t="shared" si="116"/>
        <v>293.33333333333434</v>
      </c>
      <c r="BI186" s="59">
        <f ca="1">AVERAGE(OFFSET($BH$3,0,0,'Données projet'!$E$11+1,1))-AVERAGE(OFFSET($H$3,0,0,'Données projet'!$E$11+1,1))</f>
        <v>249.01678065306629</v>
      </c>
      <c r="BJ186" s="59">
        <f t="shared" si="146"/>
        <v>99.639724892155641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0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>
        <f>BY186*VLOOKUP('Données projet'!$B$12,Paramètres!$A$1:$I$89,3,0)*VLOOKUP('Données projet'!$B$12,Paramètres!$A$1:$I$89,5,0)</f>
        <v>0</v>
      </c>
      <c r="CA186" s="13" t="e">
        <f t="shared" si="170"/>
        <v>#NUM!</v>
      </c>
      <c r="CB186" s="20" t="e">
        <f t="shared" si="171"/>
        <v>#NUM!</v>
      </c>
      <c r="CC186" s="59" t="e">
        <f t="shared" si="119"/>
        <v>#NUM!</v>
      </c>
      <c r="CD186" s="59">
        <f ca="1">AVERAGE(OFFSET($CC$3,0,0,'Données projet'!$E$12+1,1))-AVERAGE(OFFSET($H$3,0,0,'Données projet'!$E$12+1,1))</f>
        <v>0</v>
      </c>
      <c r="CE186" s="59">
        <f t="shared" si="148"/>
        <v>0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</v>
      </c>
      <c r="CL186" s="21">
        <f>EXP(-LN(2)/25)*CL185+(1-EXP(-LN(2)/25))/(LN(2)/25)*Calculateur!CG186*Calculateur!CI186*VLOOKUP('Données projet'!$B$12,Paramètres!$A$1:$I$89,3,0)*0.475*44/12</f>
        <v>0</v>
      </c>
      <c r="CM186" s="21">
        <f>EXP(-LN(2)/2)*CM185+(1-EXP(-LN(2)/2))/(LN(2)/2)*CG186*CJ186*VLOOKUP('Données projet'!$B$12,Paramètres!$A$1:$I$89,3,0)*0.475*44/12</f>
        <v>0</v>
      </c>
      <c r="CN186" s="22">
        <f t="shared" si="172"/>
        <v>0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>
        <f>CT186*VLOOKUP('Données projet'!$B$13,Paramètres!$A$1:$I$89,3,0)*VLOOKUP('Données projet'!$B$13,Paramètres!$A$1:$I$89,5,0)</f>
        <v>0</v>
      </c>
      <c r="CV186" s="13" t="e">
        <f t="shared" si="173"/>
        <v>#NUM!</v>
      </c>
      <c r="CW186" s="20" t="e">
        <f t="shared" si="174"/>
        <v>#NUM!</v>
      </c>
      <c r="CX186" s="59" t="e">
        <f t="shared" si="122"/>
        <v>#NUM!</v>
      </c>
      <c r="CY186" s="59">
        <f ca="1">AVERAGE(OFFSET($CX$3,0,0,'Données projet'!$E$13+1,1))-AVERAGE(OFFSET($H$3,0,0,'Données projet'!$E$13+1,1))</f>
        <v>0</v>
      </c>
      <c r="CZ186" s="59">
        <f t="shared" si="150"/>
        <v>0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0</v>
      </c>
      <c r="DG186" s="21">
        <f>EXP(-LN(2)/25)*DG185+(1-EXP(-LN(2)/25))/(LN(2)/25)*Calculateur!DB186*Calculateur!DD186*VLOOKUP('Données projet'!$B$13,Paramètres!$A$1:$I$89,3,0)*0.475*44/12</f>
        <v>0</v>
      </c>
      <c r="DH186" s="21">
        <f>EXP(-LN(2)/2)*DH185+(1-EXP(-LN(2)/2))/(LN(2)/2)*DB186*DE186*VLOOKUP('Données projet'!$B$13,Paramètres!$A$1:$I$89,3,0)*0.475*44/12</f>
        <v>0</v>
      </c>
      <c r="DI186" s="22">
        <f t="shared" si="175"/>
        <v>0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-2.2737367544323206E-13</v>
      </c>
      <c r="O187" s="13">
        <f>N187*VLOOKUP('Données projet'!$B$9,Paramètres!$A$1:$I$89,3,0)*VLOOKUP('Données projet'!$B$9,Paramètres!$A$1:$I$89,5,0)</f>
        <v>-1.3596945791505279E-13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181.92766225683107</v>
      </c>
      <c r="T187" s="59">
        <f t="shared" si="142"/>
        <v>370.52917139565756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3.1133319499731242</v>
      </c>
      <c r="AA187" s="21">
        <f>EXP(-LN(2)/25)*AA186+(1-EXP(-LN(2)/25))/(LN(2)/25)*Calculateur!V187*Calculateur!X187*VLOOKUP('Données projet'!$B$9,Paramètres!$A$1:$I$89,3,0)*0.475*44/12</f>
        <v>0.82324970795967867</v>
      </c>
      <c r="AB187" s="21">
        <f>EXP(-LN(2)/2)*AB186+(1-EXP(-LN(2)/2))/(LN(2)/2)*V187*Y187*VLOOKUP('Données projet'!$B$9,Paramètres!$A$1:$I$89,3,0)*0.475*44/12</f>
        <v>3.007069340629853E-21</v>
      </c>
      <c r="AC187" s="22">
        <f t="shared" si="163"/>
        <v>3.9365816579328028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5.6843418860808015E-14</v>
      </c>
      <c r="AJ187" s="13">
        <f>AI187*VLOOKUP('Données projet'!$B$10,Paramètres!$A$1:$I$89,3,0)*VLOOKUP('Données projet'!$B$10,Paramètres!$A$1:$I$89,5,0)</f>
        <v>4.6111381379887463E-14</v>
      </c>
      <c r="AK187" s="13">
        <f t="shared" si="164"/>
        <v>7.5804141040779151E-13</v>
      </c>
      <c r="AL187" s="20">
        <f t="shared" si="165"/>
        <v>1.4005661123635408E-12</v>
      </c>
      <c r="AM187" s="59">
        <f t="shared" si="113"/>
        <v>293.33333333333474</v>
      </c>
      <c r="AN187" s="59">
        <f ca="1">AVERAGE(OFFSET($AM$3,0,0,'Données projet'!$E$10+1,1))-AVERAGE(OFFSET($H$3,0,0,'Données projet'!$E$10+1,1))</f>
        <v>235.31102883830971</v>
      </c>
      <c r="AO187" s="59">
        <f t="shared" si="144"/>
        <v>271.48630853790422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</v>
      </c>
      <c r="AV187" s="21">
        <f>EXP(-LN(2)/25)*AV186+(1-EXP(-LN(2)/25))/(LN(2)/25)*Calculateur!AQ187*Calculateur!AS187*VLOOKUP('Données projet'!$B$10,Paramètres!$A$1:$I$89,3,0)*0.475*44/12</f>
        <v>0.1189596895771427</v>
      </c>
      <c r="AW187" s="21">
        <f>EXP(-LN(2)/2)*AW186+(1-EXP(-LN(2)/2))/(LN(2)/2)*AQ187*AT187*VLOOKUP('Données projet'!$B$10,Paramètres!$A$1:$I$89,3,0)*0.475*44/12</f>
        <v>7.2610373037476584E-23</v>
      </c>
      <c r="AX187" s="21">
        <f t="shared" si="166"/>
        <v>0.1189596895771427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2.8421709430404007E-14</v>
      </c>
      <c r="BE187" s="13">
        <f>BD187*VLOOKUP('Données projet'!$B$11,Paramètres!$A$1:$I$89,3,0)*VLOOKUP('Données projet'!$B$11,Paramètres!$A$1:$I$89,5,0)</f>
        <v>3.2366642699344085E-14</v>
      </c>
      <c r="BF187" s="13">
        <f t="shared" si="167"/>
        <v>5.5446527398450045E-13</v>
      </c>
      <c r="BG187" s="20">
        <f t="shared" si="168"/>
        <v>1.0220655882243624E-12</v>
      </c>
      <c r="BH187" s="59">
        <f t="shared" si="116"/>
        <v>293.33333333333434</v>
      </c>
      <c r="BI187" s="59">
        <f ca="1">AVERAGE(OFFSET($BH$3,0,0,'Données projet'!$E$11+1,1))-AVERAGE(OFFSET($H$3,0,0,'Données projet'!$E$11+1,1))</f>
        <v>249.01678065306629</v>
      </c>
      <c r="BJ187" s="59">
        <f t="shared" si="146"/>
        <v>99.639724892155641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0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>
        <f>BY187*VLOOKUP('Données projet'!$B$12,Paramètres!$A$1:$I$89,3,0)*VLOOKUP('Données projet'!$B$12,Paramètres!$A$1:$I$89,5,0)</f>
        <v>0</v>
      </c>
      <c r="CA187" s="13" t="e">
        <f t="shared" si="170"/>
        <v>#NUM!</v>
      </c>
      <c r="CB187" s="20" t="e">
        <f t="shared" si="171"/>
        <v>#NUM!</v>
      </c>
      <c r="CC187" s="59" t="e">
        <f t="shared" si="119"/>
        <v>#NUM!</v>
      </c>
      <c r="CD187" s="59">
        <f ca="1">AVERAGE(OFFSET($CC$3,0,0,'Données projet'!$E$12+1,1))-AVERAGE(OFFSET($H$3,0,0,'Données projet'!$E$12+1,1))</f>
        <v>0</v>
      </c>
      <c r="CE187" s="59">
        <f t="shared" si="148"/>
        <v>0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</v>
      </c>
      <c r="CL187" s="21">
        <f>EXP(-LN(2)/25)*CL186+(1-EXP(-LN(2)/25))/(LN(2)/25)*Calculateur!CG187*Calculateur!CI187*VLOOKUP('Données projet'!$B$12,Paramètres!$A$1:$I$89,3,0)*0.475*44/12</f>
        <v>0</v>
      </c>
      <c r="CM187" s="21">
        <f>EXP(-LN(2)/2)*CM186+(1-EXP(-LN(2)/2))/(LN(2)/2)*CG187*CJ187*VLOOKUP('Données projet'!$B$12,Paramètres!$A$1:$I$89,3,0)*0.475*44/12</f>
        <v>0</v>
      </c>
      <c r="CN187" s="22">
        <f t="shared" si="172"/>
        <v>0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>
        <f>CT187*VLOOKUP('Données projet'!$B$13,Paramètres!$A$1:$I$89,3,0)*VLOOKUP('Données projet'!$B$13,Paramètres!$A$1:$I$89,5,0)</f>
        <v>0</v>
      </c>
      <c r="CV187" s="13" t="e">
        <f t="shared" si="173"/>
        <v>#NUM!</v>
      </c>
      <c r="CW187" s="20" t="e">
        <f t="shared" si="174"/>
        <v>#NUM!</v>
      </c>
      <c r="CX187" s="59" t="e">
        <f t="shared" si="122"/>
        <v>#NUM!</v>
      </c>
      <c r="CY187" s="59">
        <f ca="1">AVERAGE(OFFSET($CX$3,0,0,'Données projet'!$E$13+1,1))-AVERAGE(OFFSET($H$3,0,0,'Données projet'!$E$13+1,1))</f>
        <v>0</v>
      </c>
      <c r="CZ187" s="59">
        <f t="shared" si="150"/>
        <v>0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0</v>
      </c>
      <c r="DG187" s="21">
        <f>EXP(-LN(2)/25)*DG186+(1-EXP(-LN(2)/25))/(LN(2)/25)*Calculateur!DB187*Calculateur!DD187*VLOOKUP('Données projet'!$B$13,Paramètres!$A$1:$I$89,3,0)*0.475*44/12</f>
        <v>0</v>
      </c>
      <c r="DH187" s="21">
        <f>EXP(-LN(2)/2)*DH186+(1-EXP(-LN(2)/2))/(LN(2)/2)*DB187*DE187*VLOOKUP('Données projet'!$B$13,Paramètres!$A$1:$I$89,3,0)*0.475*44/12</f>
        <v>0</v>
      </c>
      <c r="DI187" s="22">
        <f t="shared" si="175"/>
        <v>0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-2.2737367544323206E-13</v>
      </c>
      <c r="O188" s="13">
        <f>N188*VLOOKUP('Données projet'!$B$9,Paramètres!$A$1:$I$89,3,0)*VLOOKUP('Données projet'!$B$9,Paramètres!$A$1:$I$89,5,0)</f>
        <v>-1.3596945791505279E-13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181.92766225683107</v>
      </c>
      <c r="T188" s="59">
        <f t="shared" si="142"/>
        <v>370.52917139565756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3.0522814093791357</v>
      </c>
      <c r="AA188" s="21">
        <f>EXP(-LN(2)/25)*AA187+(1-EXP(-LN(2)/25))/(LN(2)/25)*Calculateur!V188*Calculateur!X188*VLOOKUP('Données projet'!$B$9,Paramètres!$A$1:$I$89,3,0)*0.475*44/12</f>
        <v>0.80073790140270062</v>
      </c>
      <c r="AB188" s="21">
        <f>EXP(-LN(2)/2)*AB187+(1-EXP(-LN(2)/2))/(LN(2)/2)*V188*Y188*VLOOKUP('Données projet'!$B$9,Paramètres!$A$1:$I$89,3,0)*0.475*44/12</f>
        <v>2.1263191222575292E-21</v>
      </c>
      <c r="AC188" s="22">
        <f t="shared" si="163"/>
        <v>3.8530193107818365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5.6843418860808015E-14</v>
      </c>
      <c r="AJ188" s="13">
        <f>AI188*VLOOKUP('Données projet'!$B$10,Paramètres!$A$1:$I$89,3,0)*VLOOKUP('Données projet'!$B$10,Paramètres!$A$1:$I$89,5,0)</f>
        <v>4.6111381379887463E-14</v>
      </c>
      <c r="AK188" s="13">
        <f t="shared" si="164"/>
        <v>7.5804141040779151E-13</v>
      </c>
      <c r="AL188" s="20">
        <f t="shared" si="165"/>
        <v>1.4005661123635408E-12</v>
      </c>
      <c r="AM188" s="59">
        <f t="shared" si="113"/>
        <v>293.33333333333474</v>
      </c>
      <c r="AN188" s="59">
        <f ca="1">AVERAGE(OFFSET($AM$3,0,0,'Données projet'!$E$10+1,1))-AVERAGE(OFFSET($H$3,0,0,'Données projet'!$E$10+1,1))</f>
        <v>235.31102883830971</v>
      </c>
      <c r="AO188" s="59">
        <f t="shared" si="144"/>
        <v>271.48630853790422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</v>
      </c>
      <c r="AV188" s="21">
        <f>EXP(-LN(2)/25)*AV187+(1-EXP(-LN(2)/25))/(LN(2)/25)*Calculateur!AQ188*Calculateur!AS188*VLOOKUP('Données projet'!$B$10,Paramètres!$A$1:$I$89,3,0)*0.475*44/12</f>
        <v>0.11570673060983755</v>
      </c>
      <c r="AW188" s="21">
        <f>EXP(-LN(2)/2)*AW187+(1-EXP(-LN(2)/2))/(LN(2)/2)*AQ188*AT188*VLOOKUP('Données projet'!$B$10,Paramètres!$A$1:$I$89,3,0)*0.475*44/12</f>
        <v>5.1343287159284546E-23</v>
      </c>
      <c r="AX188" s="21">
        <f t="shared" si="166"/>
        <v>0.11570673060983755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2.8421709430404007E-14</v>
      </c>
      <c r="BE188" s="13">
        <f>BD188*VLOOKUP('Données projet'!$B$11,Paramètres!$A$1:$I$89,3,0)*VLOOKUP('Données projet'!$B$11,Paramètres!$A$1:$I$89,5,0)</f>
        <v>3.2366642699344085E-14</v>
      </c>
      <c r="BF188" s="13">
        <f t="shared" si="167"/>
        <v>5.5446527398450045E-13</v>
      </c>
      <c r="BG188" s="20">
        <f t="shared" si="168"/>
        <v>1.0220655882243624E-12</v>
      </c>
      <c r="BH188" s="59">
        <f t="shared" si="116"/>
        <v>293.33333333333434</v>
      </c>
      <c r="BI188" s="59">
        <f ca="1">AVERAGE(OFFSET($BH$3,0,0,'Données projet'!$E$11+1,1))-AVERAGE(OFFSET($H$3,0,0,'Données projet'!$E$11+1,1))</f>
        <v>249.01678065306629</v>
      </c>
      <c r="BJ188" s="59">
        <f t="shared" si="146"/>
        <v>99.639724892155641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0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>
        <f>BY188*VLOOKUP('Données projet'!$B$12,Paramètres!$A$1:$I$89,3,0)*VLOOKUP('Données projet'!$B$12,Paramètres!$A$1:$I$89,5,0)</f>
        <v>0</v>
      </c>
      <c r="CA188" s="13" t="e">
        <f t="shared" si="170"/>
        <v>#NUM!</v>
      </c>
      <c r="CB188" s="20" t="e">
        <f t="shared" si="171"/>
        <v>#NUM!</v>
      </c>
      <c r="CC188" s="59" t="e">
        <f t="shared" si="119"/>
        <v>#NUM!</v>
      </c>
      <c r="CD188" s="59">
        <f ca="1">AVERAGE(OFFSET($CC$3,0,0,'Données projet'!$E$12+1,1))-AVERAGE(OFFSET($H$3,0,0,'Données projet'!$E$12+1,1))</f>
        <v>0</v>
      </c>
      <c r="CE188" s="59">
        <f t="shared" si="148"/>
        <v>0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</v>
      </c>
      <c r="CL188" s="21">
        <f>EXP(-LN(2)/25)*CL187+(1-EXP(-LN(2)/25))/(LN(2)/25)*Calculateur!CG188*Calculateur!CI188*VLOOKUP('Données projet'!$B$12,Paramètres!$A$1:$I$89,3,0)*0.475*44/12</f>
        <v>0</v>
      </c>
      <c r="CM188" s="21">
        <f>EXP(-LN(2)/2)*CM187+(1-EXP(-LN(2)/2))/(LN(2)/2)*CG188*CJ188*VLOOKUP('Données projet'!$B$12,Paramètres!$A$1:$I$89,3,0)*0.475*44/12</f>
        <v>0</v>
      </c>
      <c r="CN188" s="22">
        <f t="shared" si="172"/>
        <v>0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>
        <f>CT188*VLOOKUP('Données projet'!$B$13,Paramètres!$A$1:$I$89,3,0)*VLOOKUP('Données projet'!$B$13,Paramètres!$A$1:$I$89,5,0)</f>
        <v>0</v>
      </c>
      <c r="CV188" s="13" t="e">
        <f t="shared" si="173"/>
        <v>#NUM!</v>
      </c>
      <c r="CW188" s="20" t="e">
        <f t="shared" si="174"/>
        <v>#NUM!</v>
      </c>
      <c r="CX188" s="59" t="e">
        <f t="shared" si="122"/>
        <v>#NUM!</v>
      </c>
      <c r="CY188" s="59">
        <f ca="1">AVERAGE(OFFSET($CX$3,0,0,'Données projet'!$E$13+1,1))-AVERAGE(OFFSET($H$3,0,0,'Données projet'!$E$13+1,1))</f>
        <v>0</v>
      </c>
      <c r="CZ188" s="59">
        <f t="shared" si="150"/>
        <v>0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0</v>
      </c>
      <c r="DG188" s="21">
        <f>EXP(-LN(2)/25)*DG187+(1-EXP(-LN(2)/25))/(LN(2)/25)*Calculateur!DB188*Calculateur!DD188*VLOOKUP('Données projet'!$B$13,Paramètres!$A$1:$I$89,3,0)*0.475*44/12</f>
        <v>0</v>
      </c>
      <c r="DH188" s="21">
        <f>EXP(-LN(2)/2)*DH187+(1-EXP(-LN(2)/2))/(LN(2)/2)*DB188*DE188*VLOOKUP('Données projet'!$B$13,Paramètres!$A$1:$I$89,3,0)*0.475*44/12</f>
        <v>0</v>
      </c>
      <c r="DI188" s="22">
        <f t="shared" si="175"/>
        <v>0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-2.2737367544323206E-13</v>
      </c>
      <c r="O189" s="13">
        <f>N189*VLOOKUP('Données projet'!$B$9,Paramètres!$A$1:$I$89,3,0)*VLOOKUP('Données projet'!$B$9,Paramètres!$A$1:$I$89,5,0)</f>
        <v>-1.3596945791505279E-13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181.92766225683107</v>
      </c>
      <c r="T189" s="59">
        <f t="shared" si="142"/>
        <v>370.52917139565756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2.992428032649042</v>
      </c>
      <c r="AA189" s="21">
        <f>EXP(-LN(2)/25)*AA188+(1-EXP(-LN(2)/25))/(LN(2)/25)*Calculateur!V189*Calculateur!X189*VLOOKUP('Données projet'!$B$9,Paramètres!$A$1:$I$89,3,0)*0.475*44/12</f>
        <v>0.77884168137986765</v>
      </c>
      <c r="AB189" s="21">
        <f>EXP(-LN(2)/2)*AB188+(1-EXP(-LN(2)/2))/(LN(2)/2)*V189*Y189*VLOOKUP('Données projet'!$B$9,Paramètres!$A$1:$I$89,3,0)*0.475*44/12</f>
        <v>1.5035346703149265E-21</v>
      </c>
      <c r="AC189" s="22">
        <f t="shared" si="163"/>
        <v>3.7712697140289095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5.6843418860808015E-14</v>
      </c>
      <c r="AJ189" s="13">
        <f>AI189*VLOOKUP('Données projet'!$B$10,Paramètres!$A$1:$I$89,3,0)*VLOOKUP('Données projet'!$B$10,Paramètres!$A$1:$I$89,5,0)</f>
        <v>4.6111381379887463E-14</v>
      </c>
      <c r="AK189" s="13">
        <f t="shared" si="164"/>
        <v>7.5804141040779151E-13</v>
      </c>
      <c r="AL189" s="20">
        <f t="shared" si="165"/>
        <v>1.4005661123635408E-12</v>
      </c>
      <c r="AM189" s="59">
        <f t="shared" si="113"/>
        <v>293.33333333333474</v>
      </c>
      <c r="AN189" s="59">
        <f ca="1">AVERAGE(OFFSET($AM$3,0,0,'Données projet'!$E$10+1,1))-AVERAGE(OFFSET($H$3,0,0,'Données projet'!$E$10+1,1))</f>
        <v>235.31102883830971</v>
      </c>
      <c r="AO189" s="59">
        <f t="shared" si="144"/>
        <v>271.48630853790422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</v>
      </c>
      <c r="AV189" s="21">
        <f>EXP(-LN(2)/25)*AV188+(1-EXP(-LN(2)/25))/(LN(2)/25)*Calculateur!AQ189*Calculateur!AS189*VLOOKUP('Données projet'!$B$10,Paramètres!$A$1:$I$89,3,0)*0.475*44/12</f>
        <v>0.11254272397655903</v>
      </c>
      <c r="AW189" s="21">
        <f>EXP(-LN(2)/2)*AW188+(1-EXP(-LN(2)/2))/(LN(2)/2)*AQ189*AT189*VLOOKUP('Données projet'!$B$10,Paramètres!$A$1:$I$89,3,0)*0.475*44/12</f>
        <v>3.6305186518738292E-23</v>
      </c>
      <c r="AX189" s="21">
        <f t="shared" si="166"/>
        <v>0.11254272397655903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2.8421709430404007E-14</v>
      </c>
      <c r="BE189" s="13">
        <f>BD189*VLOOKUP('Données projet'!$B$11,Paramètres!$A$1:$I$89,3,0)*VLOOKUP('Données projet'!$B$11,Paramètres!$A$1:$I$89,5,0)</f>
        <v>3.2366642699344085E-14</v>
      </c>
      <c r="BF189" s="13">
        <f t="shared" si="167"/>
        <v>5.5446527398450045E-13</v>
      </c>
      <c r="BG189" s="20">
        <f t="shared" si="168"/>
        <v>1.0220655882243624E-12</v>
      </c>
      <c r="BH189" s="59">
        <f t="shared" si="116"/>
        <v>293.33333333333434</v>
      </c>
      <c r="BI189" s="59">
        <f ca="1">AVERAGE(OFFSET($BH$3,0,0,'Données projet'!$E$11+1,1))-AVERAGE(OFFSET($H$3,0,0,'Données projet'!$E$11+1,1))</f>
        <v>249.01678065306629</v>
      </c>
      <c r="BJ189" s="59">
        <f t="shared" si="146"/>
        <v>99.639724892155641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0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>
        <f>BY189*VLOOKUP('Données projet'!$B$12,Paramètres!$A$1:$I$89,3,0)*VLOOKUP('Données projet'!$B$12,Paramètres!$A$1:$I$89,5,0)</f>
        <v>0</v>
      </c>
      <c r="CA189" s="13" t="e">
        <f t="shared" si="170"/>
        <v>#NUM!</v>
      </c>
      <c r="CB189" s="20" t="e">
        <f t="shared" si="171"/>
        <v>#NUM!</v>
      </c>
      <c r="CC189" s="59" t="e">
        <f t="shared" si="119"/>
        <v>#NUM!</v>
      </c>
      <c r="CD189" s="59">
        <f ca="1">AVERAGE(OFFSET($CC$3,0,0,'Données projet'!$E$12+1,1))-AVERAGE(OFFSET($H$3,0,0,'Données projet'!$E$12+1,1))</f>
        <v>0</v>
      </c>
      <c r="CE189" s="59">
        <f t="shared" si="148"/>
        <v>0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</v>
      </c>
      <c r="CL189" s="21">
        <f>EXP(-LN(2)/25)*CL188+(1-EXP(-LN(2)/25))/(LN(2)/25)*Calculateur!CG189*Calculateur!CI189*VLOOKUP('Données projet'!$B$12,Paramètres!$A$1:$I$89,3,0)*0.475*44/12</f>
        <v>0</v>
      </c>
      <c r="CM189" s="21">
        <f>EXP(-LN(2)/2)*CM188+(1-EXP(-LN(2)/2))/(LN(2)/2)*CG189*CJ189*VLOOKUP('Données projet'!$B$12,Paramètres!$A$1:$I$89,3,0)*0.475*44/12</f>
        <v>0</v>
      </c>
      <c r="CN189" s="22">
        <f t="shared" si="172"/>
        <v>0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>
        <f>CT189*VLOOKUP('Données projet'!$B$13,Paramètres!$A$1:$I$89,3,0)*VLOOKUP('Données projet'!$B$13,Paramètres!$A$1:$I$89,5,0)</f>
        <v>0</v>
      </c>
      <c r="CV189" s="13" t="e">
        <f t="shared" si="173"/>
        <v>#NUM!</v>
      </c>
      <c r="CW189" s="20" t="e">
        <f t="shared" si="174"/>
        <v>#NUM!</v>
      </c>
      <c r="CX189" s="59" t="e">
        <f t="shared" si="122"/>
        <v>#NUM!</v>
      </c>
      <c r="CY189" s="59">
        <f ca="1">AVERAGE(OFFSET($CX$3,0,0,'Données projet'!$E$13+1,1))-AVERAGE(OFFSET($H$3,0,0,'Données projet'!$E$13+1,1))</f>
        <v>0</v>
      </c>
      <c r="CZ189" s="59">
        <f t="shared" si="150"/>
        <v>0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0</v>
      </c>
      <c r="DG189" s="21">
        <f>EXP(-LN(2)/25)*DG188+(1-EXP(-LN(2)/25))/(LN(2)/25)*Calculateur!DB189*Calculateur!DD189*VLOOKUP('Données projet'!$B$13,Paramètres!$A$1:$I$89,3,0)*0.475*44/12</f>
        <v>0</v>
      </c>
      <c r="DH189" s="21">
        <f>EXP(-LN(2)/2)*DH188+(1-EXP(-LN(2)/2))/(LN(2)/2)*DB189*DE189*VLOOKUP('Données projet'!$B$13,Paramètres!$A$1:$I$89,3,0)*0.475*44/12</f>
        <v>0</v>
      </c>
      <c r="DI189" s="22">
        <f t="shared" si="175"/>
        <v>0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-2.2737367544323206E-13</v>
      </c>
      <c r="O190" s="13">
        <f>N190*VLOOKUP('Données projet'!$B$9,Paramètres!$A$1:$I$89,3,0)*VLOOKUP('Données projet'!$B$9,Paramètres!$A$1:$I$89,5,0)</f>
        <v>-1.3596945791505279E-13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181.92766225683107</v>
      </c>
      <c r="T190" s="59">
        <f t="shared" si="142"/>
        <v>370.52917139565756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2.9337483441296706</v>
      </c>
      <c r="AA190" s="21">
        <f>EXP(-LN(2)/25)*AA189+(1-EXP(-LN(2)/25))/(LN(2)/25)*Calculateur!V190*Calculateur!X190*VLOOKUP('Données projet'!$B$9,Paramètres!$A$1:$I$89,3,0)*0.475*44/12</f>
        <v>0.75754421464503119</v>
      </c>
      <c r="AB190" s="21">
        <f>EXP(-LN(2)/2)*AB189+(1-EXP(-LN(2)/2))/(LN(2)/2)*V190*Y190*VLOOKUP('Données projet'!$B$9,Paramètres!$A$1:$I$89,3,0)*0.475*44/12</f>
        <v>1.0631595611287646E-21</v>
      </c>
      <c r="AC190" s="22">
        <f t="shared" si="163"/>
        <v>3.6912925587747019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5.6843418860808015E-14</v>
      </c>
      <c r="AJ190" s="13">
        <f>AI190*VLOOKUP('Données projet'!$B$10,Paramètres!$A$1:$I$89,3,0)*VLOOKUP('Données projet'!$B$10,Paramètres!$A$1:$I$89,5,0)</f>
        <v>4.6111381379887463E-14</v>
      </c>
      <c r="AK190" s="13">
        <f t="shared" si="164"/>
        <v>7.5804141040779151E-13</v>
      </c>
      <c r="AL190" s="20">
        <f t="shared" si="165"/>
        <v>1.4005661123635408E-12</v>
      </c>
      <c r="AM190" s="59">
        <f t="shared" si="113"/>
        <v>293.33333333333474</v>
      </c>
      <c r="AN190" s="59">
        <f ca="1">AVERAGE(OFFSET($AM$3,0,0,'Données projet'!$E$10+1,1))-AVERAGE(OFFSET($H$3,0,0,'Données projet'!$E$10+1,1))</f>
        <v>235.31102883830971</v>
      </c>
      <c r="AO190" s="59">
        <f t="shared" si="144"/>
        <v>271.48630853790422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</v>
      </c>
      <c r="AV190" s="21">
        <f>EXP(-LN(2)/25)*AV189+(1-EXP(-LN(2)/25))/(LN(2)/25)*Calculateur!AQ190*Calculateur!AS190*VLOOKUP('Données projet'!$B$10,Paramètres!$A$1:$I$89,3,0)*0.475*44/12</f>
        <v>0.10946523727105538</v>
      </c>
      <c r="AW190" s="21">
        <f>EXP(-LN(2)/2)*AW189+(1-EXP(-LN(2)/2))/(LN(2)/2)*AQ190*AT190*VLOOKUP('Données projet'!$B$10,Paramètres!$A$1:$I$89,3,0)*0.475*44/12</f>
        <v>2.5671643579642273E-23</v>
      </c>
      <c r="AX190" s="21">
        <f t="shared" si="166"/>
        <v>0.10946523727105538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2.8421709430404007E-14</v>
      </c>
      <c r="BE190" s="13">
        <f>BD190*VLOOKUP('Données projet'!$B$11,Paramètres!$A$1:$I$89,3,0)*VLOOKUP('Données projet'!$B$11,Paramètres!$A$1:$I$89,5,0)</f>
        <v>3.2366642699344085E-14</v>
      </c>
      <c r="BF190" s="13">
        <f t="shared" si="167"/>
        <v>5.5446527398450045E-13</v>
      </c>
      <c r="BG190" s="20">
        <f t="shared" si="168"/>
        <v>1.0220655882243624E-12</v>
      </c>
      <c r="BH190" s="59">
        <f t="shared" si="116"/>
        <v>293.33333333333434</v>
      </c>
      <c r="BI190" s="59">
        <f ca="1">AVERAGE(OFFSET($BH$3,0,0,'Données projet'!$E$11+1,1))-AVERAGE(OFFSET($H$3,0,0,'Données projet'!$E$11+1,1))</f>
        <v>249.01678065306629</v>
      </c>
      <c r="BJ190" s="59">
        <f t="shared" si="146"/>
        <v>99.639724892155641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0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>
        <f>BY190*VLOOKUP('Données projet'!$B$12,Paramètres!$A$1:$I$89,3,0)*VLOOKUP('Données projet'!$B$12,Paramètres!$A$1:$I$89,5,0)</f>
        <v>0</v>
      </c>
      <c r="CA190" s="13" t="e">
        <f t="shared" si="170"/>
        <v>#NUM!</v>
      </c>
      <c r="CB190" s="20" t="e">
        <f t="shared" si="171"/>
        <v>#NUM!</v>
      </c>
      <c r="CC190" s="59" t="e">
        <f t="shared" si="119"/>
        <v>#NUM!</v>
      </c>
      <c r="CD190" s="59">
        <f ca="1">AVERAGE(OFFSET($CC$3,0,0,'Données projet'!$E$12+1,1))-AVERAGE(OFFSET($H$3,0,0,'Données projet'!$E$12+1,1))</f>
        <v>0</v>
      </c>
      <c r="CE190" s="59">
        <f t="shared" si="148"/>
        <v>0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</v>
      </c>
      <c r="CL190" s="21">
        <f>EXP(-LN(2)/25)*CL189+(1-EXP(-LN(2)/25))/(LN(2)/25)*Calculateur!CG190*Calculateur!CI190*VLOOKUP('Données projet'!$B$12,Paramètres!$A$1:$I$89,3,0)*0.475*44/12</f>
        <v>0</v>
      </c>
      <c r="CM190" s="21">
        <f>EXP(-LN(2)/2)*CM189+(1-EXP(-LN(2)/2))/(LN(2)/2)*CG190*CJ190*VLOOKUP('Données projet'!$B$12,Paramètres!$A$1:$I$89,3,0)*0.475*44/12</f>
        <v>0</v>
      </c>
      <c r="CN190" s="22">
        <f t="shared" si="172"/>
        <v>0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>
        <f>CT190*VLOOKUP('Données projet'!$B$13,Paramètres!$A$1:$I$89,3,0)*VLOOKUP('Données projet'!$B$13,Paramètres!$A$1:$I$89,5,0)</f>
        <v>0</v>
      </c>
      <c r="CV190" s="13" t="e">
        <f t="shared" si="173"/>
        <v>#NUM!</v>
      </c>
      <c r="CW190" s="20" t="e">
        <f t="shared" si="174"/>
        <v>#NUM!</v>
      </c>
      <c r="CX190" s="59" t="e">
        <f t="shared" si="122"/>
        <v>#NUM!</v>
      </c>
      <c r="CY190" s="59">
        <f ca="1">AVERAGE(OFFSET($CX$3,0,0,'Données projet'!$E$13+1,1))-AVERAGE(OFFSET($H$3,0,0,'Données projet'!$E$13+1,1))</f>
        <v>0</v>
      </c>
      <c r="CZ190" s="59">
        <f t="shared" si="150"/>
        <v>0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0</v>
      </c>
      <c r="DG190" s="21">
        <f>EXP(-LN(2)/25)*DG189+(1-EXP(-LN(2)/25))/(LN(2)/25)*Calculateur!DB190*Calculateur!DD190*VLOOKUP('Données projet'!$B$13,Paramètres!$A$1:$I$89,3,0)*0.475*44/12</f>
        <v>0</v>
      </c>
      <c r="DH190" s="21">
        <f>EXP(-LN(2)/2)*DH189+(1-EXP(-LN(2)/2))/(LN(2)/2)*DB190*DE190*VLOOKUP('Données projet'!$B$13,Paramètres!$A$1:$I$89,3,0)*0.475*44/12</f>
        <v>0</v>
      </c>
      <c r="DI190" s="22">
        <f t="shared" si="175"/>
        <v>0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-2.2737367544323206E-13</v>
      </c>
      <c r="O191" s="13">
        <f>N191*VLOOKUP('Données projet'!$B$9,Paramètres!$A$1:$I$89,3,0)*VLOOKUP('Données projet'!$B$9,Paramètres!$A$1:$I$89,5,0)</f>
        <v>-1.3596945791505279E-13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181.92766225683107</v>
      </c>
      <c r="T191" s="59">
        <f t="shared" si="142"/>
        <v>370.52917139565756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2.876219328511088</v>
      </c>
      <c r="AA191" s="21">
        <f>EXP(-LN(2)/25)*AA190+(1-EXP(-LN(2)/25))/(LN(2)/25)*Calculateur!V191*Calculateur!X191*VLOOKUP('Données projet'!$B$9,Paramètres!$A$1:$I$89,3,0)*0.475*44/12</f>
        <v>0.73682912825804392</v>
      </c>
      <c r="AB191" s="21">
        <f>EXP(-LN(2)/2)*AB190+(1-EXP(-LN(2)/2))/(LN(2)/2)*V191*Y191*VLOOKUP('Données projet'!$B$9,Paramètres!$A$1:$I$89,3,0)*0.475*44/12</f>
        <v>7.5176733515746325E-22</v>
      </c>
      <c r="AC191" s="22">
        <f t="shared" si="163"/>
        <v>3.6130484567691319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5.6843418860808015E-14</v>
      </c>
      <c r="AJ191" s="13">
        <f>AI191*VLOOKUP('Données projet'!$B$10,Paramètres!$A$1:$I$89,3,0)*VLOOKUP('Données projet'!$B$10,Paramètres!$A$1:$I$89,5,0)</f>
        <v>4.6111381379887463E-14</v>
      </c>
      <c r="AK191" s="13">
        <f t="shared" si="164"/>
        <v>7.5804141040779151E-13</v>
      </c>
      <c r="AL191" s="20">
        <f t="shared" si="165"/>
        <v>1.4005661123635408E-12</v>
      </c>
      <c r="AM191" s="59">
        <f t="shared" si="113"/>
        <v>293.33333333333474</v>
      </c>
      <c r="AN191" s="59">
        <f ca="1">AVERAGE(OFFSET($AM$3,0,0,'Données projet'!$E$10+1,1))-AVERAGE(OFFSET($H$3,0,0,'Données projet'!$E$10+1,1))</f>
        <v>235.31102883830971</v>
      </c>
      <c r="AO191" s="59">
        <f t="shared" si="144"/>
        <v>271.48630853790422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</v>
      </c>
      <c r="AV191" s="21">
        <f>EXP(-LN(2)/25)*AV190+(1-EXP(-LN(2)/25))/(LN(2)/25)*Calculateur!AQ191*Calculateur!AS191*VLOOKUP('Données projet'!$B$10,Paramètres!$A$1:$I$89,3,0)*0.475*44/12</f>
        <v>0.10647190460135172</v>
      </c>
      <c r="AW191" s="21">
        <f>EXP(-LN(2)/2)*AW190+(1-EXP(-LN(2)/2))/(LN(2)/2)*AQ191*AT191*VLOOKUP('Données projet'!$B$10,Paramètres!$A$1:$I$89,3,0)*0.475*44/12</f>
        <v>1.8152593259369146E-23</v>
      </c>
      <c r="AX191" s="21">
        <f t="shared" si="166"/>
        <v>0.10647190460135172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2.8421709430404007E-14</v>
      </c>
      <c r="BE191" s="13">
        <f>BD191*VLOOKUP('Données projet'!$B$11,Paramètres!$A$1:$I$89,3,0)*VLOOKUP('Données projet'!$B$11,Paramètres!$A$1:$I$89,5,0)</f>
        <v>3.2366642699344085E-14</v>
      </c>
      <c r="BF191" s="13">
        <f t="shared" si="167"/>
        <v>5.5446527398450045E-13</v>
      </c>
      <c r="BG191" s="20">
        <f t="shared" si="168"/>
        <v>1.0220655882243624E-12</v>
      </c>
      <c r="BH191" s="59">
        <f t="shared" si="116"/>
        <v>293.33333333333434</v>
      </c>
      <c r="BI191" s="59">
        <f ca="1">AVERAGE(OFFSET($BH$3,0,0,'Données projet'!$E$11+1,1))-AVERAGE(OFFSET($H$3,0,0,'Données projet'!$E$11+1,1))</f>
        <v>249.01678065306629</v>
      </c>
      <c r="BJ191" s="59">
        <f t="shared" si="146"/>
        <v>99.639724892155641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0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>
        <f>BY191*VLOOKUP('Données projet'!$B$12,Paramètres!$A$1:$I$89,3,0)*VLOOKUP('Données projet'!$B$12,Paramètres!$A$1:$I$89,5,0)</f>
        <v>0</v>
      </c>
      <c r="CA191" s="13" t="e">
        <f t="shared" si="170"/>
        <v>#NUM!</v>
      </c>
      <c r="CB191" s="20" t="e">
        <f t="shared" si="171"/>
        <v>#NUM!</v>
      </c>
      <c r="CC191" s="59" t="e">
        <f t="shared" si="119"/>
        <v>#NUM!</v>
      </c>
      <c r="CD191" s="59">
        <f ca="1">AVERAGE(OFFSET($CC$3,0,0,'Données projet'!$E$12+1,1))-AVERAGE(OFFSET($H$3,0,0,'Données projet'!$E$12+1,1))</f>
        <v>0</v>
      </c>
      <c r="CE191" s="59">
        <f t="shared" si="148"/>
        <v>0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</v>
      </c>
      <c r="CL191" s="21">
        <f>EXP(-LN(2)/25)*CL190+(1-EXP(-LN(2)/25))/(LN(2)/25)*Calculateur!CG191*Calculateur!CI191*VLOOKUP('Données projet'!$B$12,Paramètres!$A$1:$I$89,3,0)*0.475*44/12</f>
        <v>0</v>
      </c>
      <c r="CM191" s="21">
        <f>EXP(-LN(2)/2)*CM190+(1-EXP(-LN(2)/2))/(LN(2)/2)*CG191*CJ191*VLOOKUP('Données projet'!$B$12,Paramètres!$A$1:$I$89,3,0)*0.475*44/12</f>
        <v>0</v>
      </c>
      <c r="CN191" s="22">
        <f t="shared" si="172"/>
        <v>0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>
        <f>CT191*VLOOKUP('Données projet'!$B$13,Paramètres!$A$1:$I$89,3,0)*VLOOKUP('Données projet'!$B$13,Paramètres!$A$1:$I$89,5,0)</f>
        <v>0</v>
      </c>
      <c r="CV191" s="13" t="e">
        <f t="shared" si="173"/>
        <v>#NUM!</v>
      </c>
      <c r="CW191" s="20" t="e">
        <f t="shared" si="174"/>
        <v>#NUM!</v>
      </c>
      <c r="CX191" s="59" t="e">
        <f t="shared" si="122"/>
        <v>#NUM!</v>
      </c>
      <c r="CY191" s="59">
        <f ca="1">AVERAGE(OFFSET($CX$3,0,0,'Données projet'!$E$13+1,1))-AVERAGE(OFFSET($H$3,0,0,'Données projet'!$E$13+1,1))</f>
        <v>0</v>
      </c>
      <c r="CZ191" s="59">
        <f t="shared" si="150"/>
        <v>0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0</v>
      </c>
      <c r="DG191" s="21">
        <f>EXP(-LN(2)/25)*DG190+(1-EXP(-LN(2)/25))/(LN(2)/25)*Calculateur!DB191*Calculateur!DD191*VLOOKUP('Données projet'!$B$13,Paramètres!$A$1:$I$89,3,0)*0.475*44/12</f>
        <v>0</v>
      </c>
      <c r="DH191" s="21">
        <f>EXP(-LN(2)/2)*DH190+(1-EXP(-LN(2)/2))/(LN(2)/2)*DB191*DE191*VLOOKUP('Données projet'!$B$13,Paramètres!$A$1:$I$89,3,0)*0.475*44/12</f>
        <v>0</v>
      </c>
      <c r="DI191" s="22">
        <f t="shared" si="175"/>
        <v>0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-2.2737367544323206E-13</v>
      </c>
      <c r="O192" s="13">
        <f>N192*VLOOKUP('Données projet'!$B$9,Paramètres!$A$1:$I$89,3,0)*VLOOKUP('Données projet'!$B$9,Paramètres!$A$1:$I$89,5,0)</f>
        <v>-1.3596945791505279E-13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181.92766225683107</v>
      </c>
      <c r="T192" s="59">
        <f t="shared" si="142"/>
        <v>370.52917139565756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2.819818421799551</v>
      </c>
      <c r="AA192" s="21">
        <f>EXP(-LN(2)/25)*AA191+(1-EXP(-LN(2)/25))/(LN(2)/25)*Calculateur!V192*Calculateur!X192*VLOOKUP('Données projet'!$B$9,Paramètres!$A$1:$I$89,3,0)*0.475*44/12</f>
        <v>0.71668049699766789</v>
      </c>
      <c r="AB192" s="21">
        <f>EXP(-LN(2)/2)*AB191+(1-EXP(-LN(2)/2))/(LN(2)/2)*V192*Y192*VLOOKUP('Données projet'!$B$9,Paramètres!$A$1:$I$89,3,0)*0.475*44/12</f>
        <v>5.3157978056438229E-22</v>
      </c>
      <c r="AC192" s="22">
        <f t="shared" si="163"/>
        <v>3.5364989187972187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5.6843418860808015E-14</v>
      </c>
      <c r="AJ192" s="13">
        <f>AI192*VLOOKUP('Données projet'!$B$10,Paramètres!$A$1:$I$89,3,0)*VLOOKUP('Données projet'!$B$10,Paramètres!$A$1:$I$89,5,0)</f>
        <v>4.6111381379887463E-14</v>
      </c>
      <c r="AK192" s="13">
        <f t="shared" si="164"/>
        <v>7.5804141040779151E-13</v>
      </c>
      <c r="AL192" s="20">
        <f t="shared" si="165"/>
        <v>1.4005661123635408E-12</v>
      </c>
      <c r="AM192" s="59">
        <f t="shared" si="113"/>
        <v>293.33333333333474</v>
      </c>
      <c r="AN192" s="59">
        <f ca="1">AVERAGE(OFFSET($AM$3,0,0,'Données projet'!$E$10+1,1))-AVERAGE(OFFSET($H$3,0,0,'Données projet'!$E$10+1,1))</f>
        <v>235.31102883830971</v>
      </c>
      <c r="AO192" s="59">
        <f t="shared" si="144"/>
        <v>271.48630853790422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</v>
      </c>
      <c r="AV192" s="21">
        <f>EXP(-LN(2)/25)*AV191+(1-EXP(-LN(2)/25))/(LN(2)/25)*Calculateur!AQ192*Calculateur!AS192*VLOOKUP('Données projet'!$B$10,Paramètres!$A$1:$I$89,3,0)*0.475*44/12</f>
        <v>0.10356042477091364</v>
      </c>
      <c r="AW192" s="21">
        <f>EXP(-LN(2)/2)*AW191+(1-EXP(-LN(2)/2))/(LN(2)/2)*AQ192*AT192*VLOOKUP('Données projet'!$B$10,Paramètres!$A$1:$I$89,3,0)*0.475*44/12</f>
        <v>1.2835821789821136E-23</v>
      </c>
      <c r="AX192" s="21">
        <f t="shared" si="166"/>
        <v>0.10356042477091364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2.8421709430404007E-14</v>
      </c>
      <c r="BE192" s="13">
        <f>BD192*VLOOKUP('Données projet'!$B$11,Paramètres!$A$1:$I$89,3,0)*VLOOKUP('Données projet'!$B$11,Paramètres!$A$1:$I$89,5,0)</f>
        <v>3.2366642699344085E-14</v>
      </c>
      <c r="BF192" s="13">
        <f t="shared" si="167"/>
        <v>5.5446527398450045E-13</v>
      </c>
      <c r="BG192" s="20">
        <f t="shared" si="168"/>
        <v>1.0220655882243624E-12</v>
      </c>
      <c r="BH192" s="59">
        <f t="shared" si="116"/>
        <v>293.33333333333434</v>
      </c>
      <c r="BI192" s="59">
        <f ca="1">AVERAGE(OFFSET($BH$3,0,0,'Données projet'!$E$11+1,1))-AVERAGE(OFFSET($H$3,0,0,'Données projet'!$E$11+1,1))</f>
        <v>249.01678065306629</v>
      </c>
      <c r="BJ192" s="59">
        <f t="shared" si="146"/>
        <v>99.639724892155641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0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>
        <f>BY192*VLOOKUP('Données projet'!$B$12,Paramètres!$A$1:$I$89,3,0)*VLOOKUP('Données projet'!$B$12,Paramètres!$A$1:$I$89,5,0)</f>
        <v>0</v>
      </c>
      <c r="CA192" s="13" t="e">
        <f t="shared" si="170"/>
        <v>#NUM!</v>
      </c>
      <c r="CB192" s="20" t="e">
        <f t="shared" si="171"/>
        <v>#NUM!</v>
      </c>
      <c r="CC192" s="59" t="e">
        <f t="shared" si="119"/>
        <v>#NUM!</v>
      </c>
      <c r="CD192" s="59">
        <f ca="1">AVERAGE(OFFSET($CC$3,0,0,'Données projet'!$E$12+1,1))-AVERAGE(OFFSET($H$3,0,0,'Données projet'!$E$12+1,1))</f>
        <v>0</v>
      </c>
      <c r="CE192" s="59">
        <f t="shared" si="148"/>
        <v>0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</v>
      </c>
      <c r="CL192" s="21">
        <f>EXP(-LN(2)/25)*CL191+(1-EXP(-LN(2)/25))/(LN(2)/25)*Calculateur!CG192*Calculateur!CI192*VLOOKUP('Données projet'!$B$12,Paramètres!$A$1:$I$89,3,0)*0.475*44/12</f>
        <v>0</v>
      </c>
      <c r="CM192" s="21">
        <f>EXP(-LN(2)/2)*CM191+(1-EXP(-LN(2)/2))/(LN(2)/2)*CG192*CJ192*VLOOKUP('Données projet'!$B$12,Paramètres!$A$1:$I$89,3,0)*0.475*44/12</f>
        <v>0</v>
      </c>
      <c r="CN192" s="22">
        <f t="shared" si="172"/>
        <v>0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>
        <f>CT192*VLOOKUP('Données projet'!$B$13,Paramètres!$A$1:$I$89,3,0)*VLOOKUP('Données projet'!$B$13,Paramètres!$A$1:$I$89,5,0)</f>
        <v>0</v>
      </c>
      <c r="CV192" s="13" t="e">
        <f t="shared" si="173"/>
        <v>#NUM!</v>
      </c>
      <c r="CW192" s="20" t="e">
        <f t="shared" si="174"/>
        <v>#NUM!</v>
      </c>
      <c r="CX192" s="59" t="e">
        <f t="shared" si="122"/>
        <v>#NUM!</v>
      </c>
      <c r="CY192" s="59">
        <f ca="1">AVERAGE(OFFSET($CX$3,0,0,'Données projet'!$E$13+1,1))-AVERAGE(OFFSET($H$3,0,0,'Données projet'!$E$13+1,1))</f>
        <v>0</v>
      </c>
      <c r="CZ192" s="59">
        <f t="shared" si="150"/>
        <v>0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0</v>
      </c>
      <c r="DG192" s="21">
        <f>EXP(-LN(2)/25)*DG191+(1-EXP(-LN(2)/25))/(LN(2)/25)*Calculateur!DB192*Calculateur!DD192*VLOOKUP('Données projet'!$B$13,Paramètres!$A$1:$I$89,3,0)*0.475*44/12</f>
        <v>0</v>
      </c>
      <c r="DH192" s="21">
        <f>EXP(-LN(2)/2)*DH191+(1-EXP(-LN(2)/2))/(LN(2)/2)*DB192*DE192*VLOOKUP('Données projet'!$B$13,Paramètres!$A$1:$I$89,3,0)*0.475*44/12</f>
        <v>0</v>
      </c>
      <c r="DI192" s="22">
        <f t="shared" si="175"/>
        <v>0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-2.2737367544323206E-13</v>
      </c>
      <c r="O193" s="13">
        <f>N193*VLOOKUP('Données projet'!$B$9,Paramètres!$A$1:$I$89,3,0)*VLOOKUP('Données projet'!$B$9,Paramètres!$A$1:$I$89,5,0)</f>
        <v>-1.3596945791505279E-13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181.92766225683107</v>
      </c>
      <c r="T193" s="59">
        <f t="shared" si="142"/>
        <v>370.52917139565756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2.7645235024674712</v>
      </c>
      <c r="AA193" s="21">
        <f>EXP(-LN(2)/25)*AA192+(1-EXP(-LN(2)/25))/(LN(2)/25)*Calculateur!V193*Calculateur!X193*VLOOKUP('Données projet'!$B$9,Paramètres!$A$1:$I$89,3,0)*0.475*44/12</f>
        <v>0.6970828311186773</v>
      </c>
      <c r="AB193" s="21">
        <f>EXP(-LN(2)/2)*AB192+(1-EXP(-LN(2)/2))/(LN(2)/2)*V193*Y193*VLOOKUP('Données projet'!$B$9,Paramètres!$A$1:$I$89,3,0)*0.475*44/12</f>
        <v>3.7588366757873163E-22</v>
      </c>
      <c r="AC193" s="22">
        <f t="shared" si="163"/>
        <v>3.4616063335861487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5.6843418860808015E-14</v>
      </c>
      <c r="AJ193" s="13">
        <f>AI193*VLOOKUP('Données projet'!$B$10,Paramètres!$A$1:$I$89,3,0)*VLOOKUP('Données projet'!$B$10,Paramètres!$A$1:$I$89,5,0)</f>
        <v>4.6111381379887463E-14</v>
      </c>
      <c r="AK193" s="13">
        <f t="shared" si="164"/>
        <v>7.5804141040779151E-13</v>
      </c>
      <c r="AL193" s="20">
        <f t="shared" si="165"/>
        <v>1.4005661123635408E-12</v>
      </c>
      <c r="AM193" s="59">
        <f t="shared" si="113"/>
        <v>293.33333333333474</v>
      </c>
      <c r="AN193" s="59">
        <f ca="1">AVERAGE(OFFSET($AM$3,0,0,'Données projet'!$E$10+1,1))-AVERAGE(OFFSET($H$3,0,0,'Données projet'!$E$10+1,1))</f>
        <v>235.31102883830971</v>
      </c>
      <c r="AO193" s="59">
        <f t="shared" si="144"/>
        <v>271.48630853790422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</v>
      </c>
      <c r="AV193" s="21">
        <f>EXP(-LN(2)/25)*AV192+(1-EXP(-LN(2)/25))/(LN(2)/25)*Calculateur!AQ193*Calculateur!AS193*VLOOKUP('Données projet'!$B$10,Paramètres!$A$1:$I$89,3,0)*0.475*44/12</f>
        <v>0.10072855950954696</v>
      </c>
      <c r="AW193" s="21">
        <f>EXP(-LN(2)/2)*AW192+(1-EXP(-LN(2)/2))/(LN(2)/2)*AQ193*AT193*VLOOKUP('Données projet'!$B$10,Paramètres!$A$1:$I$89,3,0)*0.475*44/12</f>
        <v>9.076296629684573E-24</v>
      </c>
      <c r="AX193" s="21">
        <f t="shared" si="166"/>
        <v>0.10072855950954696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2.8421709430404007E-14</v>
      </c>
      <c r="BE193" s="13">
        <f>BD193*VLOOKUP('Données projet'!$B$11,Paramètres!$A$1:$I$89,3,0)*VLOOKUP('Données projet'!$B$11,Paramètres!$A$1:$I$89,5,0)</f>
        <v>3.2366642699344085E-14</v>
      </c>
      <c r="BF193" s="13">
        <f t="shared" si="167"/>
        <v>5.5446527398450045E-13</v>
      </c>
      <c r="BG193" s="20">
        <f t="shared" si="168"/>
        <v>1.0220655882243624E-12</v>
      </c>
      <c r="BH193" s="59">
        <f t="shared" si="116"/>
        <v>293.33333333333434</v>
      </c>
      <c r="BI193" s="59">
        <f ca="1">AVERAGE(OFFSET($BH$3,0,0,'Données projet'!$E$11+1,1))-AVERAGE(OFFSET($H$3,0,0,'Données projet'!$E$11+1,1))</f>
        <v>249.01678065306629</v>
      </c>
      <c r="BJ193" s="59">
        <f t="shared" si="146"/>
        <v>99.639724892155641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0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>
        <f>BY193*VLOOKUP('Données projet'!$B$12,Paramètres!$A$1:$I$89,3,0)*VLOOKUP('Données projet'!$B$12,Paramètres!$A$1:$I$89,5,0)</f>
        <v>0</v>
      </c>
      <c r="CA193" s="13" t="e">
        <f t="shared" si="170"/>
        <v>#NUM!</v>
      </c>
      <c r="CB193" s="20" t="e">
        <f t="shared" si="171"/>
        <v>#NUM!</v>
      </c>
      <c r="CC193" s="59" t="e">
        <f t="shared" si="119"/>
        <v>#NUM!</v>
      </c>
      <c r="CD193" s="59">
        <f ca="1">AVERAGE(OFFSET($CC$3,0,0,'Données projet'!$E$12+1,1))-AVERAGE(OFFSET($H$3,0,0,'Données projet'!$E$12+1,1))</f>
        <v>0</v>
      </c>
      <c r="CE193" s="59">
        <f t="shared" si="148"/>
        <v>0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</v>
      </c>
      <c r="CL193" s="21">
        <f>EXP(-LN(2)/25)*CL192+(1-EXP(-LN(2)/25))/(LN(2)/25)*Calculateur!CG193*Calculateur!CI193*VLOOKUP('Données projet'!$B$12,Paramètres!$A$1:$I$89,3,0)*0.475*44/12</f>
        <v>0</v>
      </c>
      <c r="CM193" s="21">
        <f>EXP(-LN(2)/2)*CM192+(1-EXP(-LN(2)/2))/(LN(2)/2)*CG193*CJ193*VLOOKUP('Données projet'!$B$12,Paramètres!$A$1:$I$89,3,0)*0.475*44/12</f>
        <v>0</v>
      </c>
      <c r="CN193" s="22">
        <f t="shared" si="172"/>
        <v>0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>
        <f>CT193*VLOOKUP('Données projet'!$B$13,Paramètres!$A$1:$I$89,3,0)*VLOOKUP('Données projet'!$B$13,Paramètres!$A$1:$I$89,5,0)</f>
        <v>0</v>
      </c>
      <c r="CV193" s="13" t="e">
        <f t="shared" si="173"/>
        <v>#NUM!</v>
      </c>
      <c r="CW193" s="20" t="e">
        <f t="shared" si="174"/>
        <v>#NUM!</v>
      </c>
      <c r="CX193" s="59" t="e">
        <f t="shared" si="122"/>
        <v>#NUM!</v>
      </c>
      <c r="CY193" s="59">
        <f ca="1">AVERAGE(OFFSET($CX$3,0,0,'Données projet'!$E$13+1,1))-AVERAGE(OFFSET($H$3,0,0,'Données projet'!$E$13+1,1))</f>
        <v>0</v>
      </c>
      <c r="CZ193" s="59">
        <f t="shared" si="150"/>
        <v>0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0</v>
      </c>
      <c r="DG193" s="21">
        <f>EXP(-LN(2)/25)*DG192+(1-EXP(-LN(2)/25))/(LN(2)/25)*Calculateur!DB193*Calculateur!DD193*VLOOKUP('Données projet'!$B$13,Paramètres!$A$1:$I$89,3,0)*0.475*44/12</f>
        <v>0</v>
      </c>
      <c r="DH193" s="21">
        <f>EXP(-LN(2)/2)*DH192+(1-EXP(-LN(2)/2))/(LN(2)/2)*DB193*DE193*VLOOKUP('Données projet'!$B$13,Paramètres!$A$1:$I$89,3,0)*0.475*44/12</f>
        <v>0</v>
      </c>
      <c r="DI193" s="22">
        <f t="shared" si="175"/>
        <v>0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-2.2737367544323206E-13</v>
      </c>
      <c r="O194" s="13">
        <f>N194*VLOOKUP('Données projet'!$B$9,Paramètres!$A$1:$I$89,3,0)*VLOOKUP('Données projet'!$B$9,Paramètres!$A$1:$I$89,5,0)</f>
        <v>-1.3596945791505279E-13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181.92766225683107</v>
      </c>
      <c r="T194" s="59">
        <f t="shared" si="142"/>
        <v>370.52917139565756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2.7103128827769227</v>
      </c>
      <c r="AA194" s="21">
        <f>EXP(-LN(2)/25)*AA193+(1-EXP(-LN(2)/25))/(LN(2)/25)*Calculateur!V194*Calculateur!X194*VLOOKUP('Données projet'!$B$9,Paramètres!$A$1:$I$89,3,0)*0.475*44/12</f>
        <v>0.67802106444374421</v>
      </c>
      <c r="AB194" s="21">
        <f>EXP(-LN(2)/2)*AB193+(1-EXP(-LN(2)/2))/(LN(2)/2)*V194*Y194*VLOOKUP('Données projet'!$B$9,Paramètres!$A$1:$I$89,3,0)*0.475*44/12</f>
        <v>2.6578989028219115E-22</v>
      </c>
      <c r="AC194" s="22">
        <f t="shared" si="163"/>
        <v>3.3883339472206671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5.6843418860808015E-14</v>
      </c>
      <c r="AJ194" s="13">
        <f>AI194*VLOOKUP('Données projet'!$B$10,Paramètres!$A$1:$I$89,3,0)*VLOOKUP('Données projet'!$B$10,Paramètres!$A$1:$I$89,5,0)</f>
        <v>4.6111381379887463E-14</v>
      </c>
      <c r="AK194" s="13">
        <f t="shared" si="164"/>
        <v>7.5804141040779151E-13</v>
      </c>
      <c r="AL194" s="20">
        <f t="shared" si="165"/>
        <v>1.4005661123635408E-12</v>
      </c>
      <c r="AM194" s="59">
        <f t="shared" si="113"/>
        <v>293.33333333333474</v>
      </c>
      <c r="AN194" s="59">
        <f ca="1">AVERAGE(OFFSET($AM$3,0,0,'Données projet'!$E$10+1,1))-AVERAGE(OFFSET($H$3,0,0,'Données projet'!$E$10+1,1))</f>
        <v>235.31102883830971</v>
      </c>
      <c r="AO194" s="59">
        <f t="shared" si="144"/>
        <v>271.48630853790422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</v>
      </c>
      <c r="AV194" s="21">
        <f>EXP(-LN(2)/25)*AV193+(1-EXP(-LN(2)/25))/(LN(2)/25)*Calculateur!AQ194*Calculateur!AS194*VLOOKUP('Données projet'!$B$10,Paramètres!$A$1:$I$89,3,0)*0.475*44/12</f>
        <v>9.7974131752673665E-2</v>
      </c>
      <c r="AW194" s="21">
        <f>EXP(-LN(2)/2)*AW193+(1-EXP(-LN(2)/2))/(LN(2)/2)*AQ194*AT194*VLOOKUP('Données projet'!$B$10,Paramètres!$A$1:$I$89,3,0)*0.475*44/12</f>
        <v>6.4179108949105682E-24</v>
      </c>
      <c r="AX194" s="21">
        <f t="shared" si="166"/>
        <v>9.7974131752673665E-2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2.8421709430404007E-14</v>
      </c>
      <c r="BE194" s="13">
        <f>BD194*VLOOKUP('Données projet'!$B$11,Paramètres!$A$1:$I$89,3,0)*VLOOKUP('Données projet'!$B$11,Paramètres!$A$1:$I$89,5,0)</f>
        <v>3.2366642699344085E-14</v>
      </c>
      <c r="BF194" s="13">
        <f t="shared" si="167"/>
        <v>5.5446527398450045E-13</v>
      </c>
      <c r="BG194" s="20">
        <f t="shared" si="168"/>
        <v>1.0220655882243624E-12</v>
      </c>
      <c r="BH194" s="59">
        <f t="shared" si="116"/>
        <v>293.33333333333434</v>
      </c>
      <c r="BI194" s="59">
        <f ca="1">AVERAGE(OFFSET($BH$3,0,0,'Données projet'!$E$11+1,1))-AVERAGE(OFFSET($H$3,0,0,'Données projet'!$E$11+1,1))</f>
        <v>249.01678065306629</v>
      </c>
      <c r="BJ194" s="59">
        <f t="shared" si="146"/>
        <v>99.639724892155641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0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>
        <f>BY194*VLOOKUP('Données projet'!$B$12,Paramètres!$A$1:$I$89,3,0)*VLOOKUP('Données projet'!$B$12,Paramètres!$A$1:$I$89,5,0)</f>
        <v>0</v>
      </c>
      <c r="CA194" s="13" t="e">
        <f t="shared" si="170"/>
        <v>#NUM!</v>
      </c>
      <c r="CB194" s="20" t="e">
        <f t="shared" si="171"/>
        <v>#NUM!</v>
      </c>
      <c r="CC194" s="59" t="e">
        <f t="shared" si="119"/>
        <v>#NUM!</v>
      </c>
      <c r="CD194" s="59">
        <f ca="1">AVERAGE(OFFSET($CC$3,0,0,'Données projet'!$E$12+1,1))-AVERAGE(OFFSET($H$3,0,0,'Données projet'!$E$12+1,1))</f>
        <v>0</v>
      </c>
      <c r="CE194" s="59">
        <f t="shared" si="148"/>
        <v>0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</v>
      </c>
      <c r="CL194" s="21">
        <f>EXP(-LN(2)/25)*CL193+(1-EXP(-LN(2)/25))/(LN(2)/25)*Calculateur!CG194*Calculateur!CI194*VLOOKUP('Données projet'!$B$12,Paramètres!$A$1:$I$89,3,0)*0.475*44/12</f>
        <v>0</v>
      </c>
      <c r="CM194" s="21">
        <f>EXP(-LN(2)/2)*CM193+(1-EXP(-LN(2)/2))/(LN(2)/2)*CG194*CJ194*VLOOKUP('Données projet'!$B$12,Paramètres!$A$1:$I$89,3,0)*0.475*44/12</f>
        <v>0</v>
      </c>
      <c r="CN194" s="22">
        <f t="shared" si="172"/>
        <v>0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>
        <f>CT194*VLOOKUP('Données projet'!$B$13,Paramètres!$A$1:$I$89,3,0)*VLOOKUP('Données projet'!$B$13,Paramètres!$A$1:$I$89,5,0)</f>
        <v>0</v>
      </c>
      <c r="CV194" s="13" t="e">
        <f t="shared" si="173"/>
        <v>#NUM!</v>
      </c>
      <c r="CW194" s="20" t="e">
        <f t="shared" si="174"/>
        <v>#NUM!</v>
      </c>
      <c r="CX194" s="59" t="e">
        <f t="shared" si="122"/>
        <v>#NUM!</v>
      </c>
      <c r="CY194" s="59">
        <f ca="1">AVERAGE(OFFSET($CX$3,0,0,'Données projet'!$E$13+1,1))-AVERAGE(OFFSET($H$3,0,0,'Données projet'!$E$13+1,1))</f>
        <v>0</v>
      </c>
      <c r="CZ194" s="59">
        <f t="shared" si="150"/>
        <v>0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0</v>
      </c>
      <c r="DG194" s="21">
        <f>EXP(-LN(2)/25)*DG193+(1-EXP(-LN(2)/25))/(LN(2)/25)*Calculateur!DB194*Calculateur!DD194*VLOOKUP('Données projet'!$B$13,Paramètres!$A$1:$I$89,3,0)*0.475*44/12</f>
        <v>0</v>
      </c>
      <c r="DH194" s="21">
        <f>EXP(-LN(2)/2)*DH193+(1-EXP(-LN(2)/2))/(LN(2)/2)*DB194*DE194*VLOOKUP('Données projet'!$B$13,Paramètres!$A$1:$I$89,3,0)*0.475*44/12</f>
        <v>0</v>
      </c>
      <c r="DI194" s="22">
        <f t="shared" si="175"/>
        <v>0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-2.2737367544323206E-13</v>
      </c>
      <c r="O195" s="13">
        <f>N195*VLOOKUP('Données projet'!$B$9,Paramètres!$A$1:$I$89,3,0)*VLOOKUP('Données projet'!$B$9,Paramètres!$A$1:$I$89,5,0)</f>
        <v>-1.3596945791505279E-13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181.92766225683107</v>
      </c>
      <c r="T195" s="59">
        <f t="shared" si="142"/>
        <v>370.52917139565756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2.6571653002732929</v>
      </c>
      <c r="AA195" s="21">
        <f>EXP(-LN(2)/25)*AA194+(1-EXP(-LN(2)/25))/(LN(2)/25)*Calculateur!V195*Calculateur!X195*VLOOKUP('Données projet'!$B$9,Paramètres!$A$1:$I$89,3,0)*0.475*44/12</f>
        <v>0.65948054278095192</v>
      </c>
      <c r="AB195" s="21">
        <f>EXP(-LN(2)/2)*AB194+(1-EXP(-LN(2)/2))/(LN(2)/2)*V195*Y195*VLOOKUP('Données projet'!$B$9,Paramètres!$A$1:$I$89,3,0)*0.475*44/12</f>
        <v>1.8794183378936581E-22</v>
      </c>
      <c r="AC195" s="22">
        <f t="shared" si="163"/>
        <v>3.3166458430542449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5.6843418860808015E-14</v>
      </c>
      <c r="AJ195" s="13">
        <f>AI195*VLOOKUP('Données projet'!$B$10,Paramètres!$A$1:$I$89,3,0)*VLOOKUP('Données projet'!$B$10,Paramètres!$A$1:$I$89,5,0)</f>
        <v>4.6111381379887463E-14</v>
      </c>
      <c r="AK195" s="13">
        <f t="shared" si="164"/>
        <v>7.5804141040779151E-13</v>
      </c>
      <c r="AL195" s="20">
        <f t="shared" si="165"/>
        <v>1.4005661123635408E-12</v>
      </c>
      <c r="AM195" s="59">
        <f t="shared" si="113"/>
        <v>293.33333333333474</v>
      </c>
      <c r="AN195" s="59">
        <f ca="1">AVERAGE(OFFSET($AM$3,0,0,'Données projet'!$E$10+1,1))-AVERAGE(OFFSET($H$3,0,0,'Données projet'!$E$10+1,1))</f>
        <v>235.31102883830971</v>
      </c>
      <c r="AO195" s="59">
        <f t="shared" si="144"/>
        <v>271.48630853790422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</v>
      </c>
      <c r="AV195" s="21">
        <f>EXP(-LN(2)/25)*AV194+(1-EXP(-LN(2)/25))/(LN(2)/25)*Calculateur!AQ195*Calculateur!AS195*VLOOKUP('Données projet'!$B$10,Paramètres!$A$1:$I$89,3,0)*0.475*44/12</f>
        <v>9.5295023967661138E-2</v>
      </c>
      <c r="AW195" s="21">
        <f>EXP(-LN(2)/2)*AW194+(1-EXP(-LN(2)/2))/(LN(2)/2)*AQ195*AT195*VLOOKUP('Données projet'!$B$10,Paramètres!$A$1:$I$89,3,0)*0.475*44/12</f>
        <v>4.5381483148422865E-24</v>
      </c>
      <c r="AX195" s="21">
        <f t="shared" si="166"/>
        <v>9.5295023967661138E-2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2.8421709430404007E-14</v>
      </c>
      <c r="BE195" s="13">
        <f>BD195*VLOOKUP('Données projet'!$B$11,Paramètres!$A$1:$I$89,3,0)*VLOOKUP('Données projet'!$B$11,Paramètres!$A$1:$I$89,5,0)</f>
        <v>3.2366642699344085E-14</v>
      </c>
      <c r="BF195" s="13">
        <f t="shared" si="167"/>
        <v>5.5446527398450045E-13</v>
      </c>
      <c r="BG195" s="20">
        <f t="shared" si="168"/>
        <v>1.0220655882243624E-12</v>
      </c>
      <c r="BH195" s="59">
        <f t="shared" si="116"/>
        <v>293.33333333333434</v>
      </c>
      <c r="BI195" s="59">
        <f ca="1">AVERAGE(OFFSET($BH$3,0,0,'Données projet'!$E$11+1,1))-AVERAGE(OFFSET($H$3,0,0,'Données projet'!$E$11+1,1))</f>
        <v>249.01678065306629</v>
      </c>
      <c r="BJ195" s="59">
        <f t="shared" si="146"/>
        <v>99.639724892155641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0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>
        <f>BY195*VLOOKUP('Données projet'!$B$12,Paramètres!$A$1:$I$89,3,0)*VLOOKUP('Données projet'!$B$12,Paramètres!$A$1:$I$89,5,0)</f>
        <v>0</v>
      </c>
      <c r="CA195" s="13" t="e">
        <f t="shared" si="170"/>
        <v>#NUM!</v>
      </c>
      <c r="CB195" s="20" t="e">
        <f t="shared" si="171"/>
        <v>#NUM!</v>
      </c>
      <c r="CC195" s="59" t="e">
        <f t="shared" si="119"/>
        <v>#NUM!</v>
      </c>
      <c r="CD195" s="59">
        <f ca="1">AVERAGE(OFFSET($CC$3,0,0,'Données projet'!$E$12+1,1))-AVERAGE(OFFSET($H$3,0,0,'Données projet'!$E$12+1,1))</f>
        <v>0</v>
      </c>
      <c r="CE195" s="59">
        <f t="shared" si="148"/>
        <v>0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</v>
      </c>
      <c r="CL195" s="21">
        <f>EXP(-LN(2)/25)*CL194+(1-EXP(-LN(2)/25))/(LN(2)/25)*Calculateur!CG195*Calculateur!CI195*VLOOKUP('Données projet'!$B$12,Paramètres!$A$1:$I$89,3,0)*0.475*44/12</f>
        <v>0</v>
      </c>
      <c r="CM195" s="21">
        <f>EXP(-LN(2)/2)*CM194+(1-EXP(-LN(2)/2))/(LN(2)/2)*CG195*CJ195*VLOOKUP('Données projet'!$B$12,Paramètres!$A$1:$I$89,3,0)*0.475*44/12</f>
        <v>0</v>
      </c>
      <c r="CN195" s="22">
        <f t="shared" si="172"/>
        <v>0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>
        <f>CT195*VLOOKUP('Données projet'!$B$13,Paramètres!$A$1:$I$89,3,0)*VLOOKUP('Données projet'!$B$13,Paramètres!$A$1:$I$89,5,0)</f>
        <v>0</v>
      </c>
      <c r="CV195" s="13" t="e">
        <f t="shared" si="173"/>
        <v>#NUM!</v>
      </c>
      <c r="CW195" s="20" t="e">
        <f t="shared" si="174"/>
        <v>#NUM!</v>
      </c>
      <c r="CX195" s="59" t="e">
        <f t="shared" si="122"/>
        <v>#NUM!</v>
      </c>
      <c r="CY195" s="59">
        <f ca="1">AVERAGE(OFFSET($CX$3,0,0,'Données projet'!$E$13+1,1))-AVERAGE(OFFSET($H$3,0,0,'Données projet'!$E$13+1,1))</f>
        <v>0</v>
      </c>
      <c r="CZ195" s="59">
        <f t="shared" si="150"/>
        <v>0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0</v>
      </c>
      <c r="DG195" s="21">
        <f>EXP(-LN(2)/25)*DG194+(1-EXP(-LN(2)/25))/(LN(2)/25)*Calculateur!DB195*Calculateur!DD195*VLOOKUP('Données projet'!$B$13,Paramètres!$A$1:$I$89,3,0)*0.475*44/12</f>
        <v>0</v>
      </c>
      <c r="DH195" s="21">
        <f>EXP(-LN(2)/2)*DH194+(1-EXP(-LN(2)/2))/(LN(2)/2)*DB195*DE195*VLOOKUP('Données projet'!$B$13,Paramètres!$A$1:$I$89,3,0)*0.475*44/12</f>
        <v>0</v>
      </c>
      <c r="DI195" s="22">
        <f t="shared" si="175"/>
        <v>0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-2.2737367544323206E-13</v>
      </c>
      <c r="O196" s="13">
        <f>N196*VLOOKUP('Données projet'!$B$9,Paramètres!$A$1:$I$89,3,0)*VLOOKUP('Données projet'!$B$9,Paramètres!$A$1:$I$89,5,0)</f>
        <v>-1.3596945791505279E-13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181.92766225683107</v>
      </c>
      <c r="T196" s="59">
        <f t="shared" si="142"/>
        <v>370.52917139565756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2.605059909445735</v>
      </c>
      <c r="AA196" s="21">
        <f>EXP(-LN(2)/25)*AA195+(1-EXP(-LN(2)/25))/(LN(2)/25)*Calculateur!V196*Calculateur!X196*VLOOKUP('Données projet'!$B$9,Paramètres!$A$1:$I$89,3,0)*0.475*44/12</f>
        <v>0.64144701265803228</v>
      </c>
      <c r="AB196" s="21">
        <f>EXP(-LN(2)/2)*AB195+(1-EXP(-LN(2)/2))/(LN(2)/2)*V196*Y196*VLOOKUP('Données projet'!$B$9,Paramètres!$A$1:$I$89,3,0)*0.475*44/12</f>
        <v>1.3289494514109557E-22</v>
      </c>
      <c r="AC196" s="22">
        <f t="shared" si="163"/>
        <v>3.2465069221037672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5.6843418860808015E-14</v>
      </c>
      <c r="AJ196" s="13">
        <f>AI196*VLOOKUP('Données projet'!$B$10,Paramètres!$A$1:$I$89,3,0)*VLOOKUP('Données projet'!$B$10,Paramètres!$A$1:$I$89,5,0)</f>
        <v>4.6111381379887463E-14</v>
      </c>
      <c r="AK196" s="13">
        <f t="shared" si="164"/>
        <v>7.5804141040779151E-13</v>
      </c>
      <c r="AL196" s="20">
        <f t="shared" si="165"/>
        <v>1.4005661123635408E-12</v>
      </c>
      <c r="AM196" s="59">
        <f t="shared" ref="AM196:AM203" si="193">AL196+(AD196+AE196)*44/12</f>
        <v>293.33333333333474</v>
      </c>
      <c r="AN196" s="59">
        <f ca="1">AVERAGE(OFFSET($AM$3,0,0,'Données projet'!$E$10+1,1))-AVERAGE(OFFSET($H$3,0,0,'Données projet'!$E$10+1,1))</f>
        <v>235.31102883830971</v>
      </c>
      <c r="AO196" s="59">
        <f t="shared" si="144"/>
        <v>271.48630853790422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</v>
      </c>
      <c r="AV196" s="21">
        <f>EXP(-LN(2)/25)*AV195+(1-EXP(-LN(2)/25))/(LN(2)/25)*Calculateur!AQ196*Calculateur!AS196*VLOOKUP('Données projet'!$B$10,Paramètres!$A$1:$I$89,3,0)*0.475*44/12</f>
        <v>9.2689176525917932E-2</v>
      </c>
      <c r="AW196" s="21">
        <f>EXP(-LN(2)/2)*AW195+(1-EXP(-LN(2)/2))/(LN(2)/2)*AQ196*AT196*VLOOKUP('Données projet'!$B$10,Paramètres!$A$1:$I$89,3,0)*0.475*44/12</f>
        <v>3.2089554474552841E-24</v>
      </c>
      <c r="AX196" s="21">
        <f t="shared" si="166"/>
        <v>9.2689176525917932E-2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2.8421709430404007E-14</v>
      </c>
      <c r="BE196" s="13">
        <f>BD196*VLOOKUP('Données projet'!$B$11,Paramètres!$A$1:$I$89,3,0)*VLOOKUP('Données projet'!$B$11,Paramètres!$A$1:$I$89,5,0)</f>
        <v>3.2366642699344085E-14</v>
      </c>
      <c r="BF196" s="13">
        <f t="shared" si="167"/>
        <v>5.5446527398450045E-13</v>
      </c>
      <c r="BG196" s="20">
        <f t="shared" si="168"/>
        <v>1.0220655882243624E-12</v>
      </c>
      <c r="BH196" s="59">
        <f t="shared" ref="BH196:BH203" si="194">BG196+(AY196+AZ196)*44/12</f>
        <v>293.33333333333434</v>
      </c>
      <c r="BI196" s="59">
        <f ca="1">AVERAGE(OFFSET($BH$3,0,0,'Données projet'!$E$11+1,1))-AVERAGE(OFFSET($H$3,0,0,'Données projet'!$E$11+1,1))</f>
        <v>249.01678065306629</v>
      </c>
      <c r="BJ196" s="59">
        <f t="shared" si="146"/>
        <v>99.639724892155641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0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>
        <f>BY196*VLOOKUP('Données projet'!$B$12,Paramètres!$A$1:$I$89,3,0)*VLOOKUP('Données projet'!$B$12,Paramètres!$A$1:$I$89,5,0)</f>
        <v>0</v>
      </c>
      <c r="CA196" s="13" t="e">
        <f t="shared" si="170"/>
        <v>#NUM!</v>
      </c>
      <c r="CB196" s="20" t="e">
        <f t="shared" si="171"/>
        <v>#NUM!</v>
      </c>
      <c r="CC196" s="59" t="e">
        <f t="shared" ref="CC196:CC203" si="195">CB196+(BT196+BU196)*44/12</f>
        <v>#NUM!</v>
      </c>
      <c r="CD196" s="59">
        <f ca="1">AVERAGE(OFFSET($CC$3,0,0,'Données projet'!$E$12+1,1))-AVERAGE(OFFSET($H$3,0,0,'Données projet'!$E$12+1,1))</f>
        <v>0</v>
      </c>
      <c r="CE196" s="59">
        <f t="shared" si="148"/>
        <v>0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</v>
      </c>
      <c r="CL196" s="21">
        <f>EXP(-LN(2)/25)*CL195+(1-EXP(-LN(2)/25))/(LN(2)/25)*Calculateur!CG196*Calculateur!CI196*VLOOKUP('Données projet'!$B$12,Paramètres!$A$1:$I$89,3,0)*0.475*44/12</f>
        <v>0</v>
      </c>
      <c r="CM196" s="21">
        <f>EXP(-LN(2)/2)*CM195+(1-EXP(-LN(2)/2))/(LN(2)/2)*CG196*CJ196*VLOOKUP('Données projet'!$B$12,Paramètres!$A$1:$I$89,3,0)*0.475*44/12</f>
        <v>0</v>
      </c>
      <c r="CN196" s="22">
        <f t="shared" si="172"/>
        <v>0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>
        <f>CT196*VLOOKUP('Données projet'!$B$13,Paramètres!$A$1:$I$89,3,0)*VLOOKUP('Données projet'!$B$13,Paramètres!$A$1:$I$89,5,0)</f>
        <v>0</v>
      </c>
      <c r="CV196" s="13" t="e">
        <f t="shared" si="173"/>
        <v>#NUM!</v>
      </c>
      <c r="CW196" s="20" t="e">
        <f t="shared" si="174"/>
        <v>#NUM!</v>
      </c>
      <c r="CX196" s="59" t="e">
        <f t="shared" ref="CX196:CX203" si="196">CW196+(CO196+CP196)*44/12</f>
        <v>#NUM!</v>
      </c>
      <c r="CY196" s="59">
        <f ca="1">AVERAGE(OFFSET($CX$3,0,0,'Données projet'!$E$13+1,1))-AVERAGE(OFFSET($H$3,0,0,'Données projet'!$E$13+1,1))</f>
        <v>0</v>
      </c>
      <c r="CZ196" s="59">
        <f t="shared" si="150"/>
        <v>0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0</v>
      </c>
      <c r="DG196" s="21">
        <f>EXP(-LN(2)/25)*DG195+(1-EXP(-LN(2)/25))/(LN(2)/25)*Calculateur!DB196*Calculateur!DD196*VLOOKUP('Données projet'!$B$13,Paramètres!$A$1:$I$89,3,0)*0.475*44/12</f>
        <v>0</v>
      </c>
      <c r="DH196" s="21">
        <f>EXP(-LN(2)/2)*DH195+(1-EXP(-LN(2)/2))/(LN(2)/2)*DB196*DE196*VLOOKUP('Données projet'!$B$13,Paramètres!$A$1:$I$89,3,0)*0.475*44/12</f>
        <v>0</v>
      </c>
      <c r="DI196" s="22">
        <f t="shared" si="175"/>
        <v>0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-2.2737367544323206E-13</v>
      </c>
      <c r="O197" s="13">
        <f>N197*VLOOKUP('Données projet'!$B$9,Paramètres!$A$1:$I$89,3,0)*VLOOKUP('Données projet'!$B$9,Paramètres!$A$1:$I$89,5,0)</f>
        <v>-1.3596945791505279E-13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181.92766225683107</v>
      </c>
      <c r="T197" s="59">
        <f t="shared" ref="T197:T203" si="204">$T$3</f>
        <v>370.52917139565756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2.5539762735511551</v>
      </c>
      <c r="AA197" s="21">
        <f>EXP(-LN(2)/25)*AA196+(1-EXP(-LN(2)/25))/(LN(2)/25)*Calculateur!V197*Calculateur!X197*VLOOKUP('Données projet'!$B$9,Paramètres!$A$1:$I$89,3,0)*0.475*44/12</f>
        <v>0.62390661036466599</v>
      </c>
      <c r="AB197" s="21">
        <f>EXP(-LN(2)/2)*AB196+(1-EXP(-LN(2)/2))/(LN(2)/2)*V197*Y197*VLOOKUP('Données projet'!$B$9,Paramètres!$A$1:$I$89,3,0)*0.475*44/12</f>
        <v>9.3970916894682906E-23</v>
      </c>
      <c r="AC197" s="22">
        <f t="shared" si="163"/>
        <v>3.1778828839158209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5.6843418860808015E-14</v>
      </c>
      <c r="AJ197" s="13">
        <f>AI197*VLOOKUP('Données projet'!$B$10,Paramètres!$A$1:$I$89,3,0)*VLOOKUP('Données projet'!$B$10,Paramètres!$A$1:$I$89,5,0)</f>
        <v>4.6111381379887463E-14</v>
      </c>
      <c r="AK197" s="13">
        <f t="shared" si="164"/>
        <v>7.5804141040779151E-13</v>
      </c>
      <c r="AL197" s="20">
        <f t="shared" si="165"/>
        <v>1.4005661123635408E-12</v>
      </c>
      <c r="AM197" s="59">
        <f t="shared" si="193"/>
        <v>293.33333333333474</v>
      </c>
      <c r="AN197" s="59">
        <f ca="1">AVERAGE(OFFSET($AM$3,0,0,'Données projet'!$E$10+1,1))-AVERAGE(OFFSET($H$3,0,0,'Données projet'!$E$10+1,1))</f>
        <v>235.31102883830971</v>
      </c>
      <c r="AO197" s="59">
        <f t="shared" ref="AO197:AO203" si="205">$AO$3</f>
        <v>271.48630853790422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</v>
      </c>
      <c r="AV197" s="21">
        <f>EXP(-LN(2)/25)*AV196+(1-EXP(-LN(2)/25))/(LN(2)/25)*Calculateur!AQ197*Calculateur!AS197*VLOOKUP('Données projet'!$B$10,Paramètres!$A$1:$I$89,3,0)*0.475*44/12</f>
        <v>9.0154586119504762E-2</v>
      </c>
      <c r="AW197" s="21">
        <f>EXP(-LN(2)/2)*AW196+(1-EXP(-LN(2)/2))/(LN(2)/2)*AQ197*AT197*VLOOKUP('Données projet'!$B$10,Paramètres!$A$1:$I$89,3,0)*0.475*44/12</f>
        <v>2.2690741574211432E-24</v>
      </c>
      <c r="AX197" s="21">
        <f t="shared" si="166"/>
        <v>9.0154586119504762E-2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2.8421709430404007E-14</v>
      </c>
      <c r="BE197" s="13">
        <f>BD197*VLOOKUP('Données projet'!$B$11,Paramètres!$A$1:$I$89,3,0)*VLOOKUP('Données projet'!$B$11,Paramètres!$A$1:$I$89,5,0)</f>
        <v>3.2366642699344085E-14</v>
      </c>
      <c r="BF197" s="13">
        <f t="shared" si="167"/>
        <v>5.5446527398450045E-13</v>
      </c>
      <c r="BG197" s="20">
        <f t="shared" si="168"/>
        <v>1.0220655882243624E-12</v>
      </c>
      <c r="BH197" s="59">
        <f t="shared" si="194"/>
        <v>293.33333333333434</v>
      </c>
      <c r="BI197" s="59">
        <f ca="1">AVERAGE(OFFSET($BH$3,0,0,'Données projet'!$E$11+1,1))-AVERAGE(OFFSET($H$3,0,0,'Données projet'!$E$11+1,1))</f>
        <v>249.01678065306629</v>
      </c>
      <c r="BJ197" s="59">
        <f t="shared" ref="BJ197:BJ203" si="206">$BJ$3</f>
        <v>99.639724892155641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0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>
        <f>BY197*VLOOKUP('Données projet'!$B$12,Paramètres!$A$1:$I$89,3,0)*VLOOKUP('Données projet'!$B$12,Paramètres!$A$1:$I$89,5,0)</f>
        <v>0</v>
      </c>
      <c r="CA197" s="13" t="e">
        <f t="shared" si="170"/>
        <v>#NUM!</v>
      </c>
      <c r="CB197" s="20" t="e">
        <f t="shared" si="171"/>
        <v>#NUM!</v>
      </c>
      <c r="CC197" s="59" t="e">
        <f t="shared" si="195"/>
        <v>#NUM!</v>
      </c>
      <c r="CD197" s="59">
        <f ca="1">AVERAGE(OFFSET($CC$3,0,0,'Données projet'!$E$12+1,1))-AVERAGE(OFFSET($H$3,0,0,'Données projet'!$E$12+1,1))</f>
        <v>0</v>
      </c>
      <c r="CE197" s="59">
        <f t="shared" ref="CE197:CE203" si="207">$CE$3</f>
        <v>0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</v>
      </c>
      <c r="CL197" s="21">
        <f>EXP(-LN(2)/25)*CL196+(1-EXP(-LN(2)/25))/(LN(2)/25)*Calculateur!CG197*Calculateur!CI197*VLOOKUP('Données projet'!$B$12,Paramètres!$A$1:$I$89,3,0)*0.475*44/12</f>
        <v>0</v>
      </c>
      <c r="CM197" s="21">
        <f>EXP(-LN(2)/2)*CM196+(1-EXP(-LN(2)/2))/(LN(2)/2)*CG197*CJ197*VLOOKUP('Données projet'!$B$12,Paramètres!$A$1:$I$89,3,0)*0.475*44/12</f>
        <v>0</v>
      </c>
      <c r="CN197" s="22">
        <f t="shared" si="172"/>
        <v>0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>
        <f>CT197*VLOOKUP('Données projet'!$B$13,Paramètres!$A$1:$I$89,3,0)*VLOOKUP('Données projet'!$B$13,Paramètres!$A$1:$I$89,5,0)</f>
        <v>0</v>
      </c>
      <c r="CV197" s="13" t="e">
        <f t="shared" si="173"/>
        <v>#NUM!</v>
      </c>
      <c r="CW197" s="20" t="e">
        <f t="shared" si="174"/>
        <v>#NUM!</v>
      </c>
      <c r="CX197" s="59" t="e">
        <f t="shared" si="196"/>
        <v>#NUM!</v>
      </c>
      <c r="CY197" s="59">
        <f ca="1">AVERAGE(OFFSET($CX$3,0,0,'Données projet'!$E$13+1,1))-AVERAGE(OFFSET($H$3,0,0,'Données projet'!$E$13+1,1))</f>
        <v>0</v>
      </c>
      <c r="CZ197" s="59">
        <f t="shared" ref="CZ197:CZ203" si="208">$CZ$3</f>
        <v>0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0</v>
      </c>
      <c r="DG197" s="21">
        <f>EXP(-LN(2)/25)*DG196+(1-EXP(-LN(2)/25))/(LN(2)/25)*Calculateur!DB197*Calculateur!DD197*VLOOKUP('Données projet'!$B$13,Paramètres!$A$1:$I$89,3,0)*0.475*44/12</f>
        <v>0</v>
      </c>
      <c r="DH197" s="21">
        <f>EXP(-LN(2)/2)*DH196+(1-EXP(-LN(2)/2))/(LN(2)/2)*DB197*DE197*VLOOKUP('Données projet'!$B$13,Paramètres!$A$1:$I$89,3,0)*0.475*44/12</f>
        <v>0</v>
      </c>
      <c r="DI197" s="22">
        <f t="shared" si="175"/>
        <v>0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-2.2737367544323206E-13</v>
      </c>
      <c r="O198" s="13">
        <f>N198*VLOOKUP('Données projet'!$B$9,Paramètres!$A$1:$I$89,3,0)*VLOOKUP('Données projet'!$B$9,Paramètres!$A$1:$I$89,5,0)</f>
        <v>-1.3596945791505279E-13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181.92766225683107</v>
      </c>
      <c r="T198" s="59">
        <f t="shared" si="204"/>
        <v>370.52917139565756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2.5038943565985265</v>
      </c>
      <c r="AA198" s="21">
        <f>EXP(-LN(2)/25)*AA197+(1-EXP(-LN(2)/25))/(LN(2)/25)*Calculateur!V198*Calculateur!X198*VLOOKUP('Données projet'!$B$9,Paramètres!$A$1:$I$89,3,0)*0.475*44/12</f>
        <v>0.60684585129442148</v>
      </c>
      <c r="AB198" s="21">
        <f>EXP(-LN(2)/2)*AB197+(1-EXP(-LN(2)/2))/(LN(2)/2)*V198*Y198*VLOOKUP('Données projet'!$B$9,Paramètres!$A$1:$I$89,3,0)*0.475*44/12</f>
        <v>6.6447472570547787E-23</v>
      </c>
      <c r="AC198" s="22">
        <f t="shared" si="163"/>
        <v>3.110740207892948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5.6843418860808015E-14</v>
      </c>
      <c r="AJ198" s="13">
        <f>AI198*VLOOKUP('Données projet'!$B$10,Paramètres!$A$1:$I$89,3,0)*VLOOKUP('Données projet'!$B$10,Paramètres!$A$1:$I$89,5,0)</f>
        <v>4.6111381379887463E-14</v>
      </c>
      <c r="AK198" s="13">
        <f t="shared" si="164"/>
        <v>7.5804141040779151E-13</v>
      </c>
      <c r="AL198" s="20">
        <f t="shared" si="165"/>
        <v>1.4005661123635408E-12</v>
      </c>
      <c r="AM198" s="59">
        <f t="shared" si="193"/>
        <v>293.33333333333474</v>
      </c>
      <c r="AN198" s="59">
        <f ca="1">AVERAGE(OFFSET($AM$3,0,0,'Données projet'!$E$10+1,1))-AVERAGE(OFFSET($H$3,0,0,'Données projet'!$E$10+1,1))</f>
        <v>235.31102883830971</v>
      </c>
      <c r="AO198" s="59">
        <f t="shared" si="205"/>
        <v>271.48630853790422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</v>
      </c>
      <c r="AV198" s="21">
        <f>EXP(-LN(2)/25)*AV197+(1-EXP(-LN(2)/25))/(LN(2)/25)*Calculateur!AQ198*Calculateur!AS198*VLOOKUP('Données projet'!$B$10,Paramètres!$A$1:$I$89,3,0)*0.475*44/12</f>
        <v>8.7689304221043277E-2</v>
      </c>
      <c r="AW198" s="21">
        <f>EXP(-LN(2)/2)*AW197+(1-EXP(-LN(2)/2))/(LN(2)/2)*AQ198*AT198*VLOOKUP('Données projet'!$B$10,Paramètres!$A$1:$I$89,3,0)*0.475*44/12</f>
        <v>1.604477723727642E-24</v>
      </c>
      <c r="AX198" s="21">
        <f t="shared" si="166"/>
        <v>8.7689304221043277E-2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2.8421709430404007E-14</v>
      </c>
      <c r="BE198" s="13">
        <f>BD198*VLOOKUP('Données projet'!$B$11,Paramètres!$A$1:$I$89,3,0)*VLOOKUP('Données projet'!$B$11,Paramètres!$A$1:$I$89,5,0)</f>
        <v>3.2366642699344085E-14</v>
      </c>
      <c r="BF198" s="13">
        <f t="shared" si="167"/>
        <v>5.5446527398450045E-13</v>
      </c>
      <c r="BG198" s="20">
        <f t="shared" si="168"/>
        <v>1.0220655882243624E-12</v>
      </c>
      <c r="BH198" s="59">
        <f t="shared" si="194"/>
        <v>293.33333333333434</v>
      </c>
      <c r="BI198" s="59">
        <f ca="1">AVERAGE(OFFSET($BH$3,0,0,'Données projet'!$E$11+1,1))-AVERAGE(OFFSET($H$3,0,0,'Données projet'!$E$11+1,1))</f>
        <v>249.01678065306629</v>
      </c>
      <c r="BJ198" s="59">
        <f t="shared" si="206"/>
        <v>99.639724892155641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0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>
        <f>BY198*VLOOKUP('Données projet'!$B$12,Paramètres!$A$1:$I$89,3,0)*VLOOKUP('Données projet'!$B$12,Paramètres!$A$1:$I$89,5,0)</f>
        <v>0</v>
      </c>
      <c r="CA198" s="13" t="e">
        <f t="shared" si="170"/>
        <v>#NUM!</v>
      </c>
      <c r="CB198" s="20" t="e">
        <f t="shared" si="171"/>
        <v>#NUM!</v>
      </c>
      <c r="CC198" s="59" t="e">
        <f t="shared" si="195"/>
        <v>#NUM!</v>
      </c>
      <c r="CD198" s="59">
        <f ca="1">AVERAGE(OFFSET($CC$3,0,0,'Données projet'!$E$12+1,1))-AVERAGE(OFFSET($H$3,0,0,'Données projet'!$E$12+1,1))</f>
        <v>0</v>
      </c>
      <c r="CE198" s="59">
        <f t="shared" si="207"/>
        <v>0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</v>
      </c>
      <c r="CL198" s="21">
        <f>EXP(-LN(2)/25)*CL197+(1-EXP(-LN(2)/25))/(LN(2)/25)*Calculateur!CG198*Calculateur!CI198*VLOOKUP('Données projet'!$B$12,Paramètres!$A$1:$I$89,3,0)*0.475*44/12</f>
        <v>0</v>
      </c>
      <c r="CM198" s="21">
        <f>EXP(-LN(2)/2)*CM197+(1-EXP(-LN(2)/2))/(LN(2)/2)*CG198*CJ198*VLOOKUP('Données projet'!$B$12,Paramètres!$A$1:$I$89,3,0)*0.475*44/12</f>
        <v>0</v>
      </c>
      <c r="CN198" s="22">
        <f t="shared" si="172"/>
        <v>0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>
        <f>CT198*VLOOKUP('Données projet'!$B$13,Paramètres!$A$1:$I$89,3,0)*VLOOKUP('Données projet'!$B$13,Paramètres!$A$1:$I$89,5,0)</f>
        <v>0</v>
      </c>
      <c r="CV198" s="13" t="e">
        <f t="shared" si="173"/>
        <v>#NUM!</v>
      </c>
      <c r="CW198" s="20" t="e">
        <f t="shared" si="174"/>
        <v>#NUM!</v>
      </c>
      <c r="CX198" s="59" t="e">
        <f t="shared" si="196"/>
        <v>#NUM!</v>
      </c>
      <c r="CY198" s="59">
        <f ca="1">AVERAGE(OFFSET($CX$3,0,0,'Données projet'!$E$13+1,1))-AVERAGE(OFFSET($H$3,0,0,'Données projet'!$E$13+1,1))</f>
        <v>0</v>
      </c>
      <c r="CZ198" s="59">
        <f t="shared" si="208"/>
        <v>0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0</v>
      </c>
      <c r="DG198" s="21">
        <f>EXP(-LN(2)/25)*DG197+(1-EXP(-LN(2)/25))/(LN(2)/25)*Calculateur!DB198*Calculateur!DD198*VLOOKUP('Données projet'!$B$13,Paramètres!$A$1:$I$89,3,0)*0.475*44/12</f>
        <v>0</v>
      </c>
      <c r="DH198" s="21">
        <f>EXP(-LN(2)/2)*DH197+(1-EXP(-LN(2)/2))/(LN(2)/2)*DB198*DE198*VLOOKUP('Données projet'!$B$13,Paramètres!$A$1:$I$89,3,0)*0.475*44/12</f>
        <v>0</v>
      </c>
      <c r="DI198" s="22">
        <f t="shared" si="175"/>
        <v>0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-2.2737367544323206E-13</v>
      </c>
      <c r="O199" s="13">
        <f>N199*VLOOKUP('Données projet'!$B$9,Paramètres!$A$1:$I$89,3,0)*VLOOKUP('Données projet'!$B$9,Paramètres!$A$1:$I$89,5,0)</f>
        <v>-1.3596945791505279E-13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181.92766225683107</v>
      </c>
      <c r="T199" s="59">
        <f t="shared" si="204"/>
        <v>370.52917139565756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2.4547945154903861</v>
      </c>
      <c r="AA199" s="21">
        <f>EXP(-LN(2)/25)*AA198+(1-EXP(-LN(2)/25))/(LN(2)/25)*Calculateur!V199*Calculateur!X199*VLOOKUP('Données projet'!$B$9,Paramètres!$A$1:$I$89,3,0)*0.475*44/12</f>
        <v>0.59025161957813921</v>
      </c>
      <c r="AB199" s="21">
        <f>EXP(-LN(2)/2)*AB198+(1-EXP(-LN(2)/2))/(LN(2)/2)*V199*Y199*VLOOKUP('Données projet'!$B$9,Paramètres!$A$1:$I$89,3,0)*0.475*44/12</f>
        <v>4.6985458447341453E-23</v>
      </c>
      <c r="AC199" s="22">
        <f t="shared" si="163"/>
        <v>3.0450461350685254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5.6843418860808015E-14</v>
      </c>
      <c r="AJ199" s="13">
        <f>AI199*VLOOKUP('Données projet'!$B$10,Paramètres!$A$1:$I$89,3,0)*VLOOKUP('Données projet'!$B$10,Paramètres!$A$1:$I$89,5,0)</f>
        <v>4.6111381379887463E-14</v>
      </c>
      <c r="AK199" s="13">
        <f t="shared" si="164"/>
        <v>7.5804141040779151E-13</v>
      </c>
      <c r="AL199" s="20">
        <f t="shared" si="165"/>
        <v>1.4005661123635408E-12</v>
      </c>
      <c r="AM199" s="59">
        <f t="shared" si="193"/>
        <v>293.33333333333474</v>
      </c>
      <c r="AN199" s="59">
        <f ca="1">AVERAGE(OFFSET($AM$3,0,0,'Données projet'!$E$10+1,1))-AVERAGE(OFFSET($H$3,0,0,'Données projet'!$E$10+1,1))</f>
        <v>235.31102883830971</v>
      </c>
      <c r="AO199" s="59">
        <f t="shared" si="205"/>
        <v>271.48630853790422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</v>
      </c>
      <c r="AV199" s="21">
        <f>EXP(-LN(2)/25)*AV198+(1-EXP(-LN(2)/25))/(LN(2)/25)*Calculateur!AQ199*Calculateur!AS199*VLOOKUP('Données projet'!$B$10,Paramètres!$A$1:$I$89,3,0)*0.475*44/12</f>
        <v>8.5291435585738762E-2</v>
      </c>
      <c r="AW199" s="21">
        <f>EXP(-LN(2)/2)*AW198+(1-EXP(-LN(2)/2))/(LN(2)/2)*AQ199*AT199*VLOOKUP('Données projet'!$B$10,Paramètres!$A$1:$I$89,3,0)*0.475*44/12</f>
        <v>1.1345370787105716E-24</v>
      </c>
      <c r="AX199" s="21">
        <f t="shared" si="166"/>
        <v>8.5291435585738762E-2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2.8421709430404007E-14</v>
      </c>
      <c r="BE199" s="13">
        <f>BD199*VLOOKUP('Données projet'!$B$11,Paramètres!$A$1:$I$89,3,0)*VLOOKUP('Données projet'!$B$11,Paramètres!$A$1:$I$89,5,0)</f>
        <v>3.2366642699344085E-14</v>
      </c>
      <c r="BF199" s="13">
        <f t="shared" si="167"/>
        <v>5.5446527398450045E-13</v>
      </c>
      <c r="BG199" s="20">
        <f t="shared" si="168"/>
        <v>1.0220655882243624E-12</v>
      </c>
      <c r="BH199" s="59">
        <f t="shared" si="194"/>
        <v>293.33333333333434</v>
      </c>
      <c r="BI199" s="59">
        <f ca="1">AVERAGE(OFFSET($BH$3,0,0,'Données projet'!$E$11+1,1))-AVERAGE(OFFSET($H$3,0,0,'Données projet'!$E$11+1,1))</f>
        <v>249.01678065306629</v>
      </c>
      <c r="BJ199" s="59">
        <f t="shared" si="206"/>
        <v>99.639724892155641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0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>
        <f>BY199*VLOOKUP('Données projet'!$B$12,Paramètres!$A$1:$I$89,3,0)*VLOOKUP('Données projet'!$B$12,Paramètres!$A$1:$I$89,5,0)</f>
        <v>0</v>
      </c>
      <c r="CA199" s="13" t="e">
        <f t="shared" si="170"/>
        <v>#NUM!</v>
      </c>
      <c r="CB199" s="20" t="e">
        <f t="shared" si="171"/>
        <v>#NUM!</v>
      </c>
      <c r="CC199" s="59" t="e">
        <f t="shared" si="195"/>
        <v>#NUM!</v>
      </c>
      <c r="CD199" s="59">
        <f ca="1">AVERAGE(OFFSET($CC$3,0,0,'Données projet'!$E$12+1,1))-AVERAGE(OFFSET($H$3,0,0,'Données projet'!$E$12+1,1))</f>
        <v>0</v>
      </c>
      <c r="CE199" s="59">
        <f t="shared" si="207"/>
        <v>0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</v>
      </c>
      <c r="CL199" s="21">
        <f>EXP(-LN(2)/25)*CL198+(1-EXP(-LN(2)/25))/(LN(2)/25)*Calculateur!CG199*Calculateur!CI199*VLOOKUP('Données projet'!$B$12,Paramètres!$A$1:$I$89,3,0)*0.475*44/12</f>
        <v>0</v>
      </c>
      <c r="CM199" s="21">
        <f>EXP(-LN(2)/2)*CM198+(1-EXP(-LN(2)/2))/(LN(2)/2)*CG199*CJ199*VLOOKUP('Données projet'!$B$12,Paramètres!$A$1:$I$89,3,0)*0.475*44/12</f>
        <v>0</v>
      </c>
      <c r="CN199" s="22">
        <f t="shared" si="172"/>
        <v>0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>
        <f>CT199*VLOOKUP('Données projet'!$B$13,Paramètres!$A$1:$I$89,3,0)*VLOOKUP('Données projet'!$B$13,Paramètres!$A$1:$I$89,5,0)</f>
        <v>0</v>
      </c>
      <c r="CV199" s="13" t="e">
        <f t="shared" si="173"/>
        <v>#NUM!</v>
      </c>
      <c r="CW199" s="20" t="e">
        <f t="shared" si="174"/>
        <v>#NUM!</v>
      </c>
      <c r="CX199" s="59" t="e">
        <f t="shared" si="196"/>
        <v>#NUM!</v>
      </c>
      <c r="CY199" s="59">
        <f ca="1">AVERAGE(OFFSET($CX$3,0,0,'Données projet'!$E$13+1,1))-AVERAGE(OFFSET($H$3,0,0,'Données projet'!$E$13+1,1))</f>
        <v>0</v>
      </c>
      <c r="CZ199" s="59">
        <f t="shared" si="208"/>
        <v>0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0</v>
      </c>
      <c r="DG199" s="21">
        <f>EXP(-LN(2)/25)*DG198+(1-EXP(-LN(2)/25))/(LN(2)/25)*Calculateur!DB199*Calculateur!DD199*VLOOKUP('Données projet'!$B$13,Paramètres!$A$1:$I$89,3,0)*0.475*44/12</f>
        <v>0</v>
      </c>
      <c r="DH199" s="21">
        <f>EXP(-LN(2)/2)*DH198+(1-EXP(-LN(2)/2))/(LN(2)/2)*DB199*DE199*VLOOKUP('Données projet'!$B$13,Paramètres!$A$1:$I$89,3,0)*0.475*44/12</f>
        <v>0</v>
      </c>
      <c r="DI199" s="22">
        <f t="shared" si="175"/>
        <v>0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-2.2737367544323206E-13</v>
      </c>
      <c r="O200" s="13">
        <f>N200*VLOOKUP('Données projet'!$B$9,Paramètres!$A$1:$I$89,3,0)*VLOOKUP('Données projet'!$B$9,Paramètres!$A$1:$I$89,5,0)</f>
        <v>-1.3596945791505279E-13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181.92766225683107</v>
      </c>
      <c r="T200" s="59">
        <f t="shared" si="204"/>
        <v>370.52917139565756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2.4066574923184301</v>
      </c>
      <c r="AA200" s="21">
        <f>EXP(-LN(2)/25)*AA199+(1-EXP(-LN(2)/25))/(LN(2)/25)*Calculateur!V200*Calculateur!X200*VLOOKUP('Données projet'!$B$9,Paramètres!$A$1:$I$89,3,0)*0.475*44/12</f>
        <v>0.57411115800079138</v>
      </c>
      <c r="AB200" s="21">
        <f>EXP(-LN(2)/2)*AB199+(1-EXP(-LN(2)/2))/(LN(2)/2)*V200*Y200*VLOOKUP('Données projet'!$B$9,Paramètres!$A$1:$I$89,3,0)*0.475*44/12</f>
        <v>3.3223736285273893E-23</v>
      </c>
      <c r="AC200" s="22">
        <f t="shared" si="163"/>
        <v>2.9807686503192214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5.6843418860808015E-14</v>
      </c>
      <c r="AJ200" s="13">
        <f>AI200*VLOOKUP('Données projet'!$B$10,Paramètres!$A$1:$I$89,3,0)*VLOOKUP('Données projet'!$B$10,Paramètres!$A$1:$I$89,5,0)</f>
        <v>4.6111381379887463E-14</v>
      </c>
      <c r="AK200" s="13">
        <f t="shared" si="164"/>
        <v>7.5804141040779151E-13</v>
      </c>
      <c r="AL200" s="20">
        <f t="shared" si="165"/>
        <v>1.4005661123635408E-12</v>
      </c>
      <c r="AM200" s="59">
        <f t="shared" si="193"/>
        <v>293.33333333333474</v>
      </c>
      <c r="AN200" s="59">
        <f ca="1">AVERAGE(OFFSET($AM$3,0,0,'Données projet'!$E$10+1,1))-AVERAGE(OFFSET($H$3,0,0,'Données projet'!$E$10+1,1))</f>
        <v>235.31102883830971</v>
      </c>
      <c r="AO200" s="59">
        <f t="shared" si="205"/>
        <v>271.48630853790422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</v>
      </c>
      <c r="AV200" s="21">
        <f>EXP(-LN(2)/25)*AV199+(1-EXP(-LN(2)/25))/(LN(2)/25)*Calculateur!AQ200*Calculateur!AS200*VLOOKUP('Données projet'!$B$10,Paramètres!$A$1:$I$89,3,0)*0.475*44/12</f>
        <v>8.2959136794365076E-2</v>
      </c>
      <c r="AW200" s="21">
        <f>EXP(-LN(2)/2)*AW199+(1-EXP(-LN(2)/2))/(LN(2)/2)*AQ200*AT200*VLOOKUP('Données projet'!$B$10,Paramètres!$A$1:$I$89,3,0)*0.475*44/12</f>
        <v>8.0223886186382102E-25</v>
      </c>
      <c r="AX200" s="21">
        <f t="shared" si="166"/>
        <v>8.2959136794365076E-2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2.8421709430404007E-14</v>
      </c>
      <c r="BE200" s="13">
        <f>BD200*VLOOKUP('Données projet'!$B$11,Paramètres!$A$1:$I$89,3,0)*VLOOKUP('Données projet'!$B$11,Paramètres!$A$1:$I$89,5,0)</f>
        <v>3.2366642699344085E-14</v>
      </c>
      <c r="BF200" s="13">
        <f t="shared" si="167"/>
        <v>5.5446527398450045E-13</v>
      </c>
      <c r="BG200" s="20">
        <f t="shared" si="168"/>
        <v>1.0220655882243624E-12</v>
      </c>
      <c r="BH200" s="59">
        <f t="shared" si="194"/>
        <v>293.33333333333434</v>
      </c>
      <c r="BI200" s="59">
        <f ca="1">AVERAGE(OFFSET($BH$3,0,0,'Données projet'!$E$11+1,1))-AVERAGE(OFFSET($H$3,0,0,'Données projet'!$E$11+1,1))</f>
        <v>249.01678065306629</v>
      </c>
      <c r="BJ200" s="59">
        <f t="shared" si="206"/>
        <v>99.639724892155641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0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>
        <f>BY200*VLOOKUP('Données projet'!$B$12,Paramètres!$A$1:$I$89,3,0)*VLOOKUP('Données projet'!$B$12,Paramètres!$A$1:$I$89,5,0)</f>
        <v>0</v>
      </c>
      <c r="CA200" s="13" t="e">
        <f t="shared" si="170"/>
        <v>#NUM!</v>
      </c>
      <c r="CB200" s="20" t="e">
        <f t="shared" si="171"/>
        <v>#NUM!</v>
      </c>
      <c r="CC200" s="59" t="e">
        <f t="shared" si="195"/>
        <v>#NUM!</v>
      </c>
      <c r="CD200" s="59">
        <f ca="1">AVERAGE(OFFSET($CC$3,0,0,'Données projet'!$E$12+1,1))-AVERAGE(OFFSET($H$3,0,0,'Données projet'!$E$12+1,1))</f>
        <v>0</v>
      </c>
      <c r="CE200" s="59">
        <f t="shared" si="207"/>
        <v>0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</v>
      </c>
      <c r="CL200" s="21">
        <f>EXP(-LN(2)/25)*CL199+(1-EXP(-LN(2)/25))/(LN(2)/25)*Calculateur!CG200*Calculateur!CI200*VLOOKUP('Données projet'!$B$12,Paramètres!$A$1:$I$89,3,0)*0.475*44/12</f>
        <v>0</v>
      </c>
      <c r="CM200" s="21">
        <f>EXP(-LN(2)/2)*CM199+(1-EXP(-LN(2)/2))/(LN(2)/2)*CG200*CJ200*VLOOKUP('Données projet'!$B$12,Paramètres!$A$1:$I$89,3,0)*0.475*44/12</f>
        <v>0</v>
      </c>
      <c r="CN200" s="22">
        <f t="shared" si="172"/>
        <v>0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>
        <f>CT200*VLOOKUP('Données projet'!$B$13,Paramètres!$A$1:$I$89,3,0)*VLOOKUP('Données projet'!$B$13,Paramètres!$A$1:$I$89,5,0)</f>
        <v>0</v>
      </c>
      <c r="CV200" s="13" t="e">
        <f t="shared" si="173"/>
        <v>#NUM!</v>
      </c>
      <c r="CW200" s="20" t="e">
        <f t="shared" si="174"/>
        <v>#NUM!</v>
      </c>
      <c r="CX200" s="59" t="e">
        <f t="shared" si="196"/>
        <v>#NUM!</v>
      </c>
      <c r="CY200" s="59">
        <f ca="1">AVERAGE(OFFSET($CX$3,0,0,'Données projet'!$E$13+1,1))-AVERAGE(OFFSET($H$3,0,0,'Données projet'!$E$13+1,1))</f>
        <v>0</v>
      </c>
      <c r="CZ200" s="59">
        <f t="shared" si="208"/>
        <v>0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0</v>
      </c>
      <c r="DG200" s="21">
        <f>EXP(-LN(2)/25)*DG199+(1-EXP(-LN(2)/25))/(LN(2)/25)*Calculateur!DB200*Calculateur!DD200*VLOOKUP('Données projet'!$B$13,Paramètres!$A$1:$I$89,3,0)*0.475*44/12</f>
        <v>0</v>
      </c>
      <c r="DH200" s="21">
        <f>EXP(-LN(2)/2)*DH199+(1-EXP(-LN(2)/2))/(LN(2)/2)*DB200*DE200*VLOOKUP('Données projet'!$B$13,Paramètres!$A$1:$I$89,3,0)*0.475*44/12</f>
        <v>0</v>
      </c>
      <c r="DI200" s="22">
        <f t="shared" si="175"/>
        <v>0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-2.2737367544323206E-13</v>
      </c>
      <c r="O201" s="13">
        <f>N201*VLOOKUP('Données projet'!$B$9,Paramètres!$A$1:$I$89,3,0)*VLOOKUP('Données projet'!$B$9,Paramètres!$A$1:$I$89,5,0)</f>
        <v>-1.3596945791505279E-13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181.92766225683107</v>
      </c>
      <c r="T201" s="59">
        <f t="shared" si="204"/>
        <v>370.52917139565756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2.3594644068101913</v>
      </c>
      <c r="AA201" s="21">
        <f>EXP(-LN(2)/25)*AA200+(1-EXP(-LN(2)/25))/(LN(2)/25)*Calculateur!V201*Calculateur!X201*VLOOKUP('Données projet'!$B$9,Paramètres!$A$1:$I$89,3,0)*0.475*44/12</f>
        <v>0.55841205819406614</v>
      </c>
      <c r="AB201" s="21">
        <f>EXP(-LN(2)/2)*AB200+(1-EXP(-LN(2)/2))/(LN(2)/2)*V201*Y201*VLOOKUP('Données projet'!$B$9,Paramètres!$A$1:$I$89,3,0)*0.475*44/12</f>
        <v>2.3492729223670727E-23</v>
      </c>
      <c r="AC201" s="22">
        <f t="shared" si="163"/>
        <v>2.9178764650042575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5.6843418860808015E-14</v>
      </c>
      <c r="AJ201" s="13">
        <f>AI201*VLOOKUP('Données projet'!$B$10,Paramètres!$A$1:$I$89,3,0)*VLOOKUP('Données projet'!$B$10,Paramètres!$A$1:$I$89,5,0)</f>
        <v>4.6111381379887463E-14</v>
      </c>
      <c r="AK201" s="13">
        <f t="shared" si="164"/>
        <v>7.5804141040779151E-13</v>
      </c>
      <c r="AL201" s="20">
        <f t="shared" si="165"/>
        <v>1.4005661123635408E-12</v>
      </c>
      <c r="AM201" s="59">
        <f t="shared" si="193"/>
        <v>293.33333333333474</v>
      </c>
      <c r="AN201" s="59">
        <f ca="1">AVERAGE(OFFSET($AM$3,0,0,'Données projet'!$E$10+1,1))-AVERAGE(OFFSET($H$3,0,0,'Données projet'!$E$10+1,1))</f>
        <v>235.31102883830971</v>
      </c>
      <c r="AO201" s="59">
        <f t="shared" si="205"/>
        <v>271.48630853790422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</v>
      </c>
      <c r="AV201" s="21">
        <f>EXP(-LN(2)/25)*AV200+(1-EXP(-LN(2)/25))/(LN(2)/25)*Calculateur!AQ201*Calculateur!AS201*VLOOKUP('Données projet'!$B$10,Paramètres!$A$1:$I$89,3,0)*0.475*44/12</f>
        <v>8.0690614836091759E-2</v>
      </c>
      <c r="AW201" s="21">
        <f>EXP(-LN(2)/2)*AW200+(1-EXP(-LN(2)/2))/(LN(2)/2)*AQ201*AT201*VLOOKUP('Données projet'!$B$10,Paramètres!$A$1:$I$89,3,0)*0.475*44/12</f>
        <v>5.6726853935528581E-25</v>
      </c>
      <c r="AX201" s="21">
        <f t="shared" si="166"/>
        <v>8.0690614836091759E-2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2.8421709430404007E-14</v>
      </c>
      <c r="BE201" s="13">
        <f>BD201*VLOOKUP('Données projet'!$B$11,Paramètres!$A$1:$I$89,3,0)*VLOOKUP('Données projet'!$B$11,Paramètres!$A$1:$I$89,5,0)</f>
        <v>3.2366642699344085E-14</v>
      </c>
      <c r="BF201" s="13">
        <f t="shared" si="167"/>
        <v>5.5446527398450045E-13</v>
      </c>
      <c r="BG201" s="20">
        <f t="shared" si="168"/>
        <v>1.0220655882243624E-12</v>
      </c>
      <c r="BH201" s="59">
        <f t="shared" si="194"/>
        <v>293.33333333333434</v>
      </c>
      <c r="BI201" s="59">
        <f ca="1">AVERAGE(OFFSET($BH$3,0,0,'Données projet'!$E$11+1,1))-AVERAGE(OFFSET($H$3,0,0,'Données projet'!$E$11+1,1))</f>
        <v>249.01678065306629</v>
      </c>
      <c r="BJ201" s="59">
        <f t="shared" si="206"/>
        <v>99.639724892155641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0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>
        <f>BY201*VLOOKUP('Données projet'!$B$12,Paramètres!$A$1:$I$89,3,0)*VLOOKUP('Données projet'!$B$12,Paramètres!$A$1:$I$89,5,0)</f>
        <v>0</v>
      </c>
      <c r="CA201" s="13" t="e">
        <f t="shared" si="170"/>
        <v>#NUM!</v>
      </c>
      <c r="CB201" s="20" t="e">
        <f t="shared" si="171"/>
        <v>#NUM!</v>
      </c>
      <c r="CC201" s="59" t="e">
        <f t="shared" si="195"/>
        <v>#NUM!</v>
      </c>
      <c r="CD201" s="59">
        <f ca="1">AVERAGE(OFFSET($CC$3,0,0,'Données projet'!$E$12+1,1))-AVERAGE(OFFSET($H$3,0,0,'Données projet'!$E$12+1,1))</f>
        <v>0</v>
      </c>
      <c r="CE201" s="59">
        <f t="shared" si="207"/>
        <v>0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</v>
      </c>
      <c r="CL201" s="21">
        <f>EXP(-LN(2)/25)*CL200+(1-EXP(-LN(2)/25))/(LN(2)/25)*Calculateur!CG201*Calculateur!CI201*VLOOKUP('Données projet'!$B$12,Paramètres!$A$1:$I$89,3,0)*0.475*44/12</f>
        <v>0</v>
      </c>
      <c r="CM201" s="21">
        <f>EXP(-LN(2)/2)*CM200+(1-EXP(-LN(2)/2))/(LN(2)/2)*CG201*CJ201*VLOOKUP('Données projet'!$B$12,Paramètres!$A$1:$I$89,3,0)*0.475*44/12</f>
        <v>0</v>
      </c>
      <c r="CN201" s="22">
        <f t="shared" si="172"/>
        <v>0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>
        <f>CT201*VLOOKUP('Données projet'!$B$13,Paramètres!$A$1:$I$89,3,0)*VLOOKUP('Données projet'!$B$13,Paramètres!$A$1:$I$89,5,0)</f>
        <v>0</v>
      </c>
      <c r="CV201" s="13" t="e">
        <f t="shared" si="173"/>
        <v>#NUM!</v>
      </c>
      <c r="CW201" s="20" t="e">
        <f t="shared" si="174"/>
        <v>#NUM!</v>
      </c>
      <c r="CX201" s="59" t="e">
        <f t="shared" si="196"/>
        <v>#NUM!</v>
      </c>
      <c r="CY201" s="59">
        <f ca="1">AVERAGE(OFFSET($CX$3,0,0,'Données projet'!$E$13+1,1))-AVERAGE(OFFSET($H$3,0,0,'Données projet'!$E$13+1,1))</f>
        <v>0</v>
      </c>
      <c r="CZ201" s="59">
        <f t="shared" si="208"/>
        <v>0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0</v>
      </c>
      <c r="DG201" s="21">
        <f>EXP(-LN(2)/25)*DG200+(1-EXP(-LN(2)/25))/(LN(2)/25)*Calculateur!DB201*Calculateur!DD201*VLOOKUP('Données projet'!$B$13,Paramètres!$A$1:$I$89,3,0)*0.475*44/12</f>
        <v>0</v>
      </c>
      <c r="DH201" s="21">
        <f>EXP(-LN(2)/2)*DH200+(1-EXP(-LN(2)/2))/(LN(2)/2)*DB201*DE201*VLOOKUP('Données projet'!$B$13,Paramètres!$A$1:$I$89,3,0)*0.475*44/12</f>
        <v>0</v>
      </c>
      <c r="DI201" s="22">
        <f t="shared" si="175"/>
        <v>0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-2.2737367544323206E-13</v>
      </c>
      <c r="O202" s="13">
        <f>N202*VLOOKUP('Données projet'!$B$9,Paramètres!$A$1:$I$89,3,0)*VLOOKUP('Données projet'!$B$9,Paramètres!$A$1:$I$89,5,0)</f>
        <v>-1.3596945791505279E-13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181.92766225683107</v>
      </c>
      <c r="T202" s="59">
        <f t="shared" si="204"/>
        <v>370.52917139565756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2.3131967489238292</v>
      </c>
      <c r="AA202" s="21">
        <f>EXP(-LN(2)/25)*AA201+(1-EXP(-LN(2)/25))/(LN(2)/25)*Calculateur!V202*Calculateur!X202*VLOOKUP('Données projet'!$B$9,Paramètres!$A$1:$I$89,3,0)*0.475*44/12</f>
        <v>0.54314225109713554</v>
      </c>
      <c r="AB202" s="21">
        <f>EXP(-LN(2)/2)*AB201+(1-EXP(-LN(2)/2))/(LN(2)/2)*V202*Y202*VLOOKUP('Données projet'!$B$9,Paramètres!$A$1:$I$89,3,0)*0.475*44/12</f>
        <v>1.6611868142636947E-23</v>
      </c>
      <c r="AC202" s="22">
        <f t="shared" si="163"/>
        <v>2.8563390000209647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5.6843418860808015E-14</v>
      </c>
      <c r="AJ202" s="13">
        <f>AI202*VLOOKUP('Données projet'!$B$10,Paramètres!$A$1:$I$89,3,0)*VLOOKUP('Données projet'!$B$10,Paramètres!$A$1:$I$89,5,0)</f>
        <v>4.6111381379887463E-14</v>
      </c>
      <c r="AK202" s="13">
        <f t="shared" si="164"/>
        <v>7.5804141040779151E-13</v>
      </c>
      <c r="AL202" s="20">
        <f t="shared" si="165"/>
        <v>1.4005661123635408E-12</v>
      </c>
      <c r="AM202" s="59">
        <f t="shared" si="193"/>
        <v>293.33333333333474</v>
      </c>
      <c r="AN202" s="59">
        <f ca="1">AVERAGE(OFFSET($AM$3,0,0,'Données projet'!$E$10+1,1))-AVERAGE(OFFSET($H$3,0,0,'Données projet'!$E$10+1,1))</f>
        <v>235.31102883830971</v>
      </c>
      <c r="AO202" s="59">
        <f t="shared" si="205"/>
        <v>271.48630853790422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</v>
      </c>
      <c r="AV202" s="21">
        <f>EXP(-LN(2)/25)*AV201+(1-EXP(-LN(2)/25))/(LN(2)/25)*Calculateur!AQ202*Calculateur!AS202*VLOOKUP('Données projet'!$B$10,Paramètres!$A$1:$I$89,3,0)*0.475*44/12</f>
        <v>7.8484125730063817E-2</v>
      </c>
      <c r="AW202" s="21">
        <f>EXP(-LN(2)/2)*AW201+(1-EXP(-LN(2)/2))/(LN(2)/2)*AQ202*AT202*VLOOKUP('Données projet'!$B$10,Paramètres!$A$1:$I$89,3,0)*0.475*44/12</f>
        <v>4.0111943093191051E-25</v>
      </c>
      <c r="AX202" s="21">
        <f t="shared" si="166"/>
        <v>7.8484125730063817E-2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2.8421709430404007E-14</v>
      </c>
      <c r="BE202" s="13">
        <f>BD202*VLOOKUP('Données projet'!$B$11,Paramètres!$A$1:$I$89,3,0)*VLOOKUP('Données projet'!$B$11,Paramètres!$A$1:$I$89,5,0)</f>
        <v>3.2366642699344085E-14</v>
      </c>
      <c r="BF202" s="13">
        <f t="shared" si="167"/>
        <v>5.5446527398450045E-13</v>
      </c>
      <c r="BG202" s="20">
        <f t="shared" si="168"/>
        <v>1.0220655882243624E-12</v>
      </c>
      <c r="BH202" s="59">
        <f t="shared" si="194"/>
        <v>293.33333333333434</v>
      </c>
      <c r="BI202" s="59">
        <f ca="1">AVERAGE(OFFSET($BH$3,0,0,'Données projet'!$E$11+1,1))-AVERAGE(OFFSET($H$3,0,0,'Données projet'!$E$11+1,1))</f>
        <v>249.01678065306629</v>
      </c>
      <c r="BJ202" s="59">
        <f t="shared" si="206"/>
        <v>99.639724892155641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0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>
        <f>BY202*VLOOKUP('Données projet'!$B$12,Paramètres!$A$1:$I$89,3,0)*VLOOKUP('Données projet'!$B$12,Paramètres!$A$1:$I$89,5,0)</f>
        <v>0</v>
      </c>
      <c r="CA202" s="13" t="e">
        <f t="shared" si="170"/>
        <v>#NUM!</v>
      </c>
      <c r="CB202" s="20" t="e">
        <f t="shared" si="171"/>
        <v>#NUM!</v>
      </c>
      <c r="CC202" s="59" t="e">
        <f t="shared" si="195"/>
        <v>#NUM!</v>
      </c>
      <c r="CD202" s="59">
        <f ca="1">AVERAGE(OFFSET($CC$3,0,0,'Données projet'!$E$12+1,1))-AVERAGE(OFFSET($H$3,0,0,'Données projet'!$E$12+1,1))</f>
        <v>0</v>
      </c>
      <c r="CE202" s="59">
        <f t="shared" si="207"/>
        <v>0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</v>
      </c>
      <c r="CL202" s="21">
        <f>EXP(-LN(2)/25)*CL201+(1-EXP(-LN(2)/25))/(LN(2)/25)*Calculateur!CG202*Calculateur!CI202*VLOOKUP('Données projet'!$B$12,Paramètres!$A$1:$I$89,3,0)*0.475*44/12</f>
        <v>0</v>
      </c>
      <c r="CM202" s="21">
        <f>EXP(-LN(2)/2)*CM201+(1-EXP(-LN(2)/2))/(LN(2)/2)*CG202*CJ202*VLOOKUP('Données projet'!$B$12,Paramètres!$A$1:$I$89,3,0)*0.475*44/12</f>
        <v>0</v>
      </c>
      <c r="CN202" s="22">
        <f t="shared" si="172"/>
        <v>0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>
        <f>CT202*VLOOKUP('Données projet'!$B$13,Paramètres!$A$1:$I$89,3,0)*VLOOKUP('Données projet'!$B$13,Paramètres!$A$1:$I$89,5,0)</f>
        <v>0</v>
      </c>
      <c r="CV202" s="13" t="e">
        <f t="shared" si="173"/>
        <v>#NUM!</v>
      </c>
      <c r="CW202" s="20" t="e">
        <f t="shared" si="174"/>
        <v>#NUM!</v>
      </c>
      <c r="CX202" s="59" t="e">
        <f t="shared" si="196"/>
        <v>#NUM!</v>
      </c>
      <c r="CY202" s="59">
        <f ca="1">AVERAGE(OFFSET($CX$3,0,0,'Données projet'!$E$13+1,1))-AVERAGE(OFFSET($H$3,0,0,'Données projet'!$E$13+1,1))</f>
        <v>0</v>
      </c>
      <c r="CZ202" s="59">
        <f t="shared" si="208"/>
        <v>0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0</v>
      </c>
      <c r="DG202" s="21">
        <f>EXP(-LN(2)/25)*DG201+(1-EXP(-LN(2)/25))/(LN(2)/25)*Calculateur!DB202*Calculateur!DD202*VLOOKUP('Données projet'!$B$13,Paramètres!$A$1:$I$89,3,0)*0.475*44/12</f>
        <v>0</v>
      </c>
      <c r="DH202" s="21">
        <f>EXP(-LN(2)/2)*DH201+(1-EXP(-LN(2)/2))/(LN(2)/2)*DB202*DE202*VLOOKUP('Données projet'!$B$13,Paramètres!$A$1:$I$89,3,0)*0.475*44/12</f>
        <v>0</v>
      </c>
      <c r="DI202" s="22">
        <f t="shared" si="175"/>
        <v>0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-2.2737367544323206E-13</v>
      </c>
      <c r="O203" s="13">
        <f>N203*VLOOKUP('Données projet'!$B$9,Paramètres!$A$1:$I$89,3,0)*VLOOKUP('Données projet'!$B$9,Paramètres!$A$1:$I$89,5,0)</f>
        <v>-1.3596945791505279E-13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181.92766225683107</v>
      </c>
      <c r="T203" s="59">
        <f t="shared" si="204"/>
        <v>370.52917139565756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2.267836371588134</v>
      </c>
      <c r="AA203" s="21">
        <f>EXP(-LN(2)/25)*AA202+(1-EXP(-LN(2)/25))/(LN(2)/25)*Calculateur!V203*Calculateur!X203*VLOOKUP('Données projet'!$B$9,Paramètres!$A$1:$I$89,3,0)*0.475*44/12</f>
        <v>0.52828999767827478</v>
      </c>
      <c r="AB203" s="21">
        <f>EXP(-LN(2)/2)*AB202+(1-EXP(-LN(2)/2))/(LN(2)/2)*V203*Y203*VLOOKUP('Données projet'!$B$9,Paramètres!$A$1:$I$89,3,0)*0.475*44/12</f>
        <v>1.1746364611835363E-23</v>
      </c>
      <c r="AC203" s="22">
        <f t="shared" si="163"/>
        <v>2.7961263692664087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5.6843418860808015E-14</v>
      </c>
      <c r="AJ203" s="13">
        <f>AI203*VLOOKUP('Données projet'!$B$10,Paramètres!$A$1:$I$89,3,0)*VLOOKUP('Données projet'!$B$10,Paramètres!$A$1:$I$89,5,0)</f>
        <v>4.6111381379887463E-14</v>
      </c>
      <c r="AK203" s="13">
        <f t="shared" si="164"/>
        <v>7.5804141040779151E-13</v>
      </c>
      <c r="AL203" s="20">
        <f t="shared" si="165"/>
        <v>1.4005661123635408E-12</v>
      </c>
      <c r="AM203" s="59">
        <f t="shared" si="193"/>
        <v>293.33333333333474</v>
      </c>
      <c r="AN203" s="59">
        <f ca="1">AVERAGE(OFFSET($AM$3,0,0,'Données projet'!$E$10+1,1))-AVERAGE(OFFSET($H$3,0,0,'Données projet'!$E$10+1,1))</f>
        <v>235.31102883830971</v>
      </c>
      <c r="AO203" s="59">
        <f t="shared" si="205"/>
        <v>271.48630853790422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</v>
      </c>
      <c r="AV203" s="21">
        <f>EXP(-LN(2)/25)*AV202+(1-EXP(-LN(2)/25))/(LN(2)/25)*Calculateur!AQ203*Calculateur!AS203*VLOOKUP('Données projet'!$B$10,Paramètres!$A$1:$I$89,3,0)*0.475*44/12</f>
        <v>7.6337973184674432E-2</v>
      </c>
      <c r="AW203" s="21">
        <f>EXP(-LN(2)/2)*AW202+(1-EXP(-LN(2)/2))/(LN(2)/2)*AQ203*AT203*VLOOKUP('Données projet'!$B$10,Paramètres!$A$1:$I$89,3,0)*0.475*44/12</f>
        <v>2.8363426967764291E-25</v>
      </c>
      <c r="AX203" s="21">
        <f t="shared" si="166"/>
        <v>7.6337973184674432E-2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2.8421709430404007E-14</v>
      </c>
      <c r="BE203" s="13">
        <f>BD203*VLOOKUP('Données projet'!$B$11,Paramètres!$A$1:$I$89,3,0)*VLOOKUP('Données projet'!$B$11,Paramètres!$A$1:$I$89,5,0)</f>
        <v>3.2366642699344085E-14</v>
      </c>
      <c r="BF203" s="13">
        <f t="shared" si="167"/>
        <v>5.5446527398450045E-13</v>
      </c>
      <c r="BG203" s="20">
        <f t="shared" si="168"/>
        <v>1.0220655882243624E-12</v>
      </c>
      <c r="BH203" s="59">
        <f t="shared" si="194"/>
        <v>293.33333333333434</v>
      </c>
      <c r="BI203" s="59">
        <f ca="1">AVERAGE(OFFSET($BH$3,0,0,'Données projet'!$E$11+1,1))-AVERAGE(OFFSET($H$3,0,0,'Données projet'!$E$11+1,1))</f>
        <v>249.01678065306629</v>
      </c>
      <c r="BJ203" s="59">
        <f t="shared" si="206"/>
        <v>99.639724892155641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0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>
        <f>BY203*VLOOKUP('Données projet'!$B$12,Paramètres!$A$1:$I$89,3,0)*VLOOKUP('Données projet'!$B$12,Paramètres!$A$1:$I$89,5,0)</f>
        <v>0</v>
      </c>
      <c r="CA203" s="13" t="e">
        <f t="shared" si="170"/>
        <v>#NUM!</v>
      </c>
      <c r="CB203" s="20" t="e">
        <f t="shared" si="171"/>
        <v>#NUM!</v>
      </c>
      <c r="CC203" s="59" t="e">
        <f t="shared" si="195"/>
        <v>#NUM!</v>
      </c>
      <c r="CD203" s="59">
        <f ca="1">AVERAGE(OFFSET($CC$3,0,0,'Données projet'!$E$12+1,1))-AVERAGE(OFFSET($H$3,0,0,'Données projet'!$E$12+1,1))</f>
        <v>0</v>
      </c>
      <c r="CE203" s="59">
        <f t="shared" si="207"/>
        <v>0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</v>
      </c>
      <c r="CL203" s="21">
        <f>EXP(-LN(2)/25)*CL202+(1-EXP(-LN(2)/25))/(LN(2)/25)*Calculateur!CG203*Calculateur!CI203*VLOOKUP('Données projet'!$B$12,Paramètres!$A$1:$I$89,3,0)*0.475*44/12</f>
        <v>0</v>
      </c>
      <c r="CM203" s="21">
        <f>EXP(-LN(2)/2)*CM202+(1-EXP(-LN(2)/2))/(LN(2)/2)*CG203*CJ203*VLOOKUP('Données projet'!$B$12,Paramètres!$A$1:$I$89,3,0)*0.475*44/12</f>
        <v>0</v>
      </c>
      <c r="CN203" s="22">
        <f t="shared" si="172"/>
        <v>0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>
        <f>CT203*VLOOKUP('Données projet'!$B$13,Paramètres!$A$1:$I$89,3,0)*VLOOKUP('Données projet'!$B$13,Paramètres!$A$1:$I$89,5,0)</f>
        <v>0</v>
      </c>
      <c r="CV203" s="13" t="e">
        <f t="shared" si="173"/>
        <v>#NUM!</v>
      </c>
      <c r="CW203" s="20" t="e">
        <f t="shared" si="174"/>
        <v>#NUM!</v>
      </c>
      <c r="CX203" s="59" t="e">
        <f t="shared" si="196"/>
        <v>#NUM!</v>
      </c>
      <c r="CY203" s="59">
        <f ca="1">AVERAGE(OFFSET($CX$3,0,0,'Données projet'!$E$13+1,1))-AVERAGE(OFFSET($H$3,0,0,'Données projet'!$E$13+1,1))</f>
        <v>0</v>
      </c>
      <c r="CZ203" s="59">
        <f t="shared" si="208"/>
        <v>0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0</v>
      </c>
      <c r="DG203" s="21">
        <f>EXP(-LN(2)/25)*DG202+(1-EXP(-LN(2)/25))/(LN(2)/25)*Calculateur!DB203*Calculateur!DD203*VLOOKUP('Données projet'!$B$13,Paramètres!$A$1:$I$89,3,0)*0.475*44/12</f>
        <v>0</v>
      </c>
      <c r="DH203" s="21">
        <f>EXP(-LN(2)/2)*DH202+(1-EXP(-LN(2)/2))/(LN(2)/2)*DB203*DE203*VLOOKUP('Données projet'!$B$13,Paramètres!$A$1:$I$89,3,0)*0.475*44/12</f>
        <v>0</v>
      </c>
      <c r="DI203" s="22">
        <f t="shared" si="175"/>
        <v>0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1.4126236324966186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1.2557008269631629</v>
      </c>
      <c r="BA205" s="82">
        <f>EXP(LN('Données projet'!B88)/'Données projet'!A88)</f>
        <v>1.1457367676485573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F17" sqref="F17:L18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maritime</v>
      </c>
      <c r="B6" s="146">
        <f>'Données projet'!D9</f>
        <v>8.0633999999999997</v>
      </c>
      <c r="C6" s="147">
        <f ca="1">IF(OR('Données projet'!B9="",'Données projet'!C9="",'Données projet'!C9=0%),0,Calculateur!S3)</f>
        <v>181.92766225683107</v>
      </c>
      <c r="D6" s="147">
        <f>IF(OR('Données projet'!B9="",'Données projet'!C9="",'Données projet'!C9=0%),0,Calculateur!T3)</f>
        <v>370.52917139565756</v>
      </c>
      <c r="E6" s="147">
        <f ca="1">MIN(C6,D6)</f>
        <v>181.92766225683107</v>
      </c>
      <c r="F6" s="147">
        <f ca="1">E6*B6</f>
        <v>1466.9555118417315</v>
      </c>
      <c r="G6" s="147">
        <f ca="1">F6*(100%-'Données projet'!$C$24)*(100%-'Données projet'!$C$25)*(100%-'Données projet'!$C$26)*(100%-'Données projet'!$C$27)</f>
        <v>1122.2209665589246</v>
      </c>
      <c r="H6" s="148">
        <f>IF(OR('Données projet'!B9="",'Données projet'!C9="",'Données projet'!C9=0%),0,AVERAGE(Calculateur!$AC$3:$AC$33)*B6)</f>
        <v>79.471039142170468</v>
      </c>
      <c r="I6" s="149">
        <f>H6*(100%-'Données projet'!$C$24)*(100%-'Données projet'!$C$25)*(100%-'Données projet'!$C$26)*(100%-'Données projet'!$C$27)</f>
        <v>60.795344943760412</v>
      </c>
      <c r="J6" s="150">
        <f>IF(OR('Données projet'!B9="",'Données projet'!C9="",'Données projet'!C9=0%),0,SUM(Calculateur!$V$3:$V$33)*VLOOKUP('Données projet'!$B$9,Paramètres!$A$1:$I$89,9,0)*B6)</f>
        <v>451.95356999999996</v>
      </c>
      <c r="K6" s="151">
        <f>J6*(100%-'Données projet'!$C$24)*(100%-'Données projet'!$C$25)*(100%-'Données projet'!$C$26)*(100%-'Données projet'!$C$27)</f>
        <v>345.74448104999993</v>
      </c>
      <c r="L6" s="152">
        <f ca="1">G6+I6+K6</f>
        <v>1528.760792552685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Bouleau verruqueux</v>
      </c>
      <c r="B7" s="154">
        <f>'Données projet'!D10</f>
        <v>0.29898000000000002</v>
      </c>
      <c r="C7" s="147">
        <f ca="1">IF(OR('Données projet'!B10="",'Données projet'!C10="",'Données projet'!C10=0%),0,Calculateur!AN3)</f>
        <v>235.31102883830971</v>
      </c>
      <c r="D7" s="147">
        <f>IF(OR('Données projet'!B10="",'Données projet'!C10="",'Données projet'!C10=0%),0,Calculateur!AO3)</f>
        <v>271.48630853790422</v>
      </c>
      <c r="E7" s="147">
        <f t="shared" ref="E7:E15" ca="1" si="0">MIN(C7,D7)</f>
        <v>235.31102883830971</v>
      </c>
      <c r="F7" s="147">
        <f t="shared" ref="F7:F15" ca="1" si="1">E7*B7</f>
        <v>70.353291402077843</v>
      </c>
      <c r="G7" s="147">
        <f ca="1">F7*(100%-'Données projet'!$C$24)*(100%-'Données projet'!$C$25)*(100%-'Données projet'!$C$26)*(100%-'Données projet'!$C$27)</f>
        <v>53.820267922589551</v>
      </c>
      <c r="H7" s="155">
        <f>IF(OR('Données projet'!B10="",'Données projet'!C10="",'Données projet'!C10=0%),0,AVERAGE(Calculateur!$AX$3:$AX$33)*B7)</f>
        <v>0.8029537141661226</v>
      </c>
      <c r="I7" s="149">
        <f>H7*(100%-'Données projet'!$C$24)*(100%-'Données projet'!$C$25)*(100%-'Données projet'!$C$26)*(100%-'Données projet'!$C$27)</f>
        <v>0.61425959133708374</v>
      </c>
      <c r="J7" s="150">
        <f>IF(OR('Données projet'!B10="",'Données projet'!C10="",'Données projet'!C10=0%),0,SUM(Calculateur!$AQ$3:$AQ$33)*VLOOKUP('Données projet'!$B$10,Paramètres!$A$1:$I$89,9,0)*B7)</f>
        <v>7.3997550000000007</v>
      </c>
      <c r="K7" s="151">
        <f>J7*(100%-'Données projet'!$C$24)*(100%-'Données projet'!$C$25)*(100%-'Données projet'!$C$26)*(100%-'Données projet'!$C$27)</f>
        <v>5.6608125750000005</v>
      </c>
      <c r="L7" s="152">
        <f t="shared" ref="L7:L15" ca="1" si="2">G7+I7+K7</f>
        <v>60.095340088926633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Chêne vert</v>
      </c>
      <c r="B8" s="154">
        <f>'Données projet'!D11</f>
        <v>0.29898000000000002</v>
      </c>
      <c r="C8" s="147">
        <f ca="1">IF(OR('Données projet'!B11="",'Données projet'!C11="",'Données projet'!C11=0%),0,Calculateur!BI3)</f>
        <v>249.01678065306629</v>
      </c>
      <c r="D8" s="147">
        <f>IF(OR('Données projet'!B11="",'Données projet'!C11="",'Données projet'!C11=0%),0,Calculateur!BJ3)</f>
        <v>99.639724892155641</v>
      </c>
      <c r="E8" s="147">
        <f t="shared" ca="1" si="0"/>
        <v>99.639724892155641</v>
      </c>
      <c r="F8" s="147">
        <f t="shared" ca="1" si="1"/>
        <v>29.790284948256694</v>
      </c>
      <c r="G8" s="147">
        <f ca="1">F8*(100%-'Données projet'!$C$24)*(100%-'Données projet'!$C$25)*(100%-'Données projet'!$C$26)*(100%-'Données projet'!$C$27)</f>
        <v>22.789567985416369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ca="1" si="2"/>
        <v>22.789567985416369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>Chêne-liège</v>
      </c>
      <c r="B9" s="154">
        <f>'Données projet'!D12</f>
        <v>0.29898000000000002</v>
      </c>
      <c r="C9" s="147">
        <f ca="1"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ca="1" si="0"/>
        <v>0</v>
      </c>
      <c r="F9" s="147">
        <f t="shared" ca="1" si="1"/>
        <v>0</v>
      </c>
      <c r="G9" s="147">
        <f ca="1"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ca="1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>Arbousier</v>
      </c>
      <c r="B10" s="154">
        <f>'Données projet'!D13</f>
        <v>9.9659999999999999E-2</v>
      </c>
      <c r="C10" s="147">
        <f ca="1"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ca="1" si="0"/>
        <v>0</v>
      </c>
      <c r="F10" s="147">
        <f t="shared" ca="1" si="1"/>
        <v>0</v>
      </c>
      <c r="G10" s="147">
        <f ca="1"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ca="1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1567.0990881920661</v>
      </c>
      <c r="G16" s="166">
        <f t="shared" ca="1" si="3"/>
        <v>1198.8308024669304</v>
      </c>
      <c r="H16" s="167">
        <f t="shared" si="3"/>
        <v>80.273992856336591</v>
      </c>
      <c r="I16" s="167">
        <f t="shared" si="3"/>
        <v>61.409604535097493</v>
      </c>
      <c r="J16" s="168">
        <f t="shared" si="3"/>
        <v>459.35332499999998</v>
      </c>
      <c r="K16" s="168">
        <f t="shared" si="3"/>
        <v>351.40529362499996</v>
      </c>
      <c r="L16" s="169">
        <f t="shared" ca="1" si="3"/>
        <v>1611.645700627028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Bouleau verruqueux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Chêne vert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>Chêne-liège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>Arbousier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I8" zoomScale="80" zoomScaleNormal="80" workbookViewId="0">
      <selection activeCell="I21" sqref="I21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3959.0004396968006</v>
      </c>
      <c r="U10" s="178">
        <f>'Données projet'!D9</f>
        <v>8.0633999999999997</v>
      </c>
      <c r="V10" s="177">
        <f>U10*T10</f>
        <v>31923.004145451181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Bouleau verruqueux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-7500</v>
      </c>
      <c r="U11" s="178">
        <f>'Données projet'!D10</f>
        <v>0.29898000000000002</v>
      </c>
      <c r="V11" s="177">
        <f t="shared" ref="V11" si="0">U11*T11</f>
        <v>-2242.3500000000004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Chêne vert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-7500</v>
      </c>
      <c r="U12" s="178">
        <f>'Données projet'!D11</f>
        <v>0.29898000000000002</v>
      </c>
      <c r="V12" s="177">
        <f t="shared" ref="V12:V19" si="1">U12*T12</f>
        <v>-2242.3500000000004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Chêne-liège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-7500</v>
      </c>
      <c r="U13" s="178">
        <f>'Données projet'!D12</f>
        <v>0.29898000000000002</v>
      </c>
      <c r="V13" s="177">
        <f t="shared" si="1"/>
        <v>-2242.3500000000004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Arbousier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-7500</v>
      </c>
      <c r="U14" s="178">
        <f>'Données projet'!D13</f>
        <v>9.9659999999999999E-2</v>
      </c>
      <c r="V14" s="177">
        <f t="shared" si="1"/>
        <v>-747.45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35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>
        <v>900</v>
      </c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34.999999999999986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1049.9999999999995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0</v>
      </c>
      <c r="I20" s="191">
        <v>3000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650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60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14</v>
      </c>
      <c r="B23" s="181">
        <f>'Données projet'!D36</f>
        <v>36</v>
      </c>
      <c r="C23" s="193">
        <v>10</v>
      </c>
      <c r="D23" s="182">
        <f>B23*C23</f>
        <v>360</v>
      </c>
      <c r="E23" s="193"/>
      <c r="F23" s="230"/>
      <c r="H23" s="190">
        <v>3</v>
      </c>
      <c r="I23" s="191">
        <v>350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-26524.56076644277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20</v>
      </c>
      <c r="B24" s="181">
        <f>'Données projet'!D37</f>
        <v>59</v>
      </c>
      <c r="C24" s="193">
        <v>35</v>
      </c>
      <c r="D24" s="182">
        <f t="shared" ref="D24:D42" si="2">B24*C24</f>
        <v>2065</v>
      </c>
      <c r="E24" s="193"/>
      <c r="F24" s="233"/>
      <c r="H24" s="190">
        <v>4</v>
      </c>
      <c r="I24" s="191">
        <v>60</v>
      </c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2038.2025054074581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35</v>
      </c>
      <c r="B25" s="181">
        <f>'Données projet'!D38</f>
        <v>395</v>
      </c>
      <c r="C25" s="193">
        <v>45</v>
      </c>
      <c r="D25" s="182">
        <f t="shared" si="2"/>
        <v>17775</v>
      </c>
      <c r="E25" s="193"/>
      <c r="F25" s="233"/>
      <c r="H25" s="190">
        <v>5</v>
      </c>
      <c r="I25" s="191">
        <v>350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-28562.763271850228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0</v>
      </c>
      <c r="B26" s="181">
        <f>'Données projet'!D39</f>
        <v>0</v>
      </c>
      <c r="C26" s="193"/>
      <c r="D26" s="182">
        <f t="shared" si="2"/>
        <v>0</v>
      </c>
      <c r="E26" s="193"/>
      <c r="F26" s="233"/>
      <c r="G26" s="229"/>
      <c r="H26" s="190">
        <v>6</v>
      </c>
      <c r="I26" s="191">
        <v>60</v>
      </c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0</v>
      </c>
      <c r="B27" s="181">
        <f>'Données projet'!D40</f>
        <v>0</v>
      </c>
      <c r="C27" s="193"/>
      <c r="D27" s="182">
        <f t="shared" si="2"/>
        <v>0</v>
      </c>
      <c r="E27" s="193"/>
      <c r="F27" s="233"/>
      <c r="G27" s="229"/>
      <c r="H27" s="190">
        <v>7</v>
      </c>
      <c r="I27" s="191">
        <v>350</v>
      </c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>
        <v>8</v>
      </c>
      <c r="I28" s="191">
        <v>60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>
        <v>9</v>
      </c>
      <c r="I29" s="191">
        <v>60</v>
      </c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>
        <v>10</v>
      </c>
      <c r="I30" s="191">
        <v>60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>
        <v>11</v>
      </c>
      <c r="I31" s="191">
        <v>60</v>
      </c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12</v>
      </c>
      <c r="I32" s="191">
        <v>60</v>
      </c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13</v>
      </c>
      <c r="I33" s="191">
        <v>350</v>
      </c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14</v>
      </c>
      <c r="I34" s="191">
        <v>60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15</v>
      </c>
      <c r="I35" s="191">
        <v>60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16</v>
      </c>
      <c r="I36" s="191">
        <v>60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17</v>
      </c>
      <c r="I37" s="191">
        <v>60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18</v>
      </c>
      <c r="I38" s="191">
        <v>350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19</v>
      </c>
      <c r="I39" s="191">
        <v>60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20</v>
      </c>
      <c r="I40" s="191">
        <v>60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21</v>
      </c>
      <c r="I41" s="191">
        <v>60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22</v>
      </c>
      <c r="I42" s="191">
        <v>60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>
        <v>23</v>
      </c>
      <c r="I43" s="191">
        <v>350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>
        <v>24</v>
      </c>
      <c r="I44" s="191">
        <v>60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Bouleau verruqueux</v>
      </c>
      <c r="C45" s="4"/>
      <c r="D45" s="4"/>
      <c r="E45" s="4"/>
      <c r="F45" s="230"/>
      <c r="G45" s="203"/>
      <c r="H45" s="190">
        <v>25</v>
      </c>
      <c r="I45" s="191">
        <v>60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>
        <v>26</v>
      </c>
      <c r="I46" s="191">
        <v>60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27</v>
      </c>
      <c r="I47" s="191">
        <v>60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>
        <v>7500</v>
      </c>
      <c r="F48" s="231"/>
      <c r="G48" s="203"/>
      <c r="H48" s="190">
        <v>28</v>
      </c>
      <c r="I48" s="191">
        <v>60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>
        <v>29</v>
      </c>
      <c r="I49" s="191">
        <v>60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>
        <v>30</v>
      </c>
      <c r="I50" s="191">
        <v>60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>
        <v>31</v>
      </c>
      <c r="I51" s="191">
        <v>60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>
        <v>32</v>
      </c>
      <c r="I52" s="191">
        <v>60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>
        <v>33</v>
      </c>
      <c r="I53" s="191">
        <v>60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20</v>
      </c>
      <c r="B54" s="181">
        <f>'Données projet'!D62</f>
        <v>43</v>
      </c>
      <c r="C54" s="191"/>
      <c r="D54" s="179">
        <f>B54*C54</f>
        <v>0</v>
      </c>
      <c r="E54" s="193"/>
      <c r="F54" s="232"/>
      <c r="G54" s="205"/>
      <c r="H54" s="190">
        <v>34</v>
      </c>
      <c r="I54" s="191">
        <v>60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30</v>
      </c>
      <c r="B55" s="181">
        <f>'Données projet'!D63</f>
        <v>56</v>
      </c>
      <c r="C55" s="191"/>
      <c r="D55" s="179">
        <f t="shared" ref="D55:D73" si="4">B55*C55</f>
        <v>0</v>
      </c>
      <c r="E55" s="193"/>
      <c r="F55" s="232"/>
      <c r="G55" s="205"/>
      <c r="H55" s="190">
        <v>35</v>
      </c>
      <c r="I55" s="191">
        <v>350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40</v>
      </c>
      <c r="B56" s="181">
        <f>'Données projet'!D64</f>
        <v>56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50</v>
      </c>
      <c r="B57" s="181">
        <f>'Données projet'!D65</f>
        <v>39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60</v>
      </c>
      <c r="B58" s="181">
        <f>'Données projet'!D66</f>
        <v>25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70</v>
      </c>
      <c r="B59" s="181">
        <f>'Données projet'!D67</f>
        <v>21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80</v>
      </c>
      <c r="B60" s="181">
        <f>'Données projet'!D68</f>
        <v>284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 t="str">
        <f>IF(O68+1&lt;=MIN('Données projet'!$E$9:$E$18),O68+1,"STOP")</f>
        <v>STOP</v>
      </c>
      <c r="P69" s="185" t="e">
        <f t="shared" si="5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5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5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5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5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5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5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>Chêne vert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5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5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5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>
        <v>7500</v>
      </c>
      <c r="F79" s="231"/>
      <c r="G79" s="206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25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30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40</v>
      </c>
      <c r="B87" s="181">
        <f>'Données projet'!D90</f>
        <v>27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50</v>
      </c>
      <c r="B88" s="181">
        <f>'Données projet'!D91</f>
        <v>28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60</v>
      </c>
      <c r="B89" s="181">
        <f>'Données projet'!D92</f>
        <v>28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70</v>
      </c>
      <c r="B90" s="181">
        <f>'Données projet'!D93</f>
        <v>28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80</v>
      </c>
      <c r="B91" s="181">
        <f>'Données projet'!D94</f>
        <v>28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90</v>
      </c>
      <c r="B92" s="181">
        <f>'Données projet'!D95</f>
        <v>28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100</v>
      </c>
      <c r="B93" s="181">
        <f>'Données projet'!D96</f>
        <v>28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110</v>
      </c>
      <c r="B94" s="181">
        <f>'Données projet'!D97</f>
        <v>27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120</v>
      </c>
      <c r="B95" s="181">
        <f>'Données projet'!D98</f>
        <v>234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>Chêne-liège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7500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>Arbousier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>
        <v>7500</v>
      </c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Laurence DEGOUL SAINT JEAN</cp:lastModifiedBy>
  <dcterms:created xsi:type="dcterms:W3CDTF">2021-02-01T08:22:39Z</dcterms:created>
  <dcterms:modified xsi:type="dcterms:W3CDTF">2024-12-05T14:30:59Z</dcterms:modified>
</cp:coreProperties>
</file>