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vianneyf\Downloads\"/>
    </mc:Choice>
  </mc:AlternateContent>
  <xr:revisionPtr revIDLastSave="0" documentId="13_ncr:1_{98068722-EBDD-4B17-A669-6E65CCBCA21E}" xr6:coauthVersionLast="47" xr6:coauthVersionMax="47" xr10:uidLastSave="{00000000-0000-0000-0000-000000000000}"/>
  <bookViews>
    <workbookView xWindow="-108" yWindow="-108" windowWidth="23256" windowHeight="1245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E141" i="6"/>
  <c r="E110" i="6"/>
  <c r="E79" i="6"/>
  <c r="E48" i="6"/>
  <c r="E17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BQ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FS38" i="2"/>
  <c r="HI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FS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EV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HI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G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DH156" i="2" l="1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HH160" i="2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DI161" i="2" l="1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DH164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I192" i="2" l="1"/>
  <c r="EX193" i="2"/>
  <c r="FQ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W197" i="2" l="1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83" i="2" l="1" a="1"/>
  <c r="BC83" i="2" s="1"/>
  <c r="BC82" i="2" a="1"/>
  <c r="BC82" i="2" s="1"/>
  <c r="BC164" i="2" a="1"/>
  <c r="BC164" i="2" s="1"/>
  <c r="BC151" i="2" a="1"/>
  <c r="BC151" i="2" s="1"/>
  <c r="BC192" i="2" a="1"/>
  <c r="BC192" i="2" s="1"/>
  <c r="BC47" i="2" a="1"/>
  <c r="BC47" i="2" s="1"/>
  <c r="BC7" i="2" a="1"/>
  <c r="BC7" i="2" s="1"/>
  <c r="BC55" i="2" a="1"/>
  <c r="BC55" i="2" s="1"/>
  <c r="BC68" i="2" a="1"/>
  <c r="BC68" i="2" s="1"/>
  <c r="HG203" i="2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FR203" i="2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<sst xmlns="http://schemas.openxmlformats.org/spreadsheetml/2006/main" count="1174" uniqueCount="324">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</sst>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133.88554969577129</c:v>
                </c:pt>
                <c:pt idx="22">
                  <c:v>143.27355550168537</c:v>
                </c:pt>
                <c:pt idx="23">
                  <c:v>152.64683015838821</c:v>
                </c:pt>
                <c:pt idx="24">
                  <c:v>162.00640689272805</c:v>
                </c:pt>
                <c:pt idx="25">
                  <c:v>171.35318959873041</c:v>
                </c:pt>
                <c:pt idx="26">
                  <c:v>180.68797535583599</c:v>
                </c:pt>
                <c:pt idx="27">
                  <c:v>190.01147204026685</c:v>
                </c:pt>
                <c:pt idx="28">
                  <c:v>199.32431229219435</c:v>
                </c:pt>
                <c:pt idx="29">
                  <c:v>208.62706473142643</c:v>
                </c:pt>
                <c:pt idx="30">
                  <c:v>217.92024306476185</c:v>
                </c:pt>
                <c:pt idx="31">
                  <c:v>160.17621878306821</c:v>
                </c:pt>
                <c:pt idx="32">
                  <c:v>170.33782955280489</c:v>
                </c:pt>
                <c:pt idx="33">
                  <c:v>180.48516769023772</c:v>
                </c:pt>
                <c:pt idx="34">
                  <c:v>190.61914954910142</c:v>
                </c:pt>
                <c:pt idx="35">
                  <c:v>200.74058596732002</c:v>
                </c:pt>
                <c:pt idx="36">
                  <c:v>210.85019924163896</c:v>
                </c:pt>
                <c:pt idx="37">
                  <c:v>220.94863667100961</c:v>
                </c:pt>
                <c:pt idx="38">
                  <c:v>231.03648149074067</c:v>
                </c:pt>
                <c:pt idx="39">
                  <c:v>241.11426179447608</c:v>
                </c:pt>
                <c:pt idx="40">
                  <c:v>251.1824578846782</c:v>
                </c:pt>
                <c:pt idx="41">
                  <c:v>192.13814620457819</c:v>
                </c:pt>
                <c:pt idx="42">
                  <c:v>203.77468058377053</c:v>
                </c:pt>
                <c:pt idx="43">
                  <c:v>215.39584283593396</c:v>
                </c:pt>
                <c:pt idx="44">
                  <c:v>227.0025797348942</c:v>
                </c:pt>
                <c:pt idx="45">
                  <c:v>238.59573324490518</c:v>
                </c:pt>
                <c:pt idx="46">
                  <c:v>250.17605676255928</c:v>
                </c:pt>
                <c:pt idx="47">
                  <c:v>261.74422819048414</c:v>
                </c:pt>
                <c:pt idx="48">
                  <c:v>273.30086057644468</c:v>
                </c:pt>
                <c:pt idx="49">
                  <c:v>284.84651085713051</c:v>
                </c:pt>
                <c:pt idx="50">
                  <c:v>296.38168710899464</c:v>
                </c:pt>
                <c:pt idx="51">
                  <c:v>234.56482390663419</c:v>
                </c:pt>
                <c:pt idx="52">
                  <c:v>248.16297855306274</c:v>
                </c:pt>
                <c:pt idx="53">
                  <c:v>261.74422819048414</c:v>
                </c:pt>
                <c:pt idx="54">
                  <c:v>275.30957376859936</c:v>
                </c:pt>
                <c:pt idx="55">
                  <c:v>288.85990949975189</c:v>
                </c:pt>
                <c:pt idx="56">
                  <c:v>302.39603882080934</c:v>
                </c:pt>
                <c:pt idx="57">
                  <c:v>315.91868734548348</c:v>
                </c:pt>
                <c:pt idx="58">
                  <c:v>329.42851348169211</c:v>
                </c:pt>
                <c:pt idx="59">
                  <c:v>342.92611721533916</c:v>
                </c:pt>
                <c:pt idx="60">
                  <c:v>356.4120474383385</c:v>
                </c:pt>
                <c:pt idx="61">
                  <c:v>291.86913926751021</c:v>
                </c:pt>
                <c:pt idx="62">
                  <c:v>307.40596257029637</c:v>
                </c:pt>
                <c:pt idx="63">
                  <c:v>322.92534379451814</c:v>
                </c:pt>
                <c:pt idx="64">
                  <c:v>338.42823915402437</c:v>
                </c:pt>
                <c:pt idx="65">
                  <c:v>353.91551010384433</c:v>
                </c:pt>
                <c:pt idx="66">
                  <c:v>369.38793655321842</c:v>
                </c:pt>
                <c:pt idx="67">
                  <c:v>384.84622774857962</c:v>
                </c:pt>
                <c:pt idx="68">
                  <c:v>400.29103131634878</c:v>
                </c:pt>
                <c:pt idx="69">
                  <c:v>415.72294083711449</c:v>
                </c:pt>
                <c:pt idx="70">
                  <c:v>431.14250223646945</c:v>
                </c:pt>
                <c:pt idx="71">
                  <c:v>361.40397634816736</c:v>
                </c:pt>
                <c:pt idx="72">
                  <c:v>378.36539662842574</c:v>
                </c:pt>
                <c:pt idx="73">
                  <c:v>395.310273009897</c:v>
                </c:pt>
                <c:pt idx="74">
                  <c:v>412.23941423652178</c:v>
                </c:pt>
                <c:pt idx="75">
                  <c:v>429.15355722818907</c:v>
                </c:pt>
                <c:pt idx="76">
                  <c:v>446.05337609733306</c:v>
                </c:pt>
                <c:pt idx="77">
                  <c:v>462.93948972795494</c:v>
                </c:pt>
                <c:pt idx="78">
                  <c:v>479.81246819138977</c:v>
                </c:pt>
                <c:pt idx="79">
                  <c:v>496.6728382127958</c:v>
                </c:pt>
                <c:pt idx="80">
                  <c:v>513.52108785692201</c:v>
                </c:pt>
                <c:pt idx="81">
                  <c:v>438.59929855364607</c:v>
                </c:pt>
                <c:pt idx="82">
                  <c:v>455.98800633231934</c:v>
                </c:pt>
                <c:pt idx="83">
                  <c:v>473.36255181121783</c:v>
                </c:pt>
                <c:pt idx="84">
                  <c:v>490.72352773098049</c:v>
                </c:pt>
                <c:pt idx="85">
                  <c:v>508.0714814925293</c:v>
                </c:pt>
                <c:pt idx="86">
                  <c:v>525.40692008667054</c:v>
                </c:pt>
                <c:pt idx="87">
                  <c:v>542.7303143394812</c:v>
                </c:pt>
                <c:pt idx="88">
                  <c:v>560.04210258768592</c:v>
                </c:pt>
                <c:pt idx="89">
                  <c:v>577.34269387615848</c:v>
                </c:pt>
                <c:pt idx="90">
                  <c:v>594.63247075242327</c:v>
                </c:pt>
                <c:pt idx="91">
                  <c:v>515.99777715164339</c:v>
                </c:pt>
                <c:pt idx="92">
                  <c:v>534.31757023210309</c:v>
                </c:pt>
                <c:pt idx="93">
                  <c:v>552.62415903802309</c:v>
                </c:pt>
                <c:pt idx="94">
                  <c:v>570.91804225426574</c:v>
                </c:pt>
                <c:pt idx="95">
                  <c:v>589.19968402429186</c:v>
                </c:pt>
                <c:pt idx="96">
                  <c:v>607.46951736202516</c:v>
                </c:pt>
                <c:pt idx="97">
                  <c:v>625.72794713217797</c:v>
                </c:pt>
                <c:pt idx="98">
                  <c:v>643.97535266486341</c:v>
                </c:pt>
                <c:pt idx="99">
                  <c:v>662.21209005867013</c:v>
                </c:pt>
                <c:pt idx="100">
                  <c:v>680.43849421703806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2.9758156199557515</c:v>
                </c:pt>
                <c:pt idx="2">
                  <c:v>3.9653026569590337</c:v>
                </c:pt>
                <c:pt idx="3">
                  <c:v>5.2851463938399075</c:v>
                </c:pt>
                <c:pt idx="4">
                  <c:v>7.0460633538091342</c:v>
                </c:pt>
                <c:pt idx="5">
                  <c:v>9.3960075889199022</c:v>
                </c:pt>
                <c:pt idx="6">
                  <c:v>12.53273587814193</c:v>
                </c:pt>
                <c:pt idx="7">
                  <c:v>16.72062557445792</c:v>
                </c:pt>
                <c:pt idx="8">
                  <c:v>22.313188331922618</c:v>
                </c:pt>
                <c:pt idx="9">
                  <c:v>29.783213949804821</c:v>
                </c:pt>
                <c:pt idx="10">
                  <c:v>39.763136997095295</c:v>
                </c:pt>
                <c:pt idx="11">
                  <c:v>53.099101927027704</c:v>
                </c:pt>
                <c:pt idx="12">
                  <c:v>70.9233868359387</c:v>
                </c:pt>
                <c:pt idx="13">
                  <c:v>94.751434931417066</c:v>
                </c:pt>
                <c:pt idx="14">
                  <c:v>126.61187452414181</c:v>
                </c:pt>
                <c:pt idx="15">
                  <c:v>169.22076873606747</c:v>
                </c:pt>
                <c:pt idx="16">
                  <c:v>156.31763533587534</c:v>
                </c:pt>
                <c:pt idx="17">
                  <c:v>183.23613938898788</c:v>
                </c:pt>
                <c:pt idx="18">
                  <c:v>210.06205920782259</c:v>
                </c:pt>
                <c:pt idx="19">
                  <c:v>236.80889001154432</c:v>
                </c:pt>
                <c:pt idx="20">
                  <c:v>263.48682168593842</c:v>
                </c:pt>
                <c:pt idx="21">
                  <c:v>208.55295085965801</c:v>
                </c:pt>
                <c:pt idx="22">
                  <c:v>234.55138491384039</c:v>
                </c:pt>
                <c:pt idx="23">
                  <c:v>260.48403592293715</c:v>
                </c:pt>
                <c:pt idx="24">
                  <c:v>286.35837196420749</c:v>
                </c:pt>
                <c:pt idx="25">
                  <c:v>312.18040027213078</c:v>
                </c:pt>
                <c:pt idx="26">
                  <c:v>254.10050561748869</c:v>
                </c:pt>
                <c:pt idx="27">
                  <c:v>278.48936400091276</c:v>
                </c:pt>
                <c:pt idx="28">
                  <c:v>302.83030487228285</c:v>
                </c:pt>
                <c:pt idx="29">
                  <c:v>327.12771904371101</c:v>
                </c:pt>
                <c:pt idx="30">
                  <c:v>351.38529181133845</c:v>
                </c:pt>
                <c:pt idx="31">
                  <c:v>291.97612129761018</c:v>
                </c:pt>
                <c:pt idx="32">
                  <c:v>314.79730475594641</c:v>
                </c:pt>
                <c:pt idx="33">
                  <c:v>337.58182519139035</c:v>
                </c:pt>
                <c:pt idx="34">
                  <c:v>360.33250350315166</c:v>
                </c:pt>
                <c:pt idx="35">
                  <c:v>383.05177541071208</c:v>
                </c:pt>
                <c:pt idx="36">
                  <c:v>324.88660171920714</c:v>
                </c:pt>
                <c:pt idx="37">
                  <c:v>345.04466702323003</c:v>
                </c:pt>
                <c:pt idx="38">
                  <c:v>365.17687261995815</c:v>
                </c:pt>
                <c:pt idx="39">
                  <c:v>385.28484395959771</c:v>
                </c:pt>
                <c:pt idx="40">
                  <c:v>405.37002304691242</c:v>
                </c:pt>
                <c:pt idx="41">
                  <c:v>351.0123838279564</c:v>
                </c:pt>
                <c:pt idx="42">
                  <c:v>369.27485695721407</c:v>
                </c:pt>
                <c:pt idx="43">
                  <c:v>387.5176312788667</c:v>
                </c:pt>
                <c:pt idx="44">
                  <c:v>405.7417642472314</c:v>
                </c:pt>
                <c:pt idx="45">
                  <c:v>423.9482106076091</c:v>
                </c:pt>
                <c:pt idx="46">
                  <c:v>373.37184903581334</c:v>
                </c:pt>
                <c:pt idx="47">
                  <c:v>389.75013922020406</c:v>
                </c:pt>
                <c:pt idx="48">
                  <c:v>406.11349808426445</c:v>
                </c:pt>
                <c:pt idx="49">
                  <c:v>422.46261177230537</c:v>
                </c:pt>
                <c:pt idx="50">
                  <c:v>438.7981090039209</c:v>
                </c:pt>
                <c:pt idx="51">
                  <c:v>391.98236961231743</c:v>
                </c:pt>
                <c:pt idx="52">
                  <c:v>406.48522456571527</c:v>
                </c:pt>
                <c:pt idx="53">
                  <c:v>420.97690043878242</c:v>
                </c:pt>
                <c:pt idx="54">
                  <c:v>435.45783620208516</c:v>
                </c:pt>
                <c:pt idx="55">
                  <c:v>449.92843925372966</c:v>
                </c:pt>
                <c:pt idx="56">
                  <c:v>408.71542941668878</c:v>
                </c:pt>
                <c:pt idx="57">
                  <c:v>421.34833884363542</c:v>
                </c:pt>
                <c:pt idx="58">
                  <c:v>433.97309421022049</c:v>
                </c:pt>
                <c:pt idx="59">
                  <c:v>446.58996615169809</c:v>
                </c:pt>
                <c:pt idx="60">
                  <c:v>459.19920876443319</c:v>
                </c:pt>
                <c:pt idx="61">
                  <c:v>422.09119450330468</c:v>
                </c:pt>
                <c:pt idx="62">
                  <c:v>433.23068233058763</c:v>
                </c:pt>
                <c:pt idx="63">
                  <c:v>444.36402075569396</c:v>
                </c:pt>
                <c:pt idx="64">
                  <c:v>455.49138558575584</c:v>
                </c:pt>
                <c:pt idx="65">
                  <c:v>466.61294333655468</c:v>
                </c:pt>
                <c:pt idx="66">
                  <c:v>433.60189168293124</c:v>
                </c:pt>
                <c:pt idx="67">
                  <c:v>443.25095855050807</c:v>
                </c:pt>
                <c:pt idx="68">
                  <c:v>452.89552584845842</c:v>
                </c:pt>
                <c:pt idx="69">
                  <c:v>462.53570293273214</c:v>
                </c:pt>
                <c:pt idx="70">
                  <c:v>472.17159422788467</c:v>
                </c:pt>
                <c:pt idx="71">
                  <c:v>4.566883036574213E-12</c:v>
                </c:pt>
                <c:pt idx="72">
                  <c:v>4.566883036574213E-12</c:v>
                </c:pt>
                <c:pt idx="73">
                  <c:v>4.566883036574213E-12</c:v>
                </c:pt>
                <c:pt idx="74">
                  <c:v>4.566883036574213E-12</c:v>
                </c:pt>
                <c:pt idx="75">
                  <c:v>4.566883036574213E-12</c:v>
                </c:pt>
                <c:pt idx="76">
                  <c:v>4.566883036574213E-12</c:v>
                </c:pt>
                <c:pt idx="77">
                  <c:v>4.566883036574213E-12</c:v>
                </c:pt>
                <c:pt idx="78">
                  <c:v>4.566883036574213E-12</c:v>
                </c:pt>
                <c:pt idx="79">
                  <c:v>4.566883036574213E-12</c:v>
                </c:pt>
                <c:pt idx="80">
                  <c:v>4.566883036574213E-12</c:v>
                </c:pt>
                <c:pt idx="81">
                  <c:v>4.566883036574213E-12</c:v>
                </c:pt>
                <c:pt idx="82">
                  <c:v>4.566883036574213E-12</c:v>
                </c:pt>
                <c:pt idx="83">
                  <c:v>4.566883036574213E-12</c:v>
                </c:pt>
                <c:pt idx="84">
                  <c:v>4.566883036574213E-12</c:v>
                </c:pt>
                <c:pt idx="85">
                  <c:v>4.566883036574213E-12</c:v>
                </c:pt>
                <c:pt idx="86">
                  <c:v>4.566883036574213E-12</c:v>
                </c:pt>
                <c:pt idx="87">
                  <c:v>4.566883036574213E-12</c:v>
                </c:pt>
                <c:pt idx="88">
                  <c:v>4.566883036574213E-12</c:v>
                </c:pt>
                <c:pt idx="89">
                  <c:v>4.566883036574213E-12</c:v>
                </c:pt>
                <c:pt idx="90">
                  <c:v>4.566883036574213E-12</c:v>
                </c:pt>
                <c:pt idx="91">
                  <c:v>4.566883036574213E-12</c:v>
                </c:pt>
                <c:pt idx="92">
                  <c:v>4.566883036574213E-12</c:v>
                </c:pt>
                <c:pt idx="93">
                  <c:v>4.566883036574213E-12</c:v>
                </c:pt>
                <c:pt idx="94">
                  <c:v>4.566883036574213E-12</c:v>
                </c:pt>
                <c:pt idx="95">
                  <c:v>4.566883036574213E-12</c:v>
                </c:pt>
                <c:pt idx="96">
                  <c:v>4.566883036574213E-12</c:v>
                </c:pt>
                <c:pt idx="97">
                  <c:v>4.566883036574213E-12</c:v>
                </c:pt>
                <c:pt idx="98">
                  <c:v>4.566883036574213E-12</c:v>
                </c:pt>
                <c:pt idx="99">
                  <c:v>4.566883036574213E-12</c:v>
                </c:pt>
                <c:pt idx="100">
                  <c:v>4.566883036574213E-12</c:v>
                </c:pt>
                <c:pt idx="101">
                  <c:v>4.566883036574213E-12</c:v>
                </c:pt>
                <c:pt idx="102">
                  <c:v>4.566883036574213E-12</c:v>
                </c:pt>
                <c:pt idx="103">
                  <c:v>4.566883036574213E-12</c:v>
                </c:pt>
                <c:pt idx="104">
                  <c:v>4.566883036574213E-12</c:v>
                </c:pt>
                <c:pt idx="105">
                  <c:v>4.566883036574213E-12</c:v>
                </c:pt>
                <c:pt idx="106">
                  <c:v>4.566883036574213E-12</c:v>
                </c:pt>
                <c:pt idx="107">
                  <c:v>4.566883036574213E-12</c:v>
                </c:pt>
                <c:pt idx="108">
                  <c:v>4.566883036574213E-12</c:v>
                </c:pt>
                <c:pt idx="109">
                  <c:v>4.566883036574213E-12</c:v>
                </c:pt>
                <c:pt idx="110">
                  <c:v>4.566883036574213E-12</c:v>
                </c:pt>
                <c:pt idx="111">
                  <c:v>4.566883036574213E-12</c:v>
                </c:pt>
                <c:pt idx="112">
                  <c:v>4.566883036574213E-12</c:v>
                </c:pt>
                <c:pt idx="113">
                  <c:v>4.566883036574213E-12</c:v>
                </c:pt>
                <c:pt idx="114">
                  <c:v>4.566883036574213E-12</c:v>
                </c:pt>
                <c:pt idx="115">
                  <c:v>4.566883036574213E-12</c:v>
                </c:pt>
                <c:pt idx="116">
                  <c:v>4.566883036574213E-12</c:v>
                </c:pt>
                <c:pt idx="117">
                  <c:v>4.566883036574213E-12</c:v>
                </c:pt>
                <c:pt idx="118">
                  <c:v>4.566883036574213E-12</c:v>
                </c:pt>
                <c:pt idx="119">
                  <c:v>4.566883036574213E-12</c:v>
                </c:pt>
                <c:pt idx="120">
                  <c:v>4.566883036574213E-12</c:v>
                </c:pt>
                <c:pt idx="121">
                  <c:v>4.566883036574213E-12</c:v>
                </c:pt>
                <c:pt idx="122">
                  <c:v>4.566883036574213E-12</c:v>
                </c:pt>
                <c:pt idx="123">
                  <c:v>4.566883036574213E-12</c:v>
                </c:pt>
                <c:pt idx="124">
                  <c:v>4.566883036574213E-12</c:v>
                </c:pt>
                <c:pt idx="125">
                  <c:v>4.566883036574213E-12</c:v>
                </c:pt>
                <c:pt idx="126">
                  <c:v>4.566883036574213E-12</c:v>
                </c:pt>
                <c:pt idx="127">
                  <c:v>4.566883036574213E-12</c:v>
                </c:pt>
                <c:pt idx="128">
                  <c:v>4.566883036574213E-12</c:v>
                </c:pt>
                <c:pt idx="129">
                  <c:v>4.566883036574213E-12</c:v>
                </c:pt>
                <c:pt idx="130">
                  <c:v>4.566883036574213E-12</c:v>
                </c:pt>
                <c:pt idx="131">
                  <c:v>4.566883036574213E-12</c:v>
                </c:pt>
                <c:pt idx="132">
                  <c:v>4.566883036574213E-12</c:v>
                </c:pt>
                <c:pt idx="133">
                  <c:v>4.566883036574213E-12</c:v>
                </c:pt>
                <c:pt idx="134">
                  <c:v>4.566883036574213E-12</c:v>
                </c:pt>
                <c:pt idx="135">
                  <c:v>4.566883036574213E-12</c:v>
                </c:pt>
                <c:pt idx="136">
                  <c:v>4.566883036574213E-12</c:v>
                </c:pt>
                <c:pt idx="137">
                  <c:v>4.566883036574213E-12</c:v>
                </c:pt>
                <c:pt idx="138">
                  <c:v>4.566883036574213E-12</c:v>
                </c:pt>
                <c:pt idx="139">
                  <c:v>4.566883036574213E-12</c:v>
                </c:pt>
                <c:pt idx="140">
                  <c:v>4.566883036574213E-12</c:v>
                </c:pt>
                <c:pt idx="141">
                  <c:v>4.566883036574213E-12</c:v>
                </c:pt>
                <c:pt idx="142">
                  <c:v>4.566883036574213E-12</c:v>
                </c:pt>
                <c:pt idx="143">
                  <c:v>4.566883036574213E-12</c:v>
                </c:pt>
                <c:pt idx="144">
                  <c:v>4.566883036574213E-12</c:v>
                </c:pt>
                <c:pt idx="145">
                  <c:v>4.566883036574213E-12</c:v>
                </c:pt>
                <c:pt idx="146">
                  <c:v>4.566883036574213E-12</c:v>
                </c:pt>
                <c:pt idx="147">
                  <c:v>4.566883036574213E-12</c:v>
                </c:pt>
                <c:pt idx="148">
                  <c:v>4.566883036574213E-12</c:v>
                </c:pt>
                <c:pt idx="149">
                  <c:v>4.566883036574213E-12</c:v>
                </c:pt>
                <c:pt idx="150">
                  <c:v>4.566883036574213E-12</c:v>
                </c:pt>
                <c:pt idx="151">
                  <c:v>4.566883036574213E-12</c:v>
                </c:pt>
                <c:pt idx="152">
                  <c:v>4.566883036574213E-12</c:v>
                </c:pt>
                <c:pt idx="153">
                  <c:v>4.566883036574213E-12</c:v>
                </c:pt>
                <c:pt idx="154">
                  <c:v>4.566883036574213E-12</c:v>
                </c:pt>
                <c:pt idx="155">
                  <c:v>4.566883036574213E-12</c:v>
                </c:pt>
                <c:pt idx="156">
                  <c:v>4.566883036574213E-12</c:v>
                </c:pt>
                <c:pt idx="157">
                  <c:v>4.566883036574213E-12</c:v>
                </c:pt>
                <c:pt idx="158">
                  <c:v>4.566883036574213E-12</c:v>
                </c:pt>
                <c:pt idx="159">
                  <c:v>4.566883036574213E-12</c:v>
                </c:pt>
                <c:pt idx="160">
                  <c:v>4.566883036574213E-12</c:v>
                </c:pt>
                <c:pt idx="161">
                  <c:v>4.566883036574213E-12</c:v>
                </c:pt>
                <c:pt idx="162">
                  <c:v>4.566883036574213E-12</c:v>
                </c:pt>
                <c:pt idx="163">
                  <c:v>4.566883036574213E-12</c:v>
                </c:pt>
                <c:pt idx="164">
                  <c:v>4.566883036574213E-12</c:v>
                </c:pt>
                <c:pt idx="165">
                  <c:v>4.566883036574213E-12</c:v>
                </c:pt>
                <c:pt idx="166">
                  <c:v>4.566883036574213E-12</c:v>
                </c:pt>
                <c:pt idx="167">
                  <c:v>4.566883036574213E-12</c:v>
                </c:pt>
                <c:pt idx="168">
                  <c:v>4.566883036574213E-12</c:v>
                </c:pt>
                <c:pt idx="169">
                  <c:v>4.566883036574213E-12</c:v>
                </c:pt>
                <c:pt idx="170">
                  <c:v>4.566883036574213E-12</c:v>
                </c:pt>
                <c:pt idx="171">
                  <c:v>4.566883036574213E-12</c:v>
                </c:pt>
                <c:pt idx="172">
                  <c:v>4.566883036574213E-12</c:v>
                </c:pt>
                <c:pt idx="173">
                  <c:v>4.566883036574213E-12</c:v>
                </c:pt>
                <c:pt idx="174">
                  <c:v>4.566883036574213E-12</c:v>
                </c:pt>
                <c:pt idx="175">
                  <c:v>4.566883036574213E-12</c:v>
                </c:pt>
                <c:pt idx="176">
                  <c:v>4.566883036574213E-12</c:v>
                </c:pt>
                <c:pt idx="177">
                  <c:v>4.566883036574213E-12</c:v>
                </c:pt>
                <c:pt idx="178">
                  <c:v>4.566883036574213E-12</c:v>
                </c:pt>
                <c:pt idx="179">
                  <c:v>4.566883036574213E-12</c:v>
                </c:pt>
                <c:pt idx="180">
                  <c:v>4.566883036574213E-12</c:v>
                </c:pt>
                <c:pt idx="181">
                  <c:v>4.566883036574213E-12</c:v>
                </c:pt>
                <c:pt idx="182">
                  <c:v>4.566883036574213E-12</c:v>
                </c:pt>
                <c:pt idx="183">
                  <c:v>4.566883036574213E-12</c:v>
                </c:pt>
                <c:pt idx="184">
                  <c:v>4.566883036574213E-12</c:v>
                </c:pt>
                <c:pt idx="185">
                  <c:v>4.566883036574213E-12</c:v>
                </c:pt>
                <c:pt idx="186">
                  <c:v>4.566883036574213E-12</c:v>
                </c:pt>
                <c:pt idx="187">
                  <c:v>4.566883036574213E-12</c:v>
                </c:pt>
                <c:pt idx="188">
                  <c:v>4.566883036574213E-12</c:v>
                </c:pt>
                <c:pt idx="189">
                  <c:v>4.566883036574213E-12</c:v>
                </c:pt>
                <c:pt idx="190">
                  <c:v>4.566883036574213E-12</c:v>
                </c:pt>
                <c:pt idx="191">
                  <c:v>4.566883036574213E-12</c:v>
                </c:pt>
                <c:pt idx="192">
                  <c:v>4.566883036574213E-12</c:v>
                </c:pt>
                <c:pt idx="193">
                  <c:v>4.566883036574213E-12</c:v>
                </c:pt>
                <c:pt idx="194">
                  <c:v>4.566883036574213E-12</c:v>
                </c:pt>
                <c:pt idx="195">
                  <c:v>4.566883036574213E-12</c:v>
                </c:pt>
                <c:pt idx="196">
                  <c:v>4.566883036574213E-12</c:v>
                </c:pt>
                <c:pt idx="197">
                  <c:v>4.566883036574213E-12</c:v>
                </c:pt>
                <c:pt idx="198">
                  <c:v>4.566883036574213E-12</c:v>
                </c:pt>
                <c:pt idx="199">
                  <c:v>4.566883036574213E-12</c:v>
                </c:pt>
                <c:pt idx="200">
                  <c:v>4.566883036574213E-12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2.0674175365629677</c:v>
                </c:pt>
                <c:pt idx="2">
                  <c:v>2.7563386153172069</c:v>
                </c:pt>
                <c:pt idx="3">
                  <c:v>3.6757828754088084</c:v>
                </c:pt>
                <c:pt idx="4">
                  <c:v>4.9031880948975504</c:v>
                </c:pt>
                <c:pt idx="5">
                  <c:v>6.5420997187463925</c:v>
                </c:pt>
                <c:pt idx="6">
                  <c:v>8.7310024967746021</c:v>
                </c:pt>
                <c:pt idx="7">
                  <c:v>11.65514889235574</c:v>
                </c:pt>
                <c:pt idx="8">
                  <c:v>15.562403998555673</c:v>
                </c:pt>
                <c:pt idx="9">
                  <c:v>20.784474580403991</c:v>
                </c:pt>
                <c:pt idx="10">
                  <c:v>27.76535669760619</c:v>
                </c:pt>
                <c:pt idx="11">
                  <c:v>37.09946291026079</c:v>
                </c:pt>
                <c:pt idx="12">
                  <c:v>49.582731081946882</c:v>
                </c:pt>
                <c:pt idx="13">
                  <c:v>64.583001936057926</c:v>
                </c:pt>
                <c:pt idx="14">
                  <c:v>79.492623892016056</c:v>
                </c:pt>
                <c:pt idx="15">
                  <c:v>94.331112571633255</c:v>
                </c:pt>
                <c:pt idx="16">
                  <c:v>109.11127889310849</c:v>
                </c:pt>
                <c:pt idx="17">
                  <c:v>106.81557526911295</c:v>
                </c:pt>
                <c:pt idx="18">
                  <c:v>124.16900365793684</c:v>
                </c:pt>
                <c:pt idx="19">
                  <c:v>141.46346401618726</c:v>
                </c:pt>
                <c:pt idx="20">
                  <c:v>158.70719102606964</c:v>
                </c:pt>
                <c:pt idx="21">
                  <c:v>149.60319730872013</c:v>
                </c:pt>
                <c:pt idx="22">
                  <c:v>169.09664015835338</c:v>
                </c:pt>
                <c:pt idx="23">
                  <c:v>188.53710283199996</c:v>
                </c:pt>
                <c:pt idx="24">
                  <c:v>207.9308195045044</c:v>
                </c:pt>
                <c:pt idx="25">
                  <c:v>188.53710283199996</c:v>
                </c:pt>
                <c:pt idx="26">
                  <c:v>209.22219955438308</c:v>
                </c:pt>
                <c:pt idx="27">
                  <c:v>229.86009453547467</c:v>
                </c:pt>
                <c:pt idx="28">
                  <c:v>250.45562182479364</c:v>
                </c:pt>
                <c:pt idx="29">
                  <c:v>224.48990116103005</c:v>
                </c:pt>
                <c:pt idx="30">
                  <c:v>243.5948932063433</c:v>
                </c:pt>
                <c:pt idx="31">
                  <c:v>262.66582457768635</c:v>
                </c:pt>
                <c:pt idx="32">
                  <c:v>281.70551574875822</c:v>
                </c:pt>
                <c:pt idx="33">
                  <c:v>300.7163746975063</c:v>
                </c:pt>
                <c:pt idx="34">
                  <c:v>319.7004800513119</c:v>
                </c:pt>
                <c:pt idx="35">
                  <c:v>277.21568679177352</c:v>
                </c:pt>
                <c:pt idx="36">
                  <c:v>293.67062981705698</c:v>
                </c:pt>
                <c:pt idx="37">
                  <c:v>310.10500044645323</c:v>
                </c:pt>
                <c:pt idx="38">
                  <c:v>326.52004227766406</c:v>
                </c:pt>
                <c:pt idx="39">
                  <c:v>342.9168636601741</c:v>
                </c:pt>
                <c:pt idx="40">
                  <c:v>359.29645830338887</c:v>
                </c:pt>
                <c:pt idx="41">
                  <c:v>319.27415123597825</c:v>
                </c:pt>
                <c:pt idx="42">
                  <c:v>331.63264563812891</c:v>
                </c:pt>
                <c:pt idx="43">
                  <c:v>343.98098656104838</c:v>
                </c:pt>
                <c:pt idx="44">
                  <c:v>356.31958994025649</c:v>
                </c:pt>
                <c:pt idx="45">
                  <c:v>368.64884054750047</c:v>
                </c:pt>
                <c:pt idx="46">
                  <c:v>380.96909531199572</c:v>
                </c:pt>
                <c:pt idx="47">
                  <c:v>351.64055120002331</c:v>
                </c:pt>
                <c:pt idx="48">
                  <c:v>359.29645830338899</c:v>
                </c:pt>
                <c:pt idx="49">
                  <c:v>366.94879686196299</c:v>
                </c:pt>
                <c:pt idx="50">
                  <c:v>374.5976518491409</c:v>
                </c:pt>
                <c:pt idx="51">
                  <c:v>382.24310448239476</c:v>
                </c:pt>
                <c:pt idx="52">
                  <c:v>389.88523246274661</c:v>
                </c:pt>
                <c:pt idx="53">
                  <c:v>397.52411019447686</c:v>
                </c:pt>
                <c:pt idx="54">
                  <c:v>405.15980898705629</c:v>
                </c:pt>
                <c:pt idx="55">
                  <c:v>388.13420118594604</c:v>
                </c:pt>
                <c:pt idx="56">
                  <c:v>391.47693094284688</c:v>
                </c:pt>
                <c:pt idx="57">
                  <c:v>394.81904151240343</c:v>
                </c:pt>
                <c:pt idx="58">
                  <c:v>398.16053888286183</c:v>
                </c:pt>
                <c:pt idx="59">
                  <c:v>401.50142893362204</c:v>
                </c:pt>
                <c:pt idx="60">
                  <c:v>404.84171743812567</c:v>
                </c:pt>
                <c:pt idx="61">
                  <c:v>408.18141006664518</c:v>
                </c:pt>
                <c:pt idx="62">
                  <c:v>411.52051238897474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250.34379664975128</c:v>
                </c:pt>
                <c:pt idx="38">
                  <c:v>266.77023487626633</c:v>
                </c:pt>
                <c:pt idx="39">
                  <c:v>283.1738887162237</c:v>
                </c:pt>
                <c:pt idx="40">
                  <c:v>299.55626373361878</c:v>
                </c:pt>
                <c:pt idx="41">
                  <c:v>315.91868734548348</c:v>
                </c:pt>
                <c:pt idx="42">
                  <c:v>332.26233823070532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4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81" zoomScale="80" zoomScaleNormal="80" workbookViewId="0">
      <selection activeCell="K93" sqref="K93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164</v>
      </c>
      <c r="C9" s="32">
        <v>0.2</v>
      </c>
      <c r="D9" s="33">
        <f t="shared" ref="D9:D18" si="0">C9*$C$5</f>
        <v>1</v>
      </c>
      <c r="E9" s="34">
        <v>100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0.2</v>
      </c>
      <c r="D10" s="33">
        <f t="shared" si="0"/>
        <v>1</v>
      </c>
      <c r="E10" s="34">
        <v>70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36</v>
      </c>
      <c r="C11" s="32">
        <v>0.2</v>
      </c>
      <c r="D11" s="33">
        <f t="shared" si="0"/>
        <v>1</v>
      </c>
      <c r="E11" s="34">
        <v>62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44</v>
      </c>
      <c r="C12" s="32">
        <v>0.2</v>
      </c>
      <c r="D12" s="33">
        <f t="shared" si="0"/>
        <v>1</v>
      </c>
      <c r="E12" s="34">
        <v>45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81</v>
      </c>
      <c r="C13" s="32">
        <v>0.2</v>
      </c>
      <c r="D13" s="33">
        <f t="shared" si="0"/>
        <v>1</v>
      </c>
      <c r="E13" s="34">
        <v>42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5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Cèdre de l'Atlas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20</v>
      </c>
      <c r="B36" s="60">
        <v>158</v>
      </c>
      <c r="C36" s="60">
        <v>1</v>
      </c>
      <c r="D36" s="60">
        <v>39.5</v>
      </c>
      <c r="E36" s="51">
        <v>0.2</v>
      </c>
      <c r="F36" s="51">
        <v>0.2</v>
      </c>
      <c r="G36" s="51">
        <v>0.6</v>
      </c>
      <c r="H36" s="51"/>
      <c r="I36" s="49">
        <f>IFERROR(B36/A36,"")</f>
        <v>7.9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30</v>
      </c>
      <c r="B37" s="60">
        <v>210.5</v>
      </c>
      <c r="C37" s="60">
        <v>2</v>
      </c>
      <c r="D37" s="60">
        <v>67</v>
      </c>
      <c r="E37" s="51">
        <v>0.3</v>
      </c>
      <c r="F37" s="51">
        <v>0.4</v>
      </c>
      <c r="G37" s="51">
        <v>0.3</v>
      </c>
      <c r="H37" s="51"/>
      <c r="I37" s="53">
        <f t="shared" ref="I37:I55" si="1">IF(A37&lt;&gt;0,(B37-(B36-D36))/(A37-A36),"")</f>
        <v>9.1999999999999993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40</v>
      </c>
      <c r="B38" s="60">
        <v>243.5</v>
      </c>
      <c r="C38" s="60">
        <v>3</v>
      </c>
      <c r="D38" s="60">
        <v>70</v>
      </c>
      <c r="E38" s="51"/>
      <c r="F38" s="51"/>
      <c r="G38" s="51"/>
      <c r="H38" s="51"/>
      <c r="I38" s="53">
        <f t="shared" si="1"/>
        <v>10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50</v>
      </c>
      <c r="B39" s="60">
        <v>288.5</v>
      </c>
      <c r="C39" s="60">
        <v>4</v>
      </c>
      <c r="D39" s="60">
        <v>75</v>
      </c>
      <c r="E39" s="51"/>
      <c r="F39" s="51"/>
      <c r="G39" s="51"/>
      <c r="H39" s="51"/>
      <c r="I39" s="49">
        <f t="shared" si="1"/>
        <v>11.5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60</v>
      </c>
      <c r="B40" s="60">
        <v>348.5</v>
      </c>
      <c r="C40" s="60">
        <v>5</v>
      </c>
      <c r="D40" s="60">
        <v>80</v>
      </c>
      <c r="E40" s="51"/>
      <c r="F40" s="51"/>
      <c r="G40" s="51"/>
      <c r="H40" s="51"/>
      <c r="I40" s="49">
        <f t="shared" si="1"/>
        <v>13.5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70</v>
      </c>
      <c r="B41" s="60">
        <v>423.5</v>
      </c>
      <c r="C41" s="60">
        <v>6</v>
      </c>
      <c r="D41" s="60">
        <v>87</v>
      </c>
      <c r="E41" s="51"/>
      <c r="F41" s="51"/>
      <c r="G41" s="51"/>
      <c r="H41" s="51"/>
      <c r="I41" s="53">
        <f t="shared" si="1"/>
        <v>15.5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80</v>
      </c>
      <c r="B42" s="60">
        <v>506.5</v>
      </c>
      <c r="C42" s="60">
        <v>7</v>
      </c>
      <c r="D42" s="60">
        <v>93</v>
      </c>
      <c r="E42" s="51"/>
      <c r="F42" s="51"/>
      <c r="G42" s="51"/>
      <c r="H42" s="51"/>
      <c r="I42" s="53">
        <f t="shared" si="1"/>
        <v>17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90</v>
      </c>
      <c r="B43" s="60">
        <v>588.5</v>
      </c>
      <c r="C43" s="60">
        <v>8</v>
      </c>
      <c r="D43" s="60">
        <v>98</v>
      </c>
      <c r="E43" s="51"/>
      <c r="F43" s="51"/>
      <c r="G43" s="51"/>
      <c r="H43" s="51"/>
      <c r="I43" s="49">
        <f t="shared" si="1"/>
        <v>17.5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100</v>
      </c>
      <c r="B44" s="60">
        <v>675.5</v>
      </c>
      <c r="C44" s="60">
        <v>9</v>
      </c>
      <c r="D44" s="60">
        <v>675.5</v>
      </c>
      <c r="E44" s="51"/>
      <c r="F44" s="51"/>
      <c r="G44" s="51"/>
      <c r="H44" s="51"/>
      <c r="I44" s="49">
        <f t="shared" si="1"/>
        <v>18.5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15</v>
      </c>
      <c r="B62" s="60">
        <v>87</v>
      </c>
      <c r="C62" s="60">
        <v>1</v>
      </c>
      <c r="D62" s="60">
        <v>21</v>
      </c>
      <c r="E62" s="51"/>
      <c r="F62" s="51">
        <v>0.1</v>
      </c>
      <c r="G62" s="51">
        <v>0.5</v>
      </c>
      <c r="H62" s="51">
        <v>0.4</v>
      </c>
      <c r="I62" s="53">
        <f>IFERROR(B62/A62,"")</f>
        <v>5.8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20</v>
      </c>
      <c r="B63" s="60">
        <v>137</v>
      </c>
      <c r="C63" s="60">
        <v>2</v>
      </c>
      <c r="D63" s="60">
        <v>43</v>
      </c>
      <c r="E63" s="51">
        <v>0.1</v>
      </c>
      <c r="F63" s="51">
        <v>0.2</v>
      </c>
      <c r="G63" s="51">
        <v>0.4</v>
      </c>
      <c r="H63" s="51">
        <v>0.3</v>
      </c>
      <c r="I63" s="49">
        <f>IF(A63&lt;&gt;0,(B63-(B62-D62))/(A63-A62),"")</f>
        <v>14.2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25</v>
      </c>
      <c r="B64" s="60">
        <v>163</v>
      </c>
      <c r="C64" s="60">
        <v>3</v>
      </c>
      <c r="D64" s="60">
        <v>44</v>
      </c>
      <c r="E64" s="51">
        <v>0.1</v>
      </c>
      <c r="F64" s="51">
        <v>0.3</v>
      </c>
      <c r="G64" s="51">
        <v>0.3</v>
      </c>
      <c r="H64" s="51">
        <v>0.3</v>
      </c>
      <c r="I64" s="49">
        <f>IF(A64&lt;&gt;0,(B64-(B63-D63))/(A64-A63),"")</f>
        <v>13.8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30</v>
      </c>
      <c r="B65" s="60">
        <v>184</v>
      </c>
      <c r="C65" s="60">
        <v>4</v>
      </c>
      <c r="D65" s="60">
        <v>44</v>
      </c>
      <c r="E65" s="51">
        <v>0.2</v>
      </c>
      <c r="F65" s="51">
        <v>0.4</v>
      </c>
      <c r="G65" s="51">
        <v>0.4</v>
      </c>
      <c r="H65" s="51"/>
      <c r="I65" s="49">
        <f>IF(A65&lt;&gt;0,(B65-(B64-D64))/(A65-A64),"")</f>
        <v>13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35</v>
      </c>
      <c r="B66" s="60">
        <v>201</v>
      </c>
      <c r="C66" s="60">
        <v>5</v>
      </c>
      <c r="D66" s="60">
        <v>42</v>
      </c>
      <c r="E66" s="51"/>
      <c r="F66" s="51"/>
      <c r="G66" s="51"/>
      <c r="H66" s="51"/>
      <c r="I66" s="49">
        <f t="shared" ref="I66:I81" si="2">IF(A66&lt;&gt;0,(B66-(B65-D65))/(A66-A65),"")</f>
        <v>12.2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40</v>
      </c>
      <c r="B67" s="60">
        <v>213</v>
      </c>
      <c r="C67" s="60">
        <v>6</v>
      </c>
      <c r="D67" s="60">
        <v>39</v>
      </c>
      <c r="E67" s="51"/>
      <c r="F67" s="51"/>
      <c r="G67" s="51"/>
      <c r="H67" s="51"/>
      <c r="I67" s="49">
        <f t="shared" si="2"/>
        <v>10.8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45</v>
      </c>
      <c r="B68" s="60">
        <v>223</v>
      </c>
      <c r="C68" s="60">
        <v>7</v>
      </c>
      <c r="D68" s="60">
        <v>36</v>
      </c>
      <c r="E68" s="51"/>
      <c r="F68" s="51"/>
      <c r="G68" s="51"/>
      <c r="H68" s="51"/>
      <c r="I68" s="49">
        <f t="shared" si="2"/>
        <v>9.8000000000000007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50</v>
      </c>
      <c r="B69" s="50">
        <v>231</v>
      </c>
      <c r="C69" s="50">
        <v>8</v>
      </c>
      <c r="D69" s="50">
        <v>33</v>
      </c>
      <c r="E69" s="51"/>
      <c r="F69" s="51"/>
      <c r="G69" s="51"/>
      <c r="H69" s="51"/>
      <c r="I69" s="49">
        <f t="shared" si="2"/>
        <v>8.8000000000000007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55</v>
      </c>
      <c r="B70" s="50">
        <v>237</v>
      </c>
      <c r="C70" s="50">
        <v>9</v>
      </c>
      <c r="D70" s="50">
        <v>29</v>
      </c>
      <c r="E70" s="51"/>
      <c r="F70" s="51"/>
      <c r="G70" s="51"/>
      <c r="H70" s="51"/>
      <c r="I70" s="49">
        <f t="shared" si="2"/>
        <v>7.8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60</v>
      </c>
      <c r="B71" s="50">
        <v>242</v>
      </c>
      <c r="C71" s="50">
        <v>10</v>
      </c>
      <c r="D71" s="50">
        <v>26</v>
      </c>
      <c r="E71" s="51"/>
      <c r="F71" s="51"/>
      <c r="G71" s="51"/>
      <c r="H71" s="51"/>
      <c r="I71" s="49">
        <f t="shared" si="2"/>
        <v>6.8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>
        <v>65</v>
      </c>
      <c r="B72" s="50">
        <v>246</v>
      </c>
      <c r="C72" s="50">
        <v>11</v>
      </c>
      <c r="D72" s="50">
        <v>23</v>
      </c>
      <c r="E72" s="51"/>
      <c r="F72" s="51"/>
      <c r="G72" s="51"/>
      <c r="H72" s="51"/>
      <c r="I72" s="49">
        <f t="shared" si="2"/>
        <v>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>
        <v>70</v>
      </c>
      <c r="B73" s="50">
        <v>249</v>
      </c>
      <c r="C73" s="50">
        <v>12</v>
      </c>
      <c r="D73" s="50">
        <v>249</v>
      </c>
      <c r="E73" s="51"/>
      <c r="F73" s="51"/>
      <c r="G73" s="51"/>
      <c r="H73" s="51"/>
      <c r="I73" s="49">
        <f t="shared" si="2"/>
        <v>5.2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Pin maritime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12</v>
      </c>
      <c r="B88" s="60">
        <v>36</v>
      </c>
      <c r="C88" s="60">
        <v>1</v>
      </c>
      <c r="D88" s="60">
        <v>0</v>
      </c>
      <c r="E88" s="51"/>
      <c r="F88" s="51"/>
      <c r="G88" s="51"/>
      <c r="H88" s="87"/>
      <c r="I88" s="53">
        <f>IFERROR(B88/A88,"")</f>
        <v>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16</v>
      </c>
      <c r="B89" s="60">
        <v>81</v>
      </c>
      <c r="C89" s="60">
        <v>2</v>
      </c>
      <c r="D89" s="60">
        <v>15</v>
      </c>
      <c r="E89" s="51">
        <v>0.2</v>
      </c>
      <c r="F89" s="51">
        <v>0.2</v>
      </c>
      <c r="G89" s="51">
        <v>0.6</v>
      </c>
      <c r="H89" s="87"/>
      <c r="I89" s="53">
        <f t="shared" ref="I89:I107" si="3">IF(A89&lt;&gt;0,(B89-(B88-D88))/(A89-A88),"")</f>
        <v>11.25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20</v>
      </c>
      <c r="B90" s="60">
        <v>119</v>
      </c>
      <c r="C90" s="60">
        <v>3</v>
      </c>
      <c r="D90" s="60">
        <v>22</v>
      </c>
      <c r="E90" s="87">
        <v>0.3</v>
      </c>
      <c r="F90" s="87">
        <v>0.4</v>
      </c>
      <c r="G90" s="87">
        <v>0.3</v>
      </c>
      <c r="H90" s="87"/>
      <c r="I90" s="53">
        <f t="shared" si="3"/>
        <v>13.25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24</v>
      </c>
      <c r="B91" s="60">
        <v>157</v>
      </c>
      <c r="C91" s="60">
        <v>4</v>
      </c>
      <c r="D91" s="60">
        <v>31</v>
      </c>
      <c r="E91" s="87">
        <v>0.4</v>
      </c>
      <c r="F91" s="87">
        <v>0.3</v>
      </c>
      <c r="G91" s="87">
        <v>0.3</v>
      </c>
      <c r="H91" s="87"/>
      <c r="I91" s="53">
        <f t="shared" si="3"/>
        <v>15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28</v>
      </c>
      <c r="B92" s="60">
        <v>190</v>
      </c>
      <c r="C92" s="60">
        <v>5</v>
      </c>
      <c r="D92" s="60">
        <v>35</v>
      </c>
      <c r="E92" s="87">
        <v>0.4</v>
      </c>
      <c r="F92" s="87">
        <v>0.3</v>
      </c>
      <c r="G92" s="87">
        <v>0.3</v>
      </c>
      <c r="H92" s="87"/>
      <c r="I92" s="53">
        <f t="shared" si="3"/>
        <v>16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34</v>
      </c>
      <c r="B93" s="60">
        <v>244</v>
      </c>
      <c r="C93" s="60">
        <v>6</v>
      </c>
      <c r="D93" s="60">
        <v>46</v>
      </c>
      <c r="E93" s="87"/>
      <c r="F93" s="87"/>
      <c r="G93" s="87"/>
      <c r="H93" s="87"/>
      <c r="I93" s="53">
        <f t="shared" si="3"/>
        <v>14.833333333333334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40</v>
      </c>
      <c r="B94" s="60">
        <v>275</v>
      </c>
      <c r="C94" s="60">
        <v>7</v>
      </c>
      <c r="D94" s="60">
        <v>41</v>
      </c>
      <c r="E94" s="87"/>
      <c r="F94" s="87"/>
      <c r="G94" s="87"/>
      <c r="H94" s="87"/>
      <c r="I94" s="53">
        <f t="shared" si="3"/>
        <v>12.833333333333334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46</v>
      </c>
      <c r="B95" s="60">
        <v>292</v>
      </c>
      <c r="C95" s="60">
        <v>8</v>
      </c>
      <c r="D95" s="60">
        <v>29</v>
      </c>
      <c r="E95" s="87"/>
      <c r="F95" s="87"/>
      <c r="G95" s="87"/>
      <c r="H95" s="87"/>
      <c r="I95" s="53">
        <f t="shared" si="3"/>
        <v>9.6666666666666661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54</v>
      </c>
      <c r="B96" s="60">
        <v>311</v>
      </c>
      <c r="C96" s="60">
        <v>9</v>
      </c>
      <c r="D96" s="60">
        <v>16</v>
      </c>
      <c r="E96" s="87"/>
      <c r="F96" s="87"/>
      <c r="G96" s="87"/>
      <c r="H96" s="87"/>
      <c r="I96" s="53">
        <f t="shared" si="3"/>
        <v>6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62</v>
      </c>
      <c r="B97" s="60">
        <v>316</v>
      </c>
      <c r="C97" s="60">
        <v>10</v>
      </c>
      <c r="D97" s="60">
        <v>316</v>
      </c>
      <c r="E97" s="87"/>
      <c r="F97" s="87"/>
      <c r="G97" s="87"/>
      <c r="H97" s="87"/>
      <c r="I97" s="53">
        <f t="shared" si="3"/>
        <v>2.625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Robinier faux-acacia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5</v>
      </c>
      <c r="B114" s="60">
        <v>34</v>
      </c>
      <c r="C114" s="50">
        <v>1</v>
      </c>
      <c r="D114" s="60">
        <v>6</v>
      </c>
      <c r="E114" s="51"/>
      <c r="F114" s="51"/>
      <c r="G114" s="51"/>
      <c r="H114" s="51">
        <v>1</v>
      </c>
      <c r="I114" s="53">
        <f>IFERROR(B114/A114,"")</f>
        <v>6.8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10</v>
      </c>
      <c r="B115" s="60">
        <v>99</v>
      </c>
      <c r="C115" s="50">
        <v>2</v>
      </c>
      <c r="D115" s="60">
        <v>28</v>
      </c>
      <c r="E115" s="51"/>
      <c r="F115" s="51"/>
      <c r="G115" s="51">
        <v>0.2</v>
      </c>
      <c r="H115" s="51">
        <v>0.8</v>
      </c>
      <c r="I115" s="53">
        <f t="shared" ref="I115:I133" si="4">IF(A115&lt;&gt;0,(B115-(B114-D114))/(A115-A114),"")</f>
        <v>14.2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15</v>
      </c>
      <c r="B116" s="60">
        <v>140</v>
      </c>
      <c r="C116" s="50">
        <v>3</v>
      </c>
      <c r="D116" s="60">
        <v>23</v>
      </c>
      <c r="E116" s="51"/>
      <c r="F116" s="51"/>
      <c r="G116" s="51">
        <v>0.5</v>
      </c>
      <c r="H116" s="51">
        <v>0.5</v>
      </c>
      <c r="I116" s="53">
        <f t="shared" si="4"/>
        <v>13.8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20</v>
      </c>
      <c r="B117" s="60">
        <v>180</v>
      </c>
      <c r="C117" s="50">
        <v>4</v>
      </c>
      <c r="D117" s="60">
        <v>18</v>
      </c>
      <c r="E117" s="51">
        <v>0.1</v>
      </c>
      <c r="F117" s="51"/>
      <c r="G117" s="51">
        <v>0.4</v>
      </c>
      <c r="H117" s="51">
        <v>0.5</v>
      </c>
      <c r="I117" s="53">
        <f t="shared" si="4"/>
        <v>12.6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25</v>
      </c>
      <c r="B118" s="60">
        <v>214</v>
      </c>
      <c r="C118" s="50">
        <v>5</v>
      </c>
      <c r="D118" s="60">
        <v>14</v>
      </c>
      <c r="E118" s="51">
        <v>0.3</v>
      </c>
      <c r="F118" s="51"/>
      <c r="G118" s="51">
        <v>0.3</v>
      </c>
      <c r="H118" s="51">
        <v>0.4</v>
      </c>
      <c r="I118" s="53">
        <f t="shared" si="4"/>
        <v>10.4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30</v>
      </c>
      <c r="B119" s="60">
        <v>243</v>
      </c>
      <c r="C119" s="50">
        <v>6</v>
      </c>
      <c r="D119" s="60">
        <v>11</v>
      </c>
      <c r="E119" s="51">
        <v>0.3</v>
      </c>
      <c r="F119" s="51"/>
      <c r="G119" s="51">
        <v>0.3</v>
      </c>
      <c r="H119" s="51">
        <v>0.4</v>
      </c>
      <c r="I119" s="53">
        <f t="shared" si="4"/>
        <v>8.6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35</v>
      </c>
      <c r="B120" s="60">
        <v>267</v>
      </c>
      <c r="C120" s="60">
        <v>7</v>
      </c>
      <c r="D120" s="60">
        <v>9</v>
      </c>
      <c r="E120" s="87"/>
      <c r="F120" s="87"/>
      <c r="G120" s="87"/>
      <c r="H120" s="87"/>
      <c r="I120" s="53">
        <f t="shared" si="4"/>
        <v>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40</v>
      </c>
      <c r="B121" s="60">
        <v>289</v>
      </c>
      <c r="C121" s="60">
        <v>8</v>
      </c>
      <c r="D121" s="60">
        <v>7</v>
      </c>
      <c r="E121" s="87"/>
      <c r="F121" s="87"/>
      <c r="G121" s="87"/>
      <c r="H121" s="87"/>
      <c r="I121" s="53">
        <f t="shared" si="4"/>
        <v>6.2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45</v>
      </c>
      <c r="B122" s="60">
        <v>312</v>
      </c>
      <c r="C122" s="60">
        <v>9</v>
      </c>
      <c r="D122" s="60">
        <v>312</v>
      </c>
      <c r="E122" s="87"/>
      <c r="F122" s="87"/>
      <c r="G122" s="87"/>
      <c r="H122" s="87"/>
      <c r="I122" s="53">
        <f t="shared" si="4"/>
        <v>6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Mélèze hybride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12</v>
      </c>
      <c r="B140" s="60">
        <v>116</v>
      </c>
      <c r="C140" s="50">
        <v>1</v>
      </c>
      <c r="D140" s="60">
        <v>21</v>
      </c>
      <c r="E140" s="51"/>
      <c r="F140" s="51"/>
      <c r="G140" s="51"/>
      <c r="H140" s="51">
        <v>1</v>
      </c>
      <c r="I140" s="57">
        <f>IFERROR(B140/A140,"")</f>
        <v>9.6666666666666661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15</v>
      </c>
      <c r="B141" s="60">
        <v>168</v>
      </c>
      <c r="C141" s="50">
        <v>2</v>
      </c>
      <c r="D141" s="60">
        <v>47</v>
      </c>
      <c r="E141" s="51"/>
      <c r="F141" s="51"/>
      <c r="G141" s="51">
        <v>1</v>
      </c>
      <c r="H141" s="51"/>
      <c r="I141" s="57">
        <f t="shared" ref="I141:I159" si="5">IF(A141&lt;&gt;0,(B141-(B140-D140))/(A141-A140),"")</f>
        <v>24.333333333333332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18</v>
      </c>
      <c r="B142" s="60">
        <v>185</v>
      </c>
      <c r="C142" s="50">
        <v>3</v>
      </c>
      <c r="D142" s="60">
        <v>61</v>
      </c>
      <c r="E142" s="51"/>
      <c r="F142" s="51">
        <v>0.2</v>
      </c>
      <c r="G142" s="51">
        <v>0.8</v>
      </c>
      <c r="H142" s="51"/>
      <c r="I142" s="57">
        <f t="shared" si="5"/>
        <v>21.333333333333332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24</v>
      </c>
      <c r="B143" s="60">
        <v>239</v>
      </c>
      <c r="C143" s="50">
        <v>4</v>
      </c>
      <c r="D143" s="60">
        <v>84</v>
      </c>
      <c r="E143" s="51"/>
      <c r="F143" s="51">
        <v>0.5</v>
      </c>
      <c r="G143" s="51">
        <v>0.5</v>
      </c>
      <c r="H143" s="51"/>
      <c r="I143" s="57">
        <f t="shared" si="5"/>
        <v>19.166666666666668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30</v>
      </c>
      <c r="B144" s="60">
        <v>255</v>
      </c>
      <c r="C144" s="50">
        <v>5</v>
      </c>
      <c r="D144" s="60">
        <v>76</v>
      </c>
      <c r="E144" s="51">
        <v>0.2</v>
      </c>
      <c r="F144" s="51">
        <v>0.6</v>
      </c>
      <c r="G144" s="51">
        <v>0.2</v>
      </c>
      <c r="H144" s="51"/>
      <c r="I144" s="57">
        <f t="shared" si="5"/>
        <v>16.666666666666668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36</v>
      </c>
      <c r="B145" s="60">
        <v>269</v>
      </c>
      <c r="C145" s="50">
        <v>6</v>
      </c>
      <c r="D145" s="60">
        <v>75</v>
      </c>
      <c r="E145" s="51"/>
      <c r="F145" s="51"/>
      <c r="G145" s="51"/>
      <c r="H145" s="51"/>
      <c r="I145" s="57">
        <f t="shared" si="5"/>
        <v>15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42</v>
      </c>
      <c r="B146" s="60">
        <v>278</v>
      </c>
      <c r="C146" s="50">
        <v>7</v>
      </c>
      <c r="D146" s="60">
        <v>278</v>
      </c>
      <c r="E146" s="51"/>
      <c r="F146" s="51"/>
      <c r="G146" s="51"/>
      <c r="H146" s="51"/>
      <c r="I146" s="57">
        <f t="shared" si="5"/>
        <v>14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20" sqref="G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1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Cèdre de l'Atlas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rouge d'Amérique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Pin maritime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Robinier faux-acacia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>Mélèze hybride</v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319.22903094674564</v>
      </c>
      <c r="T3" s="59">
        <f>IF('Données projet'!E9&gt;30,$R$33-$H$33,LOOKUP('Données projet'!$E$9,$A$3:$A$203,R3:R203)-LOOKUP('Données projet'!$E$9,$A$3:$A$203,$H$3:$H$203))</f>
        <v>254.58690973142848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321.23599968992932</v>
      </c>
      <c r="AO3" s="59">
        <f>IF('Données projet'!E10&gt;30,$AM$33-$H$33,LOOKUP('Données projet'!$E$10,$A$3:$A$203,AM3:AM203)-LOOKUP('Données projet'!$E$10,$A$3:$A$203,$H$3:$H$203))</f>
        <v>388.05195847800502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258.31845364515124</v>
      </c>
      <c r="BJ3" s="59">
        <f>IF('Données projet'!E11&gt;30,$BH$33-$H$33,LOOKUP('Données projet'!$E$11,$A$3:$A$203,BH3:BH203)-LOOKUP('Données projet'!$E$11,$A$3:$A$203,$H$3:$H$203))</f>
        <v>280.26155987300996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366.86025470473652</v>
      </c>
      <c r="CE3" s="59">
        <f>IF('Données projet'!E12&gt;30,$CC$33-$H$33,LOOKUP('Données projet'!$E$12,$A$3:$A$203,CC3:CC203)-LOOKUP('Données projet'!$E$12,$A$3:$A$203,$H$3:$H$203))</f>
        <v>513.80016421153414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256.66666666666669</v>
      </c>
      <c r="CY3" s="59">
        <f ca="1">AVERAGE(OFFSET($CX$3,0,0,'Données projet'!$E$13+1,1))-AVERAGE(OFFSET($H$3,0,0,'Données projet'!$E$13+1,1))</f>
        <v>207.02306964567629</v>
      </c>
      <c r="CZ3" s="59">
        <f>IF('Données projet'!E13&gt;30,$CX$33-$H$33,LOOKUP('Données projet'!$E$13,$A$3:$A$203,CX3:CX203)-LOOKUP('Données projet'!$E$13,$A$3:$A$203,$H$3:$H$203))</f>
        <v>342.06887933351783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7">
        <f t="shared" ref="H4:H67" si="1">(B4+E4+F4)*44/12+(C4+D4)*0.475*44/12</f>
        <v>256.66666666666669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7.9</v>
      </c>
      <c r="N4" s="13">
        <f>IF('Données projet'!$A$36&gt;35,N3+M4-V3,IF(A4&lt;'Données projet'!$A$36,$K$205^A4,IF(A4='Données projet'!$A$36,'Données projet'!$B$36,N3+M4-V3)))</f>
        <v>1.2880503926580862</v>
      </c>
      <c r="O4" s="13">
        <f>N4*VLOOKUP('Données projet'!$B$9,Paramètres!$A$1:$I$89,3,0)*VLOOKUP('Données projet'!$B$9,Paramètres!$A$1:$I$89,5,0)</f>
        <v>0.60280758376398436</v>
      </c>
      <c r="P4" s="13">
        <f>EXP(-1.0587+0.8836*LN(O4)+0.284)</f>
        <v>0.29465781953181042</v>
      </c>
      <c r="Q4" s="20">
        <f t="shared" ref="Q4:Q34" si="2">(O4+P4)*0.475*44/12</f>
        <v>1.5630855774068424</v>
      </c>
      <c r="R4" s="59">
        <f t="shared" si="0"/>
        <v>259.45197446629572</v>
      </c>
      <c r="S4" s="59">
        <f ca="1">AVERAGE(OFFSET($R$3,0,0,'Données projet'!$E$9+1,1))-AVERAGE(OFFSET($H$3,0,0,'Données projet'!$E$9+1,1))</f>
        <v>319.22903094674564</v>
      </c>
      <c r="T4" s="59">
        <f>$T$3</f>
        <v>254.58690973142848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5.8</v>
      </c>
      <c r="AI4" s="13">
        <f>IF('Données projet'!$A$62&gt;35,AI3+AH4-AQ3,IF(A4&lt;'Données projet'!$A$62,$AF$205^A4,IF(A4='Données projet'!$A$62,'Données projet'!$B$62,AI3+AH4-AQ3)))</f>
        <v>1.3467943429205997</v>
      </c>
      <c r="AJ4" s="13">
        <f>AI4*VLOOKUP('Données projet'!$B$10,Paramètres!$A$1:$I$89,3,0)*VLOOKUP('Données projet'!$B$10,Paramètres!$A$1:$I$89,5,0)</f>
        <v>1.1765595379754361</v>
      </c>
      <c r="AK4" s="13">
        <f>EXP(-1.0587+0.8836*LN(AJ4)+0.284)</f>
        <v>0.53204273185561757</v>
      </c>
      <c r="AL4" s="20">
        <f t="shared" ref="AL4:AL67" si="4">(AJ4+AK4)*0.475*44/12</f>
        <v>2.9758156199557515</v>
      </c>
      <c r="AM4" s="59">
        <f t="shared" ref="AM4:AM67" si="5">AL4+(AD4+AE4)*44/12</f>
        <v>260.86470450884462</v>
      </c>
      <c r="AN4" s="59">
        <f ca="1">AVERAGE(OFFSET($AM$3,0,0,'Données projet'!$E$10+1,1))-AVERAGE(OFFSET($H$3,0,0,'Données projet'!$E$10+1,1))</f>
        <v>321.23599968992932</v>
      </c>
      <c r="AO4" s="59">
        <f>$AO$3</f>
        <v>388.05195847800502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</v>
      </c>
      <c r="BD4" s="12">
        <f>IF('Données projet'!$A$88&gt;35,BD3+BC4-BL3,IF(A4&lt;'Données projet'!$A$88,$BA$205^A4,IF(A4='Données projet'!$A$88,'Données projet'!$B$88,BD3+BC4-BL3)))</f>
        <v>1.3480061545972777</v>
      </c>
      <c r="BE4" s="13">
        <f>BD4*VLOOKUP('Données projet'!$B$11,Paramètres!$A$1:$I$89,3,0)*VLOOKUP('Données projet'!$B$11,Paramètres!$A$1:$I$89,5,0)</f>
        <v>0.80610768044917203</v>
      </c>
      <c r="BF4" s="13">
        <f>EXP(-1.0587+0.8836*LN(BE4)+0.284)</f>
        <v>0.38092631183578585</v>
      </c>
      <c r="BG4" s="20">
        <f t="shared" ref="BG4:BG67" si="7">(BE4+BF4)*0.475*44/12</f>
        <v>2.0674175365629677</v>
      </c>
      <c r="BH4" s="59">
        <f t="shared" ref="BH4:BH67" si="8">BG4+(AY4+AZ4)*44/12</f>
        <v>259.95630642545183</v>
      </c>
      <c r="BI4" s="59">
        <f ca="1">AVERAGE(OFFSET($BH$3,0,0,'Données projet'!$E$11+1,1))-AVERAGE(OFFSET($H$3,0,0,'Données projet'!$E$11+1,1))</f>
        <v>258.31845364515124</v>
      </c>
      <c r="BJ4" s="59">
        <f>$BJ$3</f>
        <v>280.26155987300996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6.8</v>
      </c>
      <c r="BY4" s="12">
        <f>IF('Données projet'!$A$114&gt;35,BY3+BX4-CG3,IF(A4&lt;'Données projet'!$A$114,$BV$205^A4,IF(A4='Données projet'!$A$114,'Données projet'!$B$114,BY3+BX4-CG3)))</f>
        <v>2.0243974584998852</v>
      </c>
      <c r="BZ4" s="13">
        <f>BY4*VLOOKUP('Données projet'!$B$12,Paramètres!$A$1:$I$89,3,0)*VLOOKUP('Données projet'!$B$12,Paramètres!$A$1:$I$89,5,0)</f>
        <v>1.8316748204506961</v>
      </c>
      <c r="CA4" s="13">
        <f>EXP(-1.0587+0.8836*LN(BZ4)+0.284)</f>
        <v>0.78669228172688432</v>
      </c>
      <c r="CB4" s="20">
        <f t="shared" ref="CB4:CB67" si="10">(BZ4+CA4)*0.475*44/12</f>
        <v>4.5603227029592857</v>
      </c>
      <c r="CC4" s="59">
        <f t="shared" ref="CC4:CC67" si="11">CB4+(BT4+BU4)*44/12</f>
        <v>262.44921159184815</v>
      </c>
      <c r="CD4" s="59">
        <f ca="1">AVERAGE(OFFSET($CC$3,0,0,'Données projet'!$E$12+1,1))-AVERAGE(OFFSET($H$3,0,0,'Données projet'!$E$12+1,1))</f>
        <v>366.86025470473652</v>
      </c>
      <c r="CE4" s="59">
        <f>$CE$3</f>
        <v>513.80016421153414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9.6666666666666661</v>
      </c>
      <c r="CT4" s="12">
        <f>IF('Données projet'!$A$140&gt;35,CT3+CS4-DB3,IF(A4&lt;'Données projet'!$A$140,$CQ$205^A4,IF(A4='Données projet'!$A$140,'Données projet'!$B$140,CT3+CS4-DB3)))</f>
        <v>1.4860662319460807</v>
      </c>
      <c r="CU4" s="17">
        <f>CT4*VLOOKUP('Données projet'!$B$13,Paramètres!$A$1:$I$89,3,0)*VLOOKUP('Données projet'!$B$13,Paramètres!$A$1:$I$89,5,0)</f>
        <v>0.81139216264255998</v>
      </c>
      <c r="CV4" s="13">
        <f>EXP(-1.0587+0.8836*LN(CU4)+0.284)</f>
        <v>0.38313198283208655</v>
      </c>
      <c r="CW4" s="20">
        <f t="shared" ref="CW4:CW67" si="13">(CU4+CV4)*0.475*44/12</f>
        <v>2.0804628867016759</v>
      </c>
      <c r="CX4" s="59">
        <f t="shared" ref="CX4:CX67" si="14">CW4+(CO4+CP4)*44/12</f>
        <v>259.96935177559055</v>
      </c>
      <c r="CY4" s="59">
        <f ca="1">AVERAGE(OFFSET($CX$3,0,0,'Données projet'!$E$13+1,1))-AVERAGE(OFFSET($H$3,0,0,'Données projet'!$E$13+1,1))</f>
        <v>207.02306964567629</v>
      </c>
      <c r="CZ4" s="59">
        <f>$CZ$3</f>
        <v>342.06887933351783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7">
        <f t="shared" si="1"/>
        <v>256.66666666666669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7.9</v>
      </c>
      <c r="N5" s="13">
        <f>IF('Données projet'!$A$36&gt;35,N4+M5-V4,IF(A5&lt;'Données projet'!$A$36,$K$205^A5,IF(A5='Données projet'!$A$36,'Données projet'!$B$36,N4+M5-V4)))</f>
        <v>1.6590738140266501</v>
      </c>
      <c r="O5" s="13">
        <f>N5*VLOOKUP('Données projet'!$B$9,Paramètres!$A$1:$I$89,3,0)*VLOOKUP('Données projet'!$B$9,Paramètres!$A$1:$I$89,5,0)</f>
        <v>0.77644654496447219</v>
      </c>
      <c r="P5" s="13">
        <f t="shared" ref="P5:P68" si="33">EXP(-1.0587+0.8836*LN(O5)+0.284)</f>
        <v>0.36851455096495994</v>
      </c>
      <c r="Q5" s="20">
        <f t="shared" si="2"/>
        <v>1.9941405754104276</v>
      </c>
      <c r="R5" s="59">
        <f t="shared" si="0"/>
        <v>261.10525168652157</v>
      </c>
      <c r="S5" s="59">
        <f ca="1">AVERAGE(OFFSET($R$3,0,0,'Données projet'!$E$9+1,1))-AVERAGE(OFFSET($H$3,0,0,'Données projet'!$E$9+1,1))</f>
        <v>319.22903094674564</v>
      </c>
      <c r="T5" s="59">
        <f t="shared" ref="T5:T68" si="34">$T$3</f>
        <v>254.58690973142848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5.8</v>
      </c>
      <c r="AI5" s="13">
        <f>IF('Données projet'!$A$62&gt;35,AI4+AH5-AQ4,IF(A5&lt;'Données projet'!$A$62,$AF$205^A5,IF(A5='Données projet'!$A$62,'Données projet'!$B$62,AI4+AH5-AQ4)))</f>
        <v>1.81385500212293</v>
      </c>
      <c r="AJ5" s="13">
        <f>AI5*VLOOKUP('Données projet'!$B$10,Paramètres!$A$1:$I$89,3,0)*VLOOKUP('Données projet'!$B$10,Paramètres!$A$1:$I$89,5,0)</f>
        <v>1.5845837298545919</v>
      </c>
      <c r="AK5" s="13">
        <f t="shared" ref="AK5:AK68" si="35">EXP(-1.0587+0.8836*LN(AJ5)+0.284)</f>
        <v>0.69214506839939893</v>
      </c>
      <c r="AL5" s="20">
        <f t="shared" si="4"/>
        <v>3.9653026569590337</v>
      </c>
      <c r="AM5" s="59">
        <f t="shared" si="5"/>
        <v>263.07641376807015</v>
      </c>
      <c r="AN5" s="59">
        <f ca="1">AVERAGE(OFFSET($AM$3,0,0,'Données projet'!$E$10+1,1))-AVERAGE(OFFSET($H$3,0,0,'Données projet'!$E$10+1,1))</f>
        <v>321.23599968992932</v>
      </c>
      <c r="AO5" s="59">
        <f t="shared" ref="AO5:AO68" si="36">$AO$3</f>
        <v>388.05195847800502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</v>
      </c>
      <c r="BD5" s="12">
        <f>IF('Données projet'!$A$88&gt;35,BD4+BC5-BL4,IF(A5&lt;'Données projet'!$A$88,$BA$205^A5,IF(A5='Données projet'!$A$88,'Données projet'!$B$88,BD4+BC5-BL4)))</f>
        <v>1.8171205928321397</v>
      </c>
      <c r="BE5" s="13">
        <f>BD5*VLOOKUP('Données projet'!$B$11,Paramètres!$A$1:$I$89,3,0)*VLOOKUP('Données projet'!$B$11,Paramètres!$A$1:$I$89,5,0)</f>
        <v>1.0866381145136197</v>
      </c>
      <c r="BF5" s="13">
        <f t="shared" ref="BF5:BF68" si="37">EXP(-1.0587+0.8836*LN(BE5)+0.284)</f>
        <v>0.49594865026181029</v>
      </c>
      <c r="BG5" s="20">
        <f t="shared" si="7"/>
        <v>2.7563386153172069</v>
      </c>
      <c r="BH5" s="59">
        <f t="shared" si="8"/>
        <v>261.86744972642833</v>
      </c>
      <c r="BI5" s="59">
        <f ca="1">AVERAGE(OFFSET($BH$3,0,0,'Données projet'!$E$11+1,1))-AVERAGE(OFFSET($H$3,0,0,'Données projet'!$E$11+1,1))</f>
        <v>258.31845364515124</v>
      </c>
      <c r="BJ5" s="59">
        <f t="shared" ref="BJ5:BJ68" si="38">$BJ$3</f>
        <v>280.26155987300996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6.8</v>
      </c>
      <c r="BY5" s="12">
        <f>IF('Données projet'!$A$114&gt;35,BY4+BX5-CG4,IF(A5&lt;'Données projet'!$A$114,$BV$205^A5,IF(A5='Données projet'!$A$114,'Données projet'!$B$114,BY4+BX5-CG4)))</f>
        <v>4.0981850699807945</v>
      </c>
      <c r="BZ5" s="13">
        <f>BY5*VLOOKUP('Données projet'!$B$12,Paramètres!$A$1:$I$89,3,0)*VLOOKUP('Données projet'!$B$12,Paramètres!$A$1:$I$89,5,0)</f>
        <v>3.7080378513186227</v>
      </c>
      <c r="CA5" s="13">
        <f t="shared" ref="CA5:CA68" si="39">EXP(-1.0587+0.8836*LN(BZ5)+0.284)</f>
        <v>1.4670598901857457</v>
      </c>
      <c r="CB5" s="20">
        <f t="shared" si="10"/>
        <v>9.0132952331201093</v>
      </c>
      <c r="CC5" s="59">
        <f t="shared" si="11"/>
        <v>268.12440634423126</v>
      </c>
      <c r="CD5" s="59">
        <f ca="1">AVERAGE(OFFSET($CC$3,0,0,'Données projet'!$E$12+1,1))-AVERAGE(OFFSET($H$3,0,0,'Données projet'!$E$12+1,1))</f>
        <v>366.86025470473652</v>
      </c>
      <c r="CE5" s="59">
        <f t="shared" ref="CE5:CE68" si="40">$CE$3</f>
        <v>513.80016421153414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9.6666666666666661</v>
      </c>
      <c r="CT5" s="12">
        <f>IF('Données projet'!$A$140&gt;35,CT4+CS5-DB4,IF(A5&lt;'Données projet'!$A$140,$CQ$205^A5,IF(A5='Données projet'!$A$140,'Données projet'!$B$140,CT4+CS5-DB4)))</f>
        <v>2.2083928457304225</v>
      </c>
      <c r="CU5" s="17">
        <f>CT5*VLOOKUP('Données projet'!$B$13,Paramètres!$A$1:$I$89,3,0)*VLOOKUP('Données projet'!$B$13,Paramètres!$A$1:$I$89,5,0)</f>
        <v>1.2057824937688106</v>
      </c>
      <c r="CV5" s="13">
        <f t="shared" ref="CV5:CV68" si="41">EXP(-1.0587+0.8836*LN(CU5)+0.284)</f>
        <v>0.54370250071771287</v>
      </c>
      <c r="CW5" s="20">
        <f t="shared" si="13"/>
        <v>3.0470196987306952</v>
      </c>
      <c r="CX5" s="59">
        <f t="shared" si="14"/>
        <v>262.15813080984185</v>
      </c>
      <c r="CY5" s="59">
        <f ca="1">AVERAGE(OFFSET($CX$3,0,0,'Données projet'!$E$13+1,1))-AVERAGE(OFFSET($H$3,0,0,'Données projet'!$E$13+1,1))</f>
        <v>207.02306964567629</v>
      </c>
      <c r="CZ5" s="59">
        <f t="shared" ref="CZ5:CZ68" si="42">$CZ$3</f>
        <v>342.06887933351783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7">
        <f t="shared" si="1"/>
        <v>256.66666666666669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7.9</v>
      </c>
      <c r="N6" s="13">
        <f>IF('Données projet'!$A$36&gt;35,N5+M6-V5,IF(A6&lt;'Données projet'!$A$36,$K$205^A6,IF(A6='Données projet'!$A$36,'Données projet'!$B$36,N5+M6-V5)))</f>
        <v>2.1369706776057753</v>
      </c>
      <c r="O6" s="13">
        <f>N6*VLOOKUP('Données projet'!$B$9,Paramètres!$A$1:$I$89,3,0)*VLOOKUP('Données projet'!$B$9,Paramètres!$A$1:$I$89,5,0)</f>
        <v>1.0001022771195029</v>
      </c>
      <c r="P6" s="13">
        <f t="shared" si="33"/>
        <v>0.46088365986243646</v>
      </c>
      <c r="Q6" s="20">
        <f t="shared" si="2"/>
        <v>2.5445505069102112</v>
      </c>
      <c r="R6" s="59">
        <f t="shared" si="0"/>
        <v>262.8778838402435</v>
      </c>
      <c r="S6" s="59">
        <f ca="1">AVERAGE(OFFSET($R$3,0,0,'Données projet'!$E$9+1,1))-AVERAGE(OFFSET($H$3,0,0,'Données projet'!$E$9+1,1))</f>
        <v>319.22903094674564</v>
      </c>
      <c r="T6" s="59">
        <f t="shared" si="34"/>
        <v>254.58690973142848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5.8</v>
      </c>
      <c r="AI6" s="13">
        <f>IF('Données projet'!$A$62&gt;35,AI5+AH6-AQ5,IF(A6&lt;'Données projet'!$A$62,$AF$205^A6,IF(A6='Données projet'!$A$62,'Données projet'!$B$62,AI5+AH6-AQ5)))</f>
        <v>2.4428896557373947</v>
      </c>
      <c r="AJ6" s="13">
        <f>AI6*VLOOKUP('Données projet'!$B$10,Paramètres!$A$1:$I$89,3,0)*VLOOKUP('Données projet'!$B$10,Paramètres!$A$1:$I$89,5,0)</f>
        <v>2.1341084032521884</v>
      </c>
      <c r="AK6" s="13">
        <f t="shared" si="35"/>
        <v>0.90042541139273424</v>
      </c>
      <c r="AL6" s="20">
        <f t="shared" si="4"/>
        <v>5.2851463938399075</v>
      </c>
      <c r="AM6" s="59">
        <f t="shared" si="5"/>
        <v>265.61847972717322</v>
      </c>
      <c r="AN6" s="59">
        <f ca="1">AVERAGE(OFFSET($AM$3,0,0,'Données projet'!$E$10+1,1))-AVERAGE(OFFSET($H$3,0,0,'Données projet'!$E$10+1,1))</f>
        <v>321.23599968992932</v>
      </c>
      <c r="AO6" s="59">
        <f t="shared" si="36"/>
        <v>388.05195847800502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</v>
      </c>
      <c r="BD6" s="12">
        <f>IF('Données projet'!$A$88&gt;35,BD5+BC6-BL5,IF(A6&lt;'Données projet'!$A$88,$BA$205^A6,IF(A6='Données projet'!$A$88,'Données projet'!$B$88,BD5+BC6-BL5)))</f>
        <v>2.4494897427831783</v>
      </c>
      <c r="BE6" s="13">
        <f>BD6*VLOOKUP('Données projet'!$B$11,Paramètres!$A$1:$I$89,3,0)*VLOOKUP('Données projet'!$B$11,Paramètres!$A$1:$I$89,5,0)</f>
        <v>1.4647948661843406</v>
      </c>
      <c r="BF6" s="13">
        <f t="shared" si="37"/>
        <v>0.64570247854798968</v>
      </c>
      <c r="BG6" s="20">
        <f t="shared" si="7"/>
        <v>3.6757828754088084</v>
      </c>
      <c r="BH6" s="59">
        <f t="shared" si="8"/>
        <v>264.00911620874211</v>
      </c>
      <c r="BI6" s="59">
        <f ca="1">AVERAGE(OFFSET($BH$3,0,0,'Données projet'!$E$11+1,1))-AVERAGE(OFFSET($H$3,0,0,'Données projet'!$E$11+1,1))</f>
        <v>258.31845364515124</v>
      </c>
      <c r="BJ6" s="59">
        <f t="shared" si="38"/>
        <v>280.26155987300996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6.8</v>
      </c>
      <c r="BY6" s="12">
        <f>IF('Données projet'!$A$114&gt;35,BY5+BX6-CG5,IF(A6&lt;'Données projet'!$A$114,$BV$205^A6,IF(A6='Données projet'!$A$114,'Données projet'!$B$114,BY5+BX6-CG5)))</f>
        <v>8.2963554401312951</v>
      </c>
      <c r="BZ6" s="13">
        <f>BY6*VLOOKUP('Données projet'!$B$12,Paramètres!$A$1:$I$89,3,0)*VLOOKUP('Données projet'!$B$12,Paramètres!$A$1:$I$89,5,0)</f>
        <v>7.5065424022307949</v>
      </c>
      <c r="CA6" s="13">
        <f t="shared" si="39"/>
        <v>2.7358406474604431</v>
      </c>
      <c r="CB6" s="20">
        <f t="shared" si="10"/>
        <v>17.838817144878906</v>
      </c>
      <c r="CC6" s="59">
        <f t="shared" si="11"/>
        <v>278.17215047821225</v>
      </c>
      <c r="CD6" s="59">
        <f ca="1">AVERAGE(OFFSET($CC$3,0,0,'Données projet'!$E$12+1,1))-AVERAGE(OFFSET($H$3,0,0,'Données projet'!$E$12+1,1))</f>
        <v>366.86025470473652</v>
      </c>
      <c r="CE6" s="59">
        <f t="shared" si="40"/>
        <v>513.80016421153414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9.6666666666666661</v>
      </c>
      <c r="CT6" s="12">
        <f>IF('Données projet'!$A$140&gt;35,CT5+CS6-DB5,IF(A6&lt;'Données projet'!$A$140,$CQ$205^A6,IF(A6='Données projet'!$A$140,'Données projet'!$B$140,CT5+CS6-DB5)))</f>
        <v>3.2818180349112911</v>
      </c>
      <c r="CU6" s="17">
        <f>CT6*VLOOKUP('Données projet'!$B$13,Paramètres!$A$1:$I$89,3,0)*VLOOKUP('Données projet'!$B$13,Paramètres!$A$1:$I$89,5,0)</f>
        <v>1.7918726470615651</v>
      </c>
      <c r="CV6" s="13">
        <f t="shared" si="41"/>
        <v>0.77156808236563035</v>
      </c>
      <c r="CW6" s="20">
        <f t="shared" si="13"/>
        <v>4.4646592704190313</v>
      </c>
      <c r="CX6" s="59">
        <f t="shared" si="14"/>
        <v>264.79799260375233</v>
      </c>
      <c r="CY6" s="59">
        <f ca="1">AVERAGE(OFFSET($CX$3,0,0,'Données projet'!$E$13+1,1))-AVERAGE(OFFSET($H$3,0,0,'Données projet'!$E$13+1,1))</f>
        <v>207.02306964567629</v>
      </c>
      <c r="CZ6" s="59">
        <f t="shared" si="42"/>
        <v>342.06887933351783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7">
        <f t="shared" si="1"/>
        <v>256.66666666666669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7.9</v>
      </c>
      <c r="N7" s="13">
        <f>IF('Données projet'!$A$36&gt;35,N6+M7-V6,IF(A7&lt;'Données projet'!$A$36,$K$205^A7,IF(A7='Données projet'!$A$36,'Données projet'!$B$36,N6+M7-V6)))</f>
        <v>2.7525259203889356</v>
      </c>
      <c r="O7" s="13">
        <f>N7*VLOOKUP('Données projet'!$B$9,Paramètres!$A$1:$I$89,3,0)*VLOOKUP('Données projet'!$B$9,Paramètres!$A$1:$I$89,5,0)</f>
        <v>1.2881821307420218</v>
      </c>
      <c r="P7" s="13">
        <f t="shared" si="33"/>
        <v>0.57640532069082717</v>
      </c>
      <c r="Q7" s="20">
        <f t="shared" si="2"/>
        <v>3.2474898112455457</v>
      </c>
      <c r="R7" s="59">
        <f t="shared" si="0"/>
        <v>264.80304536680109</v>
      </c>
      <c r="S7" s="59">
        <f ca="1">AVERAGE(OFFSET($R$3,0,0,'Données projet'!$E$9+1,1))-AVERAGE(OFFSET($H$3,0,0,'Données projet'!$E$9+1,1))</f>
        <v>319.22903094674564</v>
      </c>
      <c r="T7" s="59">
        <f t="shared" si="34"/>
        <v>254.58690973142848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5.8</v>
      </c>
      <c r="AI7" s="13">
        <f>IF('Données projet'!$A$62&gt;35,AI6+AH7-AQ6,IF(A7&lt;'Données projet'!$A$62,$AF$205^A7,IF(A7='Données projet'!$A$62,'Données projet'!$B$62,AI6+AH7-AQ6)))</f>
        <v>3.2900699687263746</v>
      </c>
      <c r="AJ7" s="13">
        <f>AI7*VLOOKUP('Données projet'!$B$10,Paramètres!$A$1:$I$89,3,0)*VLOOKUP('Données projet'!$B$10,Paramètres!$A$1:$I$89,5,0)</f>
        <v>2.874205124679361</v>
      </c>
      <c r="AK7" s="13">
        <f t="shared" si="35"/>
        <v>1.1713814899478936</v>
      </c>
      <c r="AL7" s="20">
        <f t="shared" si="4"/>
        <v>7.0460633538091342</v>
      </c>
      <c r="AM7" s="59">
        <f t="shared" si="5"/>
        <v>268.60161890936467</v>
      </c>
      <c r="AN7" s="59">
        <f ca="1">AVERAGE(OFFSET($AM$3,0,0,'Données projet'!$E$10+1,1))-AVERAGE(OFFSET($H$3,0,0,'Données projet'!$E$10+1,1))</f>
        <v>321.23599968992932</v>
      </c>
      <c r="AO7" s="59">
        <f t="shared" si="36"/>
        <v>388.05195847800502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</v>
      </c>
      <c r="BD7" s="12">
        <f>IF('Données projet'!$A$88&gt;35,BD6+BC7-BL6,IF(A7&lt;'Données projet'!$A$88,$BA$205^A7,IF(A7='Données projet'!$A$88,'Données projet'!$B$88,BD6+BC7-BL6)))</f>
        <v>3.3019272488946267</v>
      </c>
      <c r="BE7" s="13">
        <f>BD7*VLOOKUP('Données projet'!$B$11,Paramètres!$A$1:$I$89,3,0)*VLOOKUP('Données projet'!$B$11,Paramètres!$A$1:$I$89,5,0)</f>
        <v>1.974552494838987</v>
      </c>
      <c r="BF7" s="13">
        <f t="shared" si="37"/>
        <v>0.84067511945625772</v>
      </c>
      <c r="BG7" s="20">
        <f t="shared" si="7"/>
        <v>4.9031880948975504</v>
      </c>
      <c r="BH7" s="59">
        <f t="shared" si="8"/>
        <v>266.45874365045307</v>
      </c>
      <c r="BI7" s="59">
        <f ca="1">AVERAGE(OFFSET($BH$3,0,0,'Données projet'!$E$11+1,1))-AVERAGE(OFFSET($H$3,0,0,'Données projet'!$E$11+1,1))</f>
        <v>258.31845364515124</v>
      </c>
      <c r="BJ7" s="59">
        <f t="shared" si="38"/>
        <v>280.26155987300996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6.8</v>
      </c>
      <c r="BY7" s="12">
        <f>IF('Données projet'!$A$114&gt;35,BY6+BX7-CG6,IF(A7&lt;'Données projet'!$A$114,$BV$205^A7,IF(A7='Données projet'!$A$114,'Données projet'!$B$114,BY6+BX7-CG6)))</f>
        <v>16.795120867813488</v>
      </c>
      <c r="BZ7" s="13">
        <f>BY7*VLOOKUP('Données projet'!$B$12,Paramètres!$A$1:$I$89,3,0)*VLOOKUP('Données projet'!$B$12,Paramètres!$A$1:$I$89,5,0)</f>
        <v>15.196225361197643</v>
      </c>
      <c r="CA7" s="13">
        <f t="shared" si="39"/>
        <v>5.1019212633160578</v>
      </c>
      <c r="CB7" s="20">
        <f t="shared" si="10"/>
        <v>35.352605371028027</v>
      </c>
      <c r="CC7" s="59">
        <f t="shared" si="11"/>
        <v>296.90816092658355</v>
      </c>
      <c r="CD7" s="59">
        <f ca="1">AVERAGE(OFFSET($CC$3,0,0,'Données projet'!$E$12+1,1))-AVERAGE(OFFSET($H$3,0,0,'Données projet'!$E$12+1,1))</f>
        <v>366.86025470473652</v>
      </c>
      <c r="CE7" s="59">
        <f t="shared" si="40"/>
        <v>513.80016421153414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9.6666666666666661</v>
      </c>
      <c r="CT7" s="12">
        <f>IF('Données projet'!$A$140&gt;35,CT6+CS7-DB6,IF(A7&lt;'Données projet'!$A$140,$CQ$205^A7,IF(A7='Données projet'!$A$140,'Données projet'!$B$140,CT6+CS7-DB6)))</f>
        <v>4.8769989610733138</v>
      </c>
      <c r="CU7" s="17">
        <f>CT7*VLOOKUP('Données projet'!$B$13,Paramètres!$A$1:$I$89,3,0)*VLOOKUP('Données projet'!$B$13,Paramètres!$A$1:$I$89,5,0)</f>
        <v>2.6628414327460295</v>
      </c>
      <c r="CV7" s="13">
        <f t="shared" si="41"/>
        <v>1.0949320721157787</v>
      </c>
      <c r="CW7" s="20">
        <f t="shared" si="13"/>
        <v>6.5447888543009825</v>
      </c>
      <c r="CX7" s="59">
        <f t="shared" si="14"/>
        <v>268.10034440985652</v>
      </c>
      <c r="CY7" s="59">
        <f ca="1">AVERAGE(OFFSET($CX$3,0,0,'Données projet'!$E$13+1,1))-AVERAGE(OFFSET($H$3,0,0,'Données projet'!$E$13+1,1))</f>
        <v>207.02306964567629</v>
      </c>
      <c r="CZ7" s="59">
        <f t="shared" si="42"/>
        <v>342.06887933351783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7">
        <f t="shared" si="1"/>
        <v>256.66666666666669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7.9</v>
      </c>
      <c r="N8" s="13">
        <f>IF('Données projet'!$A$36&gt;35,N7+M8-V7,IF(A8&lt;'Données projet'!$A$36,$K$205^A8,IF(A8='Données projet'!$A$36,'Données projet'!$B$36,N7+M8-V7)))</f>
        <v>3.5453920925585285</v>
      </c>
      <c r="O8" s="13">
        <f>N8*VLOOKUP('Données projet'!$B$9,Paramètres!$A$1:$I$89,3,0)*VLOOKUP('Données projet'!$B$9,Paramètres!$A$1:$I$89,5,0)</f>
        <v>1.6592434993173915</v>
      </c>
      <c r="P8" s="13">
        <f t="shared" si="33"/>
        <v>0.72088277944126433</v>
      </c>
      <c r="Q8" s="20">
        <f t="shared" si="2"/>
        <v>4.1453866021713255</v>
      </c>
      <c r="R8" s="59">
        <f t="shared" si="0"/>
        <v>266.92316437994907</v>
      </c>
      <c r="S8" s="59">
        <f ca="1">AVERAGE(OFFSET($R$3,0,0,'Données projet'!$E$9+1,1))-AVERAGE(OFFSET($H$3,0,0,'Données projet'!$E$9+1,1))</f>
        <v>319.22903094674564</v>
      </c>
      <c r="T8" s="59">
        <f t="shared" si="34"/>
        <v>254.58690973142848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5.8</v>
      </c>
      <c r="AI8" s="13">
        <f>IF('Données projet'!$A$62&gt;35,AI7+AH8-AQ7,IF(A8&lt;'Données projet'!$A$62,$AF$205^A8,IF(A8='Données projet'!$A$62,'Données projet'!$B$62,AI7+AH8-AQ7)))</f>
        <v>4.4310476216936356</v>
      </c>
      <c r="AJ8" s="13">
        <f>AI8*VLOOKUP('Données projet'!$B$10,Paramètres!$A$1:$I$89,3,0)*VLOOKUP('Données projet'!$B$10,Paramètres!$A$1:$I$89,5,0)</f>
        <v>3.8709632023115605</v>
      </c>
      <c r="AK8" s="13">
        <f t="shared" si="35"/>
        <v>1.5238736908481918</v>
      </c>
      <c r="AL8" s="20">
        <f t="shared" si="4"/>
        <v>9.3960075889199022</v>
      </c>
      <c r="AM8" s="59">
        <f t="shared" si="5"/>
        <v>272.1737853666977</v>
      </c>
      <c r="AN8" s="59">
        <f ca="1">AVERAGE(OFFSET($AM$3,0,0,'Données projet'!$E$10+1,1))-AVERAGE(OFFSET($H$3,0,0,'Données projet'!$E$10+1,1))</f>
        <v>321.23599968992932</v>
      </c>
      <c r="AO8" s="59">
        <f t="shared" si="36"/>
        <v>388.05195847800502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</v>
      </c>
      <c r="BD8" s="12">
        <f>IF('Données projet'!$A$88&gt;35,BD7+BC8-BL7,IF(A8&lt;'Données projet'!$A$88,$BA$205^A8,IF(A8='Données projet'!$A$88,'Données projet'!$B$88,BD7+BC8-BL7)))</f>
        <v>4.4510182535424141</v>
      </c>
      <c r="BE8" s="13">
        <f>BD8*VLOOKUP('Données projet'!$B$11,Paramètres!$A$1:$I$89,3,0)*VLOOKUP('Données projet'!$B$11,Paramètres!$A$1:$I$89,5,0)</f>
        <v>2.6617089156183638</v>
      </c>
      <c r="BF8" s="13">
        <f t="shared" si="37"/>
        <v>1.0945205879680817</v>
      </c>
      <c r="BG8" s="20">
        <f t="shared" si="7"/>
        <v>6.5420997187463925</v>
      </c>
      <c r="BH8" s="59">
        <f t="shared" si="8"/>
        <v>269.31987749652416</v>
      </c>
      <c r="BI8" s="59">
        <f ca="1">AVERAGE(OFFSET($BH$3,0,0,'Données projet'!$E$11+1,1))-AVERAGE(OFFSET($H$3,0,0,'Données projet'!$E$11+1,1))</f>
        <v>258.31845364515124</v>
      </c>
      <c r="BJ8" s="59">
        <f t="shared" si="38"/>
        <v>280.26155987300996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>
        <f>VLOOKUP(A8,'Données projet'!$A$113:$I$133,2,0)</f>
        <v>34</v>
      </c>
      <c r="BW8" s="12">
        <f>VLOOKUP(A8,'Données projet'!$A$113:$I$133,9,0)</f>
        <v>6.8</v>
      </c>
      <c r="BX8" s="12">
        <f t="array" ref="BX8">INDEX(BW:BW,MIN(IF(ISNUMBER(BW8:BW204),ROW(BW8:BW204),"")))</f>
        <v>6.8</v>
      </c>
      <c r="BY8" s="12">
        <f>IF('Données projet'!$A$114&gt;35,BY7+BX8-CG7,IF(A8&lt;'Données projet'!$A$114,$BV$205^A8,IF(A8='Données projet'!$A$114,'Données projet'!$B$114,BY7+BX8-CG7)))</f>
        <v>34</v>
      </c>
      <c r="BZ8" s="13">
        <f>BY8*VLOOKUP('Données projet'!$B$12,Paramètres!$A$1:$I$89,3,0)*VLOOKUP('Données projet'!$B$12,Paramètres!$A$1:$I$89,5,0)</f>
        <v>30.763199999999998</v>
      </c>
      <c r="CA8" s="13">
        <f t="shared" si="39"/>
        <v>9.5142970411082253</v>
      </c>
      <c r="CB8" s="20">
        <f t="shared" si="10"/>
        <v>70.149974013263474</v>
      </c>
      <c r="CC8" s="59">
        <f t="shared" si="11"/>
        <v>332.92775179104126</v>
      </c>
      <c r="CD8" s="59">
        <f ca="1">AVERAGE(OFFSET($CC$3,0,0,'Données projet'!$E$12+1,1))-AVERAGE(OFFSET($H$3,0,0,'Données projet'!$E$12+1,1))</f>
        <v>366.86025470473652</v>
      </c>
      <c r="CE8" s="59">
        <f t="shared" si="40"/>
        <v>513.80016421153414</v>
      </c>
      <c r="CF8" s="15">
        <f>IF(ISNA(VLOOKUP(A8,'Données projet'!$A$113:$I$133,3,0)),0,VLOOKUP(A8,'Données projet'!$A$113:$I$133,3,0))</f>
        <v>1</v>
      </c>
      <c r="CG8" s="15">
        <f>IF(ISNA(VLOOKUP(A8,'Données projet'!$A$113:$I$133,4,0)),0,VLOOKUP(A8,'Données projet'!$A$113:$I$133,4,0))</f>
        <v>6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9.6666666666666661</v>
      </c>
      <c r="CT8" s="12">
        <f>IF('Données projet'!$A$140&gt;35,CT7+CS8-DB7,IF(A8&lt;'Données projet'!$A$140,$CQ$205^A8,IF(A8='Données projet'!$A$140,'Données projet'!$B$140,CT7+CS8-DB7)))</f>
        <v>7.2475434692871694</v>
      </c>
      <c r="CU8" s="17">
        <f>CT8*VLOOKUP('Données projet'!$B$13,Paramètres!$A$1:$I$89,3,0)*VLOOKUP('Données projet'!$B$13,Paramètres!$A$1:$I$89,5,0)</f>
        <v>3.9571587342307946</v>
      </c>
      <c r="CV8" s="13">
        <f t="shared" si="41"/>
        <v>1.5538178288453746</v>
      </c>
      <c r="CW8" s="20">
        <f t="shared" si="13"/>
        <v>9.5982841806909942</v>
      </c>
      <c r="CX8" s="59">
        <f t="shared" si="14"/>
        <v>272.37606195846877</v>
      </c>
      <c r="CY8" s="59">
        <f ca="1">AVERAGE(OFFSET($CX$3,0,0,'Données projet'!$E$13+1,1))-AVERAGE(OFFSET($H$3,0,0,'Données projet'!$E$13+1,1))</f>
        <v>207.02306964567629</v>
      </c>
      <c r="CZ8" s="59">
        <f t="shared" si="42"/>
        <v>342.06887933351783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7">
        <f t="shared" si="1"/>
        <v>256.66666666666669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</v>
      </c>
      <c r="N9" s="13">
        <f>IF('Données projet'!$A$36&gt;35,N8+M9-V8,IF(A9&lt;'Données projet'!$A$36,$K$205^A9,IF(A9='Données projet'!$A$36,'Données projet'!$B$36,N8+M9-V8)))</f>
        <v>4.566643676946887</v>
      </c>
      <c r="O9" s="13">
        <f>N9*VLOOKUP('Données projet'!$B$9,Paramètres!$A$1:$I$89,3,0)*VLOOKUP('Données projet'!$B$9,Paramètres!$A$1:$I$89,5,0)</f>
        <v>2.1371892408111433</v>
      </c>
      <c r="P9" s="13">
        <f t="shared" si="33"/>
        <v>0.9015738804633705</v>
      </c>
      <c r="Q9" s="20">
        <f t="shared" si="2"/>
        <v>5.292512436219778</v>
      </c>
      <c r="R9" s="59">
        <f t="shared" si="0"/>
        <v>269.29251243621979</v>
      </c>
      <c r="S9" s="59">
        <f ca="1">AVERAGE(OFFSET($R$3,0,0,'Données projet'!$E$9+1,1))-AVERAGE(OFFSET($H$3,0,0,'Données projet'!$E$9+1,1))</f>
        <v>319.22903094674564</v>
      </c>
      <c r="T9" s="59">
        <f t="shared" si="34"/>
        <v>254.58690973142848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5.8</v>
      </c>
      <c r="AI9" s="13">
        <f>IF('Données projet'!$A$62&gt;35,AI8+AH9-AQ8,IF(A9&lt;'Données projet'!$A$62,$AF$205^A9,IF(A9='Données projet'!$A$62,'Données projet'!$B$62,AI8+AH9-AQ8)))</f>
        <v>5.9677098701087665</v>
      </c>
      <c r="AJ9" s="13">
        <f>AI9*VLOOKUP('Données projet'!$B$10,Paramètres!$A$1:$I$89,3,0)*VLOOKUP('Données projet'!$B$10,Paramètres!$A$1:$I$89,5,0)</f>
        <v>5.2133913425270189</v>
      </c>
      <c r="AK9" s="13">
        <f t="shared" si="35"/>
        <v>1.9824378698032765</v>
      </c>
      <c r="AL9" s="20">
        <f t="shared" si="4"/>
        <v>12.53273587814193</v>
      </c>
      <c r="AM9" s="59">
        <f t="shared" si="5"/>
        <v>276.53273587814192</v>
      </c>
      <c r="AN9" s="59">
        <f ca="1">AVERAGE(OFFSET($AM$3,0,0,'Données projet'!$E$10+1,1))-AVERAGE(OFFSET($H$3,0,0,'Données projet'!$E$10+1,1))</f>
        <v>321.23599968992932</v>
      </c>
      <c r="AO9" s="59">
        <f t="shared" si="36"/>
        <v>388.05195847800502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</v>
      </c>
      <c r="BD9" s="12">
        <f>IF('Données projet'!$A$88&gt;35,BD8+BC9-BL8,IF(A9&lt;'Données projet'!$A$88,$BA$205^A9,IF(A9='Données projet'!$A$88,'Données projet'!$B$88,BD8+BC9-BL8)))</f>
        <v>6</v>
      </c>
      <c r="BE9" s="13">
        <f>BD9*VLOOKUP('Données projet'!$B$11,Paramètres!$A$1:$I$89,3,0)*VLOOKUP('Données projet'!$B$11,Paramètres!$A$1:$I$89,5,0)</f>
        <v>3.5880000000000005</v>
      </c>
      <c r="BF9" s="13">
        <f t="shared" si="37"/>
        <v>1.4250157876217819</v>
      </c>
      <c r="BG9" s="20">
        <f t="shared" si="7"/>
        <v>8.7310024967746021</v>
      </c>
      <c r="BH9" s="59">
        <f t="shared" si="8"/>
        <v>272.73100249677458</v>
      </c>
      <c r="BI9" s="59">
        <f ca="1">AVERAGE(OFFSET($BH$3,0,0,'Données projet'!$E$11+1,1))-AVERAGE(OFFSET($H$3,0,0,'Données projet'!$E$11+1,1))</f>
        <v>258.31845364515124</v>
      </c>
      <c r="BJ9" s="59">
        <f t="shared" si="38"/>
        <v>280.26155987300996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14.2</v>
      </c>
      <c r="BY9" s="12">
        <f>IF('Données projet'!$A$114&gt;35,BY8+BX9-CG8,IF(A9&lt;'Données projet'!$A$114,$BV$205^A9,IF(A9='Données projet'!$A$114,'Données projet'!$B$114,BY8+BX9-CG8)))</f>
        <v>42.2</v>
      </c>
      <c r="BZ9" s="13">
        <f>BY9*VLOOKUP('Données projet'!$B$12,Paramètres!$A$1:$I$89,3,0)*VLOOKUP('Données projet'!$B$12,Paramètres!$A$1:$I$89,5,0)</f>
        <v>38.182560000000002</v>
      </c>
      <c r="CA9" s="13">
        <f t="shared" si="39"/>
        <v>11.515638334288104</v>
      </c>
      <c r="CB9" s="20">
        <f t="shared" si="10"/>
        <v>86.557695432218452</v>
      </c>
      <c r="CC9" s="59">
        <f t="shared" si="11"/>
        <v>350.55769543221845</v>
      </c>
      <c r="CD9" s="59">
        <f ca="1">AVERAGE(OFFSET($CC$3,0,0,'Données projet'!$E$12+1,1))-AVERAGE(OFFSET($H$3,0,0,'Données projet'!$E$12+1,1))</f>
        <v>366.86025470473652</v>
      </c>
      <c r="CE9" s="59">
        <f t="shared" si="40"/>
        <v>513.80016421153414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9.6666666666666661</v>
      </c>
      <c r="CT9" s="12">
        <f>IF('Données projet'!$A$140&gt;35,CT8+CS9-DB8,IF(A9&lt;'Données projet'!$A$140,$CQ$205^A9,IF(A9='Données projet'!$A$140,'Données projet'!$B$140,CT8+CS9-DB8)))</f>
        <v>10.770329614269009</v>
      </c>
      <c r="CU9" s="17">
        <f>CT9*VLOOKUP('Données projet'!$B$13,Paramètres!$A$1:$I$89,3,0)*VLOOKUP('Données projet'!$B$13,Paramètres!$A$1:$I$89,5,0)</f>
        <v>5.8805999693908788</v>
      </c>
      <c r="CV9" s="13">
        <f t="shared" si="41"/>
        <v>2.2050224910961043</v>
      </c>
      <c r="CW9" s="20">
        <f t="shared" si="13"/>
        <v>14.082459118681493</v>
      </c>
      <c r="CX9" s="59">
        <f t="shared" si="14"/>
        <v>278.08245911868147</v>
      </c>
      <c r="CY9" s="59">
        <f ca="1">AVERAGE(OFFSET($CX$3,0,0,'Données projet'!$E$13+1,1))-AVERAGE(OFFSET($H$3,0,0,'Données projet'!$E$13+1,1))</f>
        <v>207.02306964567629</v>
      </c>
      <c r="CZ9" s="59">
        <f t="shared" si="42"/>
        <v>342.06887933351783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7">
        <f t="shared" si="1"/>
        <v>256.66666666666669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</v>
      </c>
      <c r="N10" s="13">
        <f>IF('Données projet'!$A$36&gt;35,N9+M10-V9,IF(A10&lt;'Données projet'!$A$36,$K$205^A10,IF(A10='Données projet'!$A$36,'Données projet'!$B$36,N9+M10-V9)))</f>
        <v>5.8820671812210037</v>
      </c>
      <c r="O10" s="13">
        <f>N10*VLOOKUP('Données projet'!$B$9,Paramètres!$A$1:$I$89,3,0)*VLOOKUP('Données projet'!$B$9,Paramètres!$A$1:$I$89,5,0)</f>
        <v>2.7528074408114294</v>
      </c>
      <c r="P10" s="13">
        <f t="shared" si="33"/>
        <v>1.1275556652411438</v>
      </c>
      <c r="Q10" s="20">
        <f t="shared" si="2"/>
        <v>6.7582990763748976</v>
      </c>
      <c r="R10" s="59">
        <f t="shared" si="0"/>
        <v>271.98052129859713</v>
      </c>
      <c r="S10" s="59">
        <f ca="1">AVERAGE(OFFSET($R$3,0,0,'Données projet'!$E$9+1,1))-AVERAGE(OFFSET($H$3,0,0,'Données projet'!$E$9+1,1))</f>
        <v>319.22903094674564</v>
      </c>
      <c r="T10" s="59">
        <f t="shared" si="34"/>
        <v>254.58690973142848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5.8</v>
      </c>
      <c r="AI10" s="13">
        <f>IF('Données projet'!$A$62&gt;35,AI9+AH10-AQ9,IF(A10&lt;'Données projet'!$A$62,$AF$205^A10,IF(A10='Données projet'!$A$62,'Données projet'!$B$62,AI9+AH10-AQ9)))</f>
        <v>8.0372778932539148</v>
      </c>
      <c r="AJ10" s="13">
        <f>AI10*VLOOKUP('Données projet'!$B$10,Paramètres!$A$1:$I$89,3,0)*VLOOKUP('Données projet'!$B$10,Paramètres!$A$1:$I$89,5,0)</f>
        <v>7.0213659675466209</v>
      </c>
      <c r="AK10" s="13">
        <f t="shared" si="35"/>
        <v>2.5789932139603198</v>
      </c>
      <c r="AL10" s="20">
        <f t="shared" si="4"/>
        <v>16.72062557445792</v>
      </c>
      <c r="AM10" s="59">
        <f t="shared" si="5"/>
        <v>281.94284779668016</v>
      </c>
      <c r="AN10" s="59">
        <f ca="1">AVERAGE(OFFSET($AM$3,0,0,'Données projet'!$E$10+1,1))-AVERAGE(OFFSET($H$3,0,0,'Données projet'!$E$10+1,1))</f>
        <v>321.23599968992932</v>
      </c>
      <c r="AO10" s="59">
        <f t="shared" si="36"/>
        <v>388.05195847800502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</v>
      </c>
      <c r="BD10" s="12">
        <f>IF('Données projet'!$A$88&gt;35,BD9+BC10-BL9,IF(A10&lt;'Données projet'!$A$88,$BA$205^A10,IF(A10='Données projet'!$A$88,'Données projet'!$B$88,BD9+BC10-BL9)))</f>
        <v>8.0880369275836674</v>
      </c>
      <c r="BE10" s="13">
        <f>BD10*VLOOKUP('Données projet'!$B$11,Paramètres!$A$1:$I$89,3,0)*VLOOKUP('Données projet'!$B$11,Paramètres!$A$1:$I$89,5,0)</f>
        <v>4.836646082695033</v>
      </c>
      <c r="BF10" s="13">
        <f t="shared" si="37"/>
        <v>1.8553054344470195</v>
      </c>
      <c r="BG10" s="20">
        <f t="shared" si="7"/>
        <v>11.65514889235574</v>
      </c>
      <c r="BH10" s="59">
        <f t="shared" si="8"/>
        <v>276.87737111457795</v>
      </c>
      <c r="BI10" s="59">
        <f ca="1">AVERAGE(OFFSET($BH$3,0,0,'Données projet'!$E$11+1,1))-AVERAGE(OFFSET($H$3,0,0,'Données projet'!$E$11+1,1))</f>
        <v>258.31845364515124</v>
      </c>
      <c r="BJ10" s="59">
        <f t="shared" si="38"/>
        <v>280.26155987300996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14.2</v>
      </c>
      <c r="BY10" s="12">
        <f>IF('Données projet'!$A$114&gt;35,BY9+BX10-CG9,IF(A10&lt;'Données projet'!$A$114,$BV$205^A10,IF(A10='Données projet'!$A$114,'Données projet'!$B$114,BY9+BX10-CG9)))</f>
        <v>56.400000000000006</v>
      </c>
      <c r="BZ10" s="13">
        <f>BY10*VLOOKUP('Données projet'!$B$12,Paramètres!$A$1:$I$89,3,0)*VLOOKUP('Données projet'!$B$12,Paramètres!$A$1:$I$89,5,0)</f>
        <v>51.030720000000009</v>
      </c>
      <c r="CA10" s="13">
        <f t="shared" si="39"/>
        <v>14.879630660597618</v>
      </c>
      <c r="CB10" s="20">
        <f t="shared" si="10"/>
        <v>114.79386073387418</v>
      </c>
      <c r="CC10" s="59">
        <f t="shared" si="11"/>
        <v>380.0160829560964</v>
      </c>
      <c r="CD10" s="59">
        <f ca="1">AVERAGE(OFFSET($CC$3,0,0,'Données projet'!$E$12+1,1))-AVERAGE(OFFSET($H$3,0,0,'Données projet'!$E$12+1,1))</f>
        <v>366.86025470473652</v>
      </c>
      <c r="CE10" s="59">
        <f t="shared" si="40"/>
        <v>513.80016421153414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9.6666666666666661</v>
      </c>
      <c r="CT10" s="12">
        <f>IF('Données projet'!$A$140&gt;35,CT9+CS10-DB9,IF(A10&lt;'Données projet'!$A$140,$CQ$205^A10,IF(A10='Données projet'!$A$140,'Données projet'!$B$140,CT9+CS10-DB9)))</f>
        <v>16.005423146694032</v>
      </c>
      <c r="CU10" s="17">
        <f>CT10*VLOOKUP('Données projet'!$B$13,Paramètres!$A$1:$I$89,3,0)*VLOOKUP('Données projet'!$B$13,Paramètres!$A$1:$I$89,5,0)</f>
        <v>8.7389610380949421</v>
      </c>
      <c r="CV10" s="13">
        <f t="shared" si="41"/>
        <v>3.1291468639233355</v>
      </c>
      <c r="CW10" s="20">
        <f t="shared" si="13"/>
        <v>20.6702879293485</v>
      </c>
      <c r="CX10" s="59">
        <f t="shared" si="14"/>
        <v>285.89251015157072</v>
      </c>
      <c r="CY10" s="59">
        <f ca="1">AVERAGE(OFFSET($CX$3,0,0,'Données projet'!$E$13+1,1))-AVERAGE(OFFSET($H$3,0,0,'Données projet'!$E$13+1,1))</f>
        <v>207.02306964567629</v>
      </c>
      <c r="CZ10" s="59">
        <f t="shared" si="42"/>
        <v>342.06887933351783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7">
        <f t="shared" si="1"/>
        <v>256.66666666666669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</v>
      </c>
      <c r="N11" s="13">
        <f>IF('Données projet'!$A$36&gt;35,N10+M11-V10,IF(A11&lt;'Données projet'!$A$36,$K$205^A11,IF(A11='Données projet'!$A$36,'Données projet'!$B$36,N10+M11-V10)))</f>
        <v>7.5763989424129567</v>
      </c>
      <c r="O11" s="13">
        <f>N11*VLOOKUP('Données projet'!$B$9,Paramètres!$A$1:$I$89,3,0)*VLOOKUP('Données projet'!$B$9,Paramètres!$A$1:$I$89,5,0)</f>
        <v>3.5457547050492639</v>
      </c>
      <c r="P11" s="13">
        <f t="shared" si="33"/>
        <v>1.4101803587787649</v>
      </c>
      <c r="Q11" s="20">
        <f t="shared" si="2"/>
        <v>8.631586902833817</v>
      </c>
      <c r="R11" s="59">
        <f t="shared" si="0"/>
        <v>275.07603134727827</v>
      </c>
      <c r="S11" s="59">
        <f ca="1">AVERAGE(OFFSET($R$3,0,0,'Données projet'!$E$9+1,1))-AVERAGE(OFFSET($H$3,0,0,'Données projet'!$E$9+1,1))</f>
        <v>319.22903094674564</v>
      </c>
      <c r="T11" s="59">
        <f t="shared" si="34"/>
        <v>254.58690973142848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5.8</v>
      </c>
      <c r="AI11" s="13">
        <f>IF('Données projet'!$A$62&gt;35,AI10+AH11-AQ10,IF(A11&lt;'Données projet'!$A$62,$AF$205^A11,IF(A11='Données projet'!$A$62,'Données projet'!$B$62,AI10+AH11-AQ10)))</f>
        <v>10.824560399115168</v>
      </c>
      <c r="AJ11" s="13">
        <f>AI11*VLOOKUP('Données projet'!$B$10,Paramètres!$A$1:$I$89,3,0)*VLOOKUP('Données projet'!$B$10,Paramètres!$A$1:$I$89,5,0)</f>
        <v>9.4563359646670122</v>
      </c>
      <c r="AK11" s="13">
        <f t="shared" si="35"/>
        <v>3.3550640345230081</v>
      </c>
      <c r="AL11" s="20">
        <f t="shared" si="4"/>
        <v>22.313188331922618</v>
      </c>
      <c r="AM11" s="59">
        <f t="shared" si="5"/>
        <v>288.75763277636707</v>
      </c>
      <c r="AN11" s="59">
        <f ca="1">AVERAGE(OFFSET($AM$3,0,0,'Données projet'!$E$10+1,1))-AVERAGE(OFFSET($H$3,0,0,'Données projet'!$E$10+1,1))</f>
        <v>321.23599968992932</v>
      </c>
      <c r="AO11" s="59">
        <f t="shared" si="36"/>
        <v>388.05195847800502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</v>
      </c>
      <c r="BD11" s="12">
        <f>IF('Données projet'!$A$88&gt;35,BD10+BC11-BL10,IF(A11&lt;'Données projet'!$A$88,$BA$205^A11,IF(A11='Données projet'!$A$88,'Données projet'!$B$88,BD10+BC11-BL10)))</f>
        <v>10.902723556992838</v>
      </c>
      <c r="BE11" s="13">
        <f>BD11*VLOOKUP('Données projet'!$B$11,Paramètres!$A$1:$I$89,3,0)*VLOOKUP('Données projet'!$B$11,Paramètres!$A$1:$I$89,5,0)</f>
        <v>6.5198286870817181</v>
      </c>
      <c r="BF11" s="13">
        <f t="shared" si="37"/>
        <v>2.4155228910363733</v>
      </c>
      <c r="BG11" s="20">
        <f t="shared" si="7"/>
        <v>15.562403998555673</v>
      </c>
      <c r="BH11" s="59">
        <f t="shared" si="8"/>
        <v>282.00684844300014</v>
      </c>
      <c r="BI11" s="59">
        <f ca="1">AVERAGE(OFFSET($BH$3,0,0,'Données projet'!$E$11+1,1))-AVERAGE(OFFSET($H$3,0,0,'Données projet'!$E$11+1,1))</f>
        <v>258.31845364515124</v>
      </c>
      <c r="BJ11" s="59">
        <f t="shared" si="38"/>
        <v>280.26155987300996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14.2</v>
      </c>
      <c r="BY11" s="12">
        <f>IF('Données projet'!$A$114&gt;35,BY10+BX11-CG10,IF(A11&lt;'Données projet'!$A$114,$BV$205^A11,IF(A11='Données projet'!$A$114,'Données projet'!$B$114,BY10+BX11-CG10)))</f>
        <v>70.600000000000009</v>
      </c>
      <c r="BZ11" s="13">
        <f>BY11*VLOOKUP('Données projet'!$B$12,Paramètres!$A$1:$I$89,3,0)*VLOOKUP('Données projet'!$B$12,Paramètres!$A$1:$I$89,5,0)</f>
        <v>63.878880000000002</v>
      </c>
      <c r="CA11" s="13">
        <f t="shared" si="39"/>
        <v>18.145367520913332</v>
      </c>
      <c r="CB11" s="20">
        <f t="shared" si="10"/>
        <v>142.85889776559074</v>
      </c>
      <c r="CC11" s="59">
        <f t="shared" si="11"/>
        <v>409.30334221003523</v>
      </c>
      <c r="CD11" s="59">
        <f ca="1">AVERAGE(OFFSET($CC$3,0,0,'Données projet'!$E$12+1,1))-AVERAGE(OFFSET($H$3,0,0,'Données projet'!$E$12+1,1))</f>
        <v>366.86025470473652</v>
      </c>
      <c r="CE11" s="59">
        <f t="shared" si="40"/>
        <v>513.80016421153414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9.6666666666666661</v>
      </c>
      <c r="CT11" s="12">
        <f>IF('Données projet'!$A$140&gt;35,CT10+CS11-DB10,IF(A11&lt;'Données projet'!$A$140,$CQ$205^A11,IF(A11='Données projet'!$A$140,'Données projet'!$B$140,CT10+CS11-DB10)))</f>
        <v>23.785118866310182</v>
      </c>
      <c r="CU11" s="17">
        <f>CT11*VLOOKUP('Données projet'!$B$13,Paramètres!$A$1:$I$89,3,0)*VLOOKUP('Données projet'!$B$13,Paramètres!$A$1:$I$89,5,0)</f>
        <v>12.98667490100536</v>
      </c>
      <c r="CV11" s="13">
        <f t="shared" si="41"/>
        <v>4.4405715295601897</v>
      </c>
      <c r="CW11" s="20">
        <f t="shared" si="13"/>
        <v>30.352454199901668</v>
      </c>
      <c r="CX11" s="59">
        <f t="shared" si="14"/>
        <v>296.79689864434613</v>
      </c>
      <c r="CY11" s="59">
        <f ca="1">AVERAGE(OFFSET($CX$3,0,0,'Données projet'!$E$13+1,1))-AVERAGE(OFFSET($H$3,0,0,'Données projet'!$E$13+1,1))</f>
        <v>207.02306964567629</v>
      </c>
      <c r="CZ11" s="59">
        <f t="shared" si="42"/>
        <v>342.06887933351783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7">
        <f t="shared" si="1"/>
        <v>256.66666666666669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</v>
      </c>
      <c r="N12" s="13">
        <f>IF('Données projet'!$A$36&gt;35,N11+M12-V11,IF(A12&lt;'Données projet'!$A$36,$K$205^A12,IF(A12='Données projet'!$A$36,'Données projet'!$B$36,N11+M12-V11)))</f>
        <v>9.7587836327093171</v>
      </c>
      <c r="O12" s="13">
        <f>N12*VLOOKUP('Données projet'!$B$9,Paramètres!$A$1:$I$89,3,0)*VLOOKUP('Données projet'!$B$9,Paramètres!$A$1:$I$89,5,0)</f>
        <v>4.5671107401079603</v>
      </c>
      <c r="P12" s="13">
        <f t="shared" si="33"/>
        <v>1.763645650133036</v>
      </c>
      <c r="Q12" s="20">
        <f t="shared" si="2"/>
        <v>11.026067379669733</v>
      </c>
      <c r="R12" s="59">
        <f t="shared" si="0"/>
        <v>278.6927340463364</v>
      </c>
      <c r="S12" s="59">
        <f ca="1">AVERAGE(OFFSET($R$3,0,0,'Données projet'!$E$9+1,1))-AVERAGE(OFFSET($H$3,0,0,'Données projet'!$E$9+1,1))</f>
        <v>319.22903094674564</v>
      </c>
      <c r="T12" s="59">
        <f t="shared" si="34"/>
        <v>254.58690973142848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5.8</v>
      </c>
      <c r="AI12" s="13">
        <f>IF('Données projet'!$A$62&gt;35,AI11+AH12-AQ11,IF(A12&lt;'Données projet'!$A$62,$AF$205^A12,IF(A12='Données projet'!$A$62,'Données projet'!$B$62,AI11+AH12-AQ11)))</f>
        <v>14.578456710130657</v>
      </c>
      <c r="AJ12" s="13">
        <f>AI12*VLOOKUP('Données projet'!$B$10,Paramètres!$A$1:$I$89,3,0)*VLOOKUP('Données projet'!$B$10,Paramètres!$A$1:$I$89,5,0)</f>
        <v>12.735739781970144</v>
      </c>
      <c r="AK12" s="13">
        <f t="shared" si="35"/>
        <v>4.364670141362768</v>
      </c>
      <c r="AL12" s="20">
        <f t="shared" si="4"/>
        <v>29.783213949804821</v>
      </c>
      <c r="AM12" s="59">
        <f t="shared" si="5"/>
        <v>297.44988061647149</v>
      </c>
      <c r="AN12" s="59">
        <f ca="1">AVERAGE(OFFSET($AM$3,0,0,'Données projet'!$E$10+1,1))-AVERAGE(OFFSET($H$3,0,0,'Données projet'!$E$10+1,1))</f>
        <v>321.23599968992932</v>
      </c>
      <c r="AO12" s="59">
        <f t="shared" si="36"/>
        <v>388.05195847800502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</v>
      </c>
      <c r="BD12" s="12">
        <f>IF('Données projet'!$A$88&gt;35,BD11+BC12-BL11,IF(A12&lt;'Données projet'!$A$88,$BA$205^A12,IF(A12='Données projet'!$A$88,'Données projet'!$B$88,BD11+BC12-BL11)))</f>
        <v>14.696938456699069</v>
      </c>
      <c r="BE12" s="13">
        <f>BD12*VLOOKUP('Données projet'!$B$11,Paramètres!$A$1:$I$89,3,0)*VLOOKUP('Données projet'!$B$11,Paramètres!$A$1:$I$89,5,0)</f>
        <v>8.7887691971060438</v>
      </c>
      <c r="BF12" s="13">
        <f t="shared" si="37"/>
        <v>3.1449004184369191</v>
      </c>
      <c r="BG12" s="20">
        <f t="shared" si="7"/>
        <v>20.784474580403991</v>
      </c>
      <c r="BH12" s="59">
        <f t="shared" si="8"/>
        <v>288.45114124707067</v>
      </c>
      <c r="BI12" s="59">
        <f ca="1">AVERAGE(OFFSET($BH$3,0,0,'Données projet'!$E$11+1,1))-AVERAGE(OFFSET($H$3,0,0,'Données projet'!$E$11+1,1))</f>
        <v>258.31845364515124</v>
      </c>
      <c r="BJ12" s="59">
        <f t="shared" si="38"/>
        <v>280.26155987300996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14.2</v>
      </c>
      <c r="BY12" s="12">
        <f>IF('Données projet'!$A$114&gt;35,BY11+BX12-CG11,IF(A12&lt;'Données projet'!$A$114,$BV$205^A12,IF(A12='Données projet'!$A$114,'Données projet'!$B$114,BY11+BX12-CG11)))</f>
        <v>84.800000000000011</v>
      </c>
      <c r="BZ12" s="13">
        <f>BY12*VLOOKUP('Données projet'!$B$12,Paramètres!$A$1:$I$89,3,0)*VLOOKUP('Données projet'!$B$12,Paramètres!$A$1:$I$89,5,0)</f>
        <v>76.727040000000017</v>
      </c>
      <c r="CA12" s="13">
        <f t="shared" si="39"/>
        <v>21.334993267156719</v>
      </c>
      <c r="CB12" s="20">
        <f t="shared" si="10"/>
        <v>170.79137460696464</v>
      </c>
      <c r="CC12" s="59">
        <f t="shared" si="11"/>
        <v>438.45804127363135</v>
      </c>
      <c r="CD12" s="59">
        <f ca="1">AVERAGE(OFFSET($CC$3,0,0,'Données projet'!$E$12+1,1))-AVERAGE(OFFSET($H$3,0,0,'Données projet'!$E$12+1,1))</f>
        <v>366.86025470473652</v>
      </c>
      <c r="CE12" s="59">
        <f t="shared" si="40"/>
        <v>513.80016421153414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9.6666666666666661</v>
      </c>
      <c r="CT12" s="12">
        <f>IF('Données projet'!$A$140&gt;35,CT11+CS12-DB11,IF(A12&lt;'Données projet'!$A$140,$CQ$205^A12,IF(A12='Données projet'!$A$140,'Données projet'!$B$140,CT11+CS12-DB11)))</f>
        <v>35.346261970047209</v>
      </c>
      <c r="CU12" s="17">
        <f>CT12*VLOOKUP('Données projet'!$B$13,Paramètres!$A$1:$I$89,3,0)*VLOOKUP('Données projet'!$B$13,Paramètres!$A$1:$I$89,5,0)</f>
        <v>19.299059035645776</v>
      </c>
      <c r="CV12" s="13">
        <f t="shared" si="41"/>
        <v>6.301613943558138</v>
      </c>
      <c r="CW12" s="20">
        <f t="shared" si="13"/>
        <v>44.587838772113486</v>
      </c>
      <c r="CX12" s="59">
        <f t="shared" si="14"/>
        <v>312.25450543878014</v>
      </c>
      <c r="CY12" s="59">
        <f ca="1">AVERAGE(OFFSET($CX$3,0,0,'Données projet'!$E$13+1,1))-AVERAGE(OFFSET($H$3,0,0,'Données projet'!$E$13+1,1))</f>
        <v>207.02306964567629</v>
      </c>
      <c r="CZ12" s="59">
        <f t="shared" si="42"/>
        <v>342.06887933351783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7">
        <f t="shared" si="1"/>
        <v>256.66666666666669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7.9</v>
      </c>
      <c r="N13" s="13">
        <f>IF('Données projet'!$A$36&gt;35,N12+M13-V12,IF(A13&lt;'Données projet'!$A$36,$K$205^A13,IF(A13='Données projet'!$A$36,'Données projet'!$B$36,N12+M13-V12)))</f>
        <v>12.569805089976542</v>
      </c>
      <c r="O13" s="13">
        <f>N13*VLOOKUP('Données projet'!$B$9,Paramètres!$A$1:$I$89,3,0)*VLOOKUP('Données projet'!$B$9,Paramètres!$A$1:$I$89,5,0)</f>
        <v>5.8826687821090227</v>
      </c>
      <c r="P13" s="13">
        <f t="shared" si="33"/>
        <v>2.2057079152108381</v>
      </c>
      <c r="Q13" s="20">
        <f t="shared" si="2"/>
        <v>14.087256081165423</v>
      </c>
      <c r="R13" s="59">
        <f t="shared" si="0"/>
        <v>282.97614497005429</v>
      </c>
      <c r="S13" s="59">
        <f ca="1">AVERAGE(OFFSET($R$3,0,0,'Données projet'!$E$9+1,1))-AVERAGE(OFFSET($H$3,0,0,'Données projet'!$E$9+1,1))</f>
        <v>319.22903094674564</v>
      </c>
      <c r="T13" s="59">
        <f t="shared" si="34"/>
        <v>254.58690973142848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5.8</v>
      </c>
      <c r="AI13" s="13">
        <f>IF('Données projet'!$A$62&gt;35,AI12+AH13-AQ12,IF(A13&lt;'Données projet'!$A$62,$AF$205^A13,IF(A13='Données projet'!$A$62,'Données projet'!$B$62,AI12+AH13-AQ12)))</f>
        <v>19.634183025716826</v>
      </c>
      <c r="AJ13" s="13">
        <f>AI13*VLOOKUP('Données projet'!$B$10,Paramètres!$A$1:$I$89,3,0)*VLOOKUP('Données projet'!$B$10,Paramètres!$A$1:$I$89,5,0)</f>
        <v>17.152422291266223</v>
      </c>
      <c r="AK13" s="13">
        <f t="shared" si="35"/>
        <v>5.678086989362658</v>
      </c>
      <c r="AL13" s="20">
        <f t="shared" si="4"/>
        <v>39.763136997095295</v>
      </c>
      <c r="AM13" s="59">
        <f t="shared" si="5"/>
        <v>308.65202588598413</v>
      </c>
      <c r="AN13" s="59">
        <f ca="1">AVERAGE(OFFSET($AM$3,0,0,'Données projet'!$E$10+1,1))-AVERAGE(OFFSET($H$3,0,0,'Données projet'!$E$10+1,1))</f>
        <v>321.23599968992932</v>
      </c>
      <c r="AO13" s="59">
        <f t="shared" si="36"/>
        <v>388.05195847800502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</v>
      </c>
      <c r="BD13" s="12">
        <f>IF('Données projet'!$A$88&gt;35,BD12+BC13-BL12,IF(A13&lt;'Données projet'!$A$88,$BA$205^A13,IF(A13='Données projet'!$A$88,'Données projet'!$B$88,BD12+BC13-BL12)))</f>
        <v>19.81156349336776</v>
      </c>
      <c r="BE13" s="13">
        <f>BD13*VLOOKUP('Données projet'!$B$11,Paramètres!$A$1:$I$89,3,0)*VLOOKUP('Données projet'!$B$11,Paramètres!$A$1:$I$89,5,0)</f>
        <v>11.847314969033921</v>
      </c>
      <c r="BF13" s="13">
        <f t="shared" si="37"/>
        <v>4.094516627677768</v>
      </c>
      <c r="BG13" s="20">
        <f t="shared" si="7"/>
        <v>27.76535669760619</v>
      </c>
      <c r="BH13" s="59">
        <f t="shared" si="8"/>
        <v>296.65424558649505</v>
      </c>
      <c r="BI13" s="59">
        <f ca="1">AVERAGE(OFFSET($BH$3,0,0,'Données projet'!$E$11+1,1))-AVERAGE(OFFSET($H$3,0,0,'Données projet'!$E$11+1,1))</f>
        <v>258.31845364515124</v>
      </c>
      <c r="BJ13" s="59">
        <f t="shared" si="38"/>
        <v>280.26155987300996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99</v>
      </c>
      <c r="BW13" s="12">
        <f>VLOOKUP(A13,'Données projet'!$A$113:$I$133,9,0)</f>
        <v>14.2</v>
      </c>
      <c r="BX13" s="12">
        <f t="array" ref="BX13">INDEX(BW:BW,MIN(IF(ISNUMBER(BW13:BW209),ROW(BW13:BW209),"")))</f>
        <v>14.2</v>
      </c>
      <c r="BY13" s="12">
        <f>IF('Données projet'!$A$114&gt;35,BY12+BX13-CG12,IF(A13&lt;'Données projet'!$A$114,$BV$205^A13,IF(A13='Données projet'!$A$114,'Données projet'!$B$114,BY12+BX13-CG12)))</f>
        <v>99.000000000000014</v>
      </c>
      <c r="BZ13" s="13">
        <f>BY13*VLOOKUP('Données projet'!$B$12,Paramètres!$A$1:$I$89,3,0)*VLOOKUP('Données projet'!$B$12,Paramètres!$A$1:$I$89,5,0)</f>
        <v>89.575200000000009</v>
      </c>
      <c r="CA13" s="13">
        <f t="shared" si="39"/>
        <v>24.462745269668691</v>
      </c>
      <c r="CB13" s="20">
        <f t="shared" si="10"/>
        <v>198.61608801133966</v>
      </c>
      <c r="CC13" s="59">
        <f t="shared" si="11"/>
        <v>467.50497690022848</v>
      </c>
      <c r="CD13" s="59">
        <f ca="1">AVERAGE(OFFSET($CC$3,0,0,'Données projet'!$E$12+1,1))-AVERAGE(OFFSET($H$3,0,0,'Données projet'!$E$12+1,1))</f>
        <v>366.86025470473652</v>
      </c>
      <c r="CE13" s="59">
        <f t="shared" si="40"/>
        <v>513.80016421153414</v>
      </c>
      <c r="CF13" s="15">
        <f>IF(ISNA(VLOOKUP(A13,'Données projet'!$A$113:$I$133,3,0)),0,VLOOKUP(A13,'Données projet'!$A$113:$I$133,3,0))</f>
        <v>2</v>
      </c>
      <c r="CG13" s="15">
        <f>IF(ISNA(VLOOKUP(A13,'Données projet'!$A$113:$I$133,4,0)),0,VLOOKUP(A13,'Données projet'!$A$113:$I$133,4,0))</f>
        <v>28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0.2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4.7807376530757493</v>
      </c>
      <c r="CN13" s="22">
        <f t="shared" si="12"/>
        <v>4.7807376530757493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9.6666666666666661</v>
      </c>
      <c r="CT13" s="12">
        <f>IF('Données projet'!$A$140&gt;35,CT12+CS13-DB12,IF(A13&lt;'Données projet'!$A$140,$CQ$205^A13,IF(A13='Données projet'!$A$140,'Données projet'!$B$140,CT12+CS13-DB12)))</f>
        <v>52.526886339207103</v>
      </c>
      <c r="CU13" s="17">
        <f>CT13*VLOOKUP('Données projet'!$B$13,Paramètres!$A$1:$I$89,3,0)*VLOOKUP('Données projet'!$B$13,Paramètres!$A$1:$I$89,5,0)</f>
        <v>28.679679941207077</v>
      </c>
      <c r="CV13" s="13">
        <f t="shared" si="41"/>
        <v>8.9426187663684367</v>
      </c>
      <c r="CW13" s="20">
        <f t="shared" si="13"/>
        <v>65.525503582360685</v>
      </c>
      <c r="CX13" s="59">
        <f t="shared" si="14"/>
        <v>334.41439247124953</v>
      </c>
      <c r="CY13" s="59">
        <f ca="1">AVERAGE(OFFSET($CX$3,0,0,'Données projet'!$E$13+1,1))-AVERAGE(OFFSET($H$3,0,0,'Données projet'!$E$13+1,1))</f>
        <v>207.02306964567629</v>
      </c>
      <c r="CZ13" s="59">
        <f t="shared" si="42"/>
        <v>342.06887933351783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7">
        <f t="shared" si="1"/>
        <v>256.66666666666669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7.9</v>
      </c>
      <c r="N14" s="13">
        <f>IF('Données projet'!$A$36&gt;35,N13+M14-V13,IF(A14&lt;'Données projet'!$A$36,$K$205^A14,IF(A14='Données projet'!$A$36,'Données projet'!$B$36,N13+M14-V13)))</f>
        <v>16.190542381779895</v>
      </c>
      <c r="O14" s="13">
        <f>N14*VLOOKUP('Données projet'!$B$9,Paramètres!$A$1:$I$89,3,0)*VLOOKUP('Données projet'!$B$9,Paramètres!$A$1:$I$89,5,0)</f>
        <v>7.5771738346729904</v>
      </c>
      <c r="P14" s="13">
        <f t="shared" si="33"/>
        <v>2.7585742106736397</v>
      </c>
      <c r="Q14" s="20">
        <f t="shared" si="2"/>
        <v>18.001427845645381</v>
      </c>
      <c r="R14" s="59">
        <f t="shared" si="0"/>
        <v>288.11253895675651</v>
      </c>
      <c r="S14" s="59">
        <f ca="1">AVERAGE(OFFSET($R$3,0,0,'Données projet'!$E$9+1,1))-AVERAGE(OFFSET($H$3,0,0,'Données projet'!$E$9+1,1))</f>
        <v>319.22903094674564</v>
      </c>
      <c r="T14" s="59">
        <f t="shared" si="34"/>
        <v>254.58690973142848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5.8</v>
      </c>
      <c r="AI14" s="13">
        <f>IF('Données projet'!$A$62&gt;35,AI13+AH14-AQ13,IF(A14&lt;'Données projet'!$A$62,$AF$205^A14,IF(A14='Données projet'!$A$62,'Données projet'!$B$62,AI13+AH14-AQ13)))</f>
        <v>26.443206626903088</v>
      </c>
      <c r="AJ14" s="13">
        <f>AI14*VLOOKUP('Données projet'!$B$10,Paramètres!$A$1:$I$89,3,0)*VLOOKUP('Données projet'!$B$10,Paramètres!$A$1:$I$89,5,0)</f>
        <v>23.100785309262541</v>
      </c>
      <c r="AK14" s="13">
        <f t="shared" si="35"/>
        <v>7.3867373282653306</v>
      </c>
      <c r="AL14" s="20">
        <f t="shared" si="4"/>
        <v>53.099101927027704</v>
      </c>
      <c r="AM14" s="59">
        <f t="shared" si="5"/>
        <v>323.21021303813882</v>
      </c>
      <c r="AN14" s="59">
        <f ca="1">AVERAGE(OFFSET($AM$3,0,0,'Données projet'!$E$10+1,1))-AVERAGE(OFFSET($H$3,0,0,'Données projet'!$E$10+1,1))</f>
        <v>321.23599968992932</v>
      </c>
      <c r="AO14" s="59">
        <f t="shared" si="36"/>
        <v>388.05195847800502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</v>
      </c>
      <c r="BD14" s="12">
        <f>IF('Données projet'!$A$88&gt;35,BD13+BC14-BL13,IF(A14&lt;'Données projet'!$A$88,$BA$205^A14,IF(A14='Données projet'!$A$88,'Données projet'!$B$88,BD13+BC14-BL13)))</f>
        <v>26.706109521254486</v>
      </c>
      <c r="BE14" s="13">
        <f>BD14*VLOOKUP('Données projet'!$B$11,Paramètres!$A$1:$I$89,3,0)*VLOOKUP('Données projet'!$B$11,Paramètres!$A$1:$I$89,5,0)</f>
        <v>15.970253493710185</v>
      </c>
      <c r="BF14" s="13">
        <f t="shared" si="37"/>
        <v>5.3308735361046251</v>
      </c>
      <c r="BG14" s="20">
        <f t="shared" si="7"/>
        <v>37.09946291026079</v>
      </c>
      <c r="BH14" s="59">
        <f t="shared" si="8"/>
        <v>307.21057402137194</v>
      </c>
      <c r="BI14" s="59">
        <f ca="1">AVERAGE(OFFSET($BH$3,0,0,'Données projet'!$E$11+1,1))-AVERAGE(OFFSET($H$3,0,0,'Données projet'!$E$11+1,1))</f>
        <v>258.31845364515124</v>
      </c>
      <c r="BJ14" s="59">
        <f t="shared" si="38"/>
        <v>280.26155987300996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13.8</v>
      </c>
      <c r="BY14" s="12">
        <f>IF('Données projet'!$A$114&gt;35,BY13+BX14-CG13,IF(A14&lt;'Données projet'!$A$114,$BV$205^A14,IF(A14='Données projet'!$A$114,'Données projet'!$B$114,BY13+BX14-CG13)))</f>
        <v>84.800000000000011</v>
      </c>
      <c r="BZ14" s="13">
        <f>BY14*VLOOKUP('Données projet'!$B$12,Paramètres!$A$1:$I$89,3,0)*VLOOKUP('Données projet'!$B$12,Paramètres!$A$1:$I$89,5,0)</f>
        <v>76.727040000000017</v>
      </c>
      <c r="CA14" s="13">
        <f t="shared" si="39"/>
        <v>21.334993267156719</v>
      </c>
      <c r="CB14" s="20">
        <f t="shared" si="10"/>
        <v>170.79137460696464</v>
      </c>
      <c r="CC14" s="59">
        <f t="shared" si="11"/>
        <v>440.90248571807581</v>
      </c>
      <c r="CD14" s="59">
        <f ca="1">AVERAGE(OFFSET($CC$3,0,0,'Données projet'!$E$12+1,1))-AVERAGE(OFFSET($H$3,0,0,'Données projet'!$E$12+1,1))</f>
        <v>366.86025470473652</v>
      </c>
      <c r="CE14" s="59">
        <f t="shared" si="40"/>
        <v>513.80016421153414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3.3804920135637229</v>
      </c>
      <c r="CN14" s="22">
        <f t="shared" si="12"/>
        <v>3.3804920135637229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9.6666666666666661</v>
      </c>
      <c r="CT14" s="12">
        <f>IF('Données projet'!$A$140&gt;35,CT13+CS14-DB13,IF(A14&lt;'Données projet'!$A$140,$CQ$205^A14,IF(A14='Données projet'!$A$140,'Données projet'!$B$140,CT13+CS14-DB13)))</f>
        <v>78.058432057965561</v>
      </c>
      <c r="CU14" s="17">
        <f>CT14*VLOOKUP('Données projet'!$B$13,Paramètres!$A$1:$I$89,3,0)*VLOOKUP('Données projet'!$B$13,Paramètres!$A$1:$I$89,5,0)</f>
        <v>42.619903903649202</v>
      </c>
      <c r="CV14" s="13">
        <f t="shared" si="41"/>
        <v>12.690468047849112</v>
      </c>
      <c r="CW14" s="20">
        <f t="shared" si="13"/>
        <v>96.332231148859549</v>
      </c>
      <c r="CX14" s="59">
        <f t="shared" si="14"/>
        <v>366.44334225997068</v>
      </c>
      <c r="CY14" s="59">
        <f ca="1">AVERAGE(OFFSET($CX$3,0,0,'Données projet'!$E$13+1,1))-AVERAGE(OFFSET($H$3,0,0,'Données projet'!$E$13+1,1))</f>
        <v>207.02306964567629</v>
      </c>
      <c r="CZ14" s="59">
        <f t="shared" si="42"/>
        <v>342.06887933351783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7">
        <f t="shared" si="1"/>
        <v>256.66666666666669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7.9</v>
      </c>
      <c r="N15" s="13">
        <f>IF('Données projet'!$A$36&gt;35,N14+M15-V14,IF(A15&lt;'Données projet'!$A$36,$K$205^A15,IF(A15='Données projet'!$A$36,'Données projet'!$B$36,N14+M15-V14)))</f>
        <v>20.854234472198982</v>
      </c>
      <c r="O15" s="13">
        <f>N15*VLOOKUP('Données projet'!$B$9,Paramètres!$A$1:$I$89,3,0)*VLOOKUP('Données projet'!$B$9,Paramètres!$A$1:$I$89,5,0)</f>
        <v>9.7597817329891239</v>
      </c>
      <c r="P15" s="13">
        <f t="shared" si="33"/>
        <v>3.4500178483814818</v>
      </c>
      <c r="Q15" s="20">
        <f t="shared" si="2"/>
        <v>23.00706760422047</v>
      </c>
      <c r="R15" s="59">
        <f t="shared" si="0"/>
        <v>294.3404009375538</v>
      </c>
      <c r="S15" s="59">
        <f ca="1">AVERAGE(OFFSET($R$3,0,0,'Données projet'!$E$9+1,1))-AVERAGE(OFFSET($H$3,0,0,'Données projet'!$E$9+1,1))</f>
        <v>319.22903094674564</v>
      </c>
      <c r="T15" s="59">
        <f t="shared" si="34"/>
        <v>254.58690973142848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5.8</v>
      </c>
      <c r="AI15" s="13">
        <f>IF('Données projet'!$A$62&gt;35,AI14+AH15-AQ14,IF(A15&lt;'Données projet'!$A$62,$AF$205^A15,IF(A15='Données projet'!$A$62,'Données projet'!$B$62,AI14+AH15-AQ14)))</f>
        <v>35.613561093793592</v>
      </c>
      <c r="AJ15" s="13">
        <f>AI15*VLOOKUP('Données projet'!$B$10,Paramètres!$A$1:$I$89,3,0)*VLOOKUP('Données projet'!$B$10,Paramètres!$A$1:$I$89,5,0)</f>
        <v>31.112006971538086</v>
      </c>
      <c r="AK15" s="13">
        <f t="shared" si="35"/>
        <v>9.6095548481396289</v>
      </c>
      <c r="AL15" s="20">
        <f t="shared" si="4"/>
        <v>70.9233868359387</v>
      </c>
      <c r="AM15" s="59">
        <f t="shared" si="5"/>
        <v>342.256720169272</v>
      </c>
      <c r="AN15" s="59">
        <f ca="1">AVERAGE(OFFSET($AM$3,0,0,'Données projet'!$E$10+1,1))-AVERAGE(OFFSET($H$3,0,0,'Données projet'!$E$10+1,1))</f>
        <v>321.23599968992932</v>
      </c>
      <c r="AO15" s="59">
        <f t="shared" si="36"/>
        <v>388.05195847800502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36</v>
      </c>
      <c r="BB15" s="12">
        <f>VLOOKUP(A15,'Données projet'!$A$87:$I$107,9,0)</f>
        <v>3</v>
      </c>
      <c r="BC15" s="12">
        <f t="array" ref="BC15">INDEX(BB:BB,MIN(IF(ISNUMBER(BB15:BB211),ROW(BB15:BB211),"")))</f>
        <v>3</v>
      </c>
      <c r="BD15" s="12">
        <f>IF('Données projet'!$A$88&gt;35,BD14+BC15-BL14,IF(A15&lt;'Données projet'!$A$88,$BA$205^A15,IF(A15='Données projet'!$A$88,'Données projet'!$B$88,BD14+BC15-BL14)))</f>
        <v>36</v>
      </c>
      <c r="BE15" s="13">
        <f>BD15*VLOOKUP('Données projet'!$B$11,Paramètres!$A$1:$I$89,3,0)*VLOOKUP('Données projet'!$B$11,Paramètres!$A$1:$I$89,5,0)</f>
        <v>21.528000000000002</v>
      </c>
      <c r="BF15" s="13">
        <f t="shared" si="37"/>
        <v>6.9405537312613621</v>
      </c>
      <c r="BG15" s="20">
        <f t="shared" si="7"/>
        <v>49.582731081946882</v>
      </c>
      <c r="BH15" s="59">
        <f t="shared" si="8"/>
        <v>320.91606441528018</v>
      </c>
      <c r="BI15" s="59">
        <f ca="1">AVERAGE(OFFSET($BH$3,0,0,'Données projet'!$E$11+1,1))-AVERAGE(OFFSET($H$3,0,0,'Données projet'!$E$11+1,1))</f>
        <v>258.31845364515124</v>
      </c>
      <c r="BJ15" s="59">
        <f t="shared" si="38"/>
        <v>280.26155987300996</v>
      </c>
      <c r="BK15" s="15">
        <f>IF(ISNA(VLOOKUP(A15,'Données projet'!$A$87:$I$107,3,0)),0,VLOOKUP(A15,'Données projet'!$A$87:$I$107,3,0))</f>
        <v>1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13.8</v>
      </c>
      <c r="BY15" s="12">
        <f>IF('Données projet'!$A$114&gt;35,BY14+BX15-CG14,IF(A15&lt;'Données projet'!$A$114,$BV$205^A15,IF(A15='Données projet'!$A$114,'Données projet'!$B$114,BY14+BX15-CG14)))</f>
        <v>98.600000000000009</v>
      </c>
      <c r="BZ15" s="13">
        <f>BY15*VLOOKUP('Données projet'!$B$12,Paramètres!$A$1:$I$89,3,0)*VLOOKUP('Données projet'!$B$12,Paramètres!$A$1:$I$89,5,0)</f>
        <v>89.213280000000012</v>
      </c>
      <c r="CA15" s="13">
        <f t="shared" si="39"/>
        <v>24.375390230293569</v>
      </c>
      <c r="CB15" s="20">
        <f t="shared" si="10"/>
        <v>197.83360065109466</v>
      </c>
      <c r="CC15" s="59">
        <f t="shared" si="11"/>
        <v>469.16693398442794</v>
      </c>
      <c r="CD15" s="59">
        <f ca="1">AVERAGE(OFFSET($CC$3,0,0,'Données projet'!$E$12+1,1))-AVERAGE(OFFSET($H$3,0,0,'Données projet'!$E$12+1,1))</f>
        <v>366.86025470473652</v>
      </c>
      <c r="CE15" s="59">
        <f t="shared" si="40"/>
        <v>513.80016421153414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2.3903688265378751</v>
      </c>
      <c r="CN15" s="22">
        <f t="shared" si="12"/>
        <v>2.3903688265378751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>
        <f>VLOOKUP(A15,'Données projet'!$A$139:$I$159,2,0)</f>
        <v>116</v>
      </c>
      <c r="CR15" s="12">
        <f>VLOOKUP(A15,'Données projet'!$A$139:$I$159,9,0)</f>
        <v>9.6666666666666661</v>
      </c>
      <c r="CS15" s="12">
        <f t="array" ref="CS15">INDEX(CR:CR,MIN(IF(ISNUMBER(CR15:CR211),ROW(CR15:CR211),"")))</f>
        <v>9.6666666666666661</v>
      </c>
      <c r="CT15" s="12">
        <f>IF('Données projet'!$A$140&gt;35,CT14+CS15-DB14,IF(A15&lt;'Données projet'!$A$140,$CQ$205^A15,IF(A15='Données projet'!$A$140,'Données projet'!$B$140,CT14+CS15-DB14)))</f>
        <v>116</v>
      </c>
      <c r="CU15" s="17">
        <f>CT15*VLOOKUP('Données projet'!$B$13,Paramètres!$A$1:$I$89,3,0)*VLOOKUP('Données projet'!$B$13,Paramètres!$A$1:$I$89,5,0)</f>
        <v>63.335999999999999</v>
      </c>
      <c r="CV15" s="13">
        <f t="shared" si="41"/>
        <v>18.009040022946227</v>
      </c>
      <c r="CW15" s="20">
        <f t="shared" si="13"/>
        <v>141.67594470663133</v>
      </c>
      <c r="CX15" s="59">
        <f t="shared" si="14"/>
        <v>413.00927803996467</v>
      </c>
      <c r="CY15" s="59">
        <f ca="1">AVERAGE(OFFSET($CX$3,0,0,'Données projet'!$E$13+1,1))-AVERAGE(OFFSET($H$3,0,0,'Données projet'!$E$13+1,1))</f>
        <v>207.02306964567629</v>
      </c>
      <c r="CZ15" s="59">
        <f t="shared" si="42"/>
        <v>342.06887933351783</v>
      </c>
      <c r="DA15" s="15">
        <f>IF(ISNA(VLOOKUP(A15,'Données projet'!$A$139:$I$159,3,0)),0,VLOOKUP(A15,'Données projet'!$A$139:$I$159,3,0))</f>
        <v>1</v>
      </c>
      <c r="DB15" s="15">
        <f>IF(ISNA(VLOOKUP(A15,'Données projet'!$A$139:$I$159,4,0)),0,VLOOKUP(A15,'Données projet'!$A$139:$I$159,4,0))</f>
        <v>21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7">
        <f t="shared" si="1"/>
        <v>256.66666666666669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7.9</v>
      </c>
      <c r="N16" s="13">
        <f>IF('Données projet'!$A$36&gt;35,N15+M16-V15,IF(A16&lt;'Données projet'!$A$36,$K$205^A16,IF(A16='Données projet'!$A$36,'Données projet'!$B$36,N15+M16-V15)))</f>
        <v>26.861304900499697</v>
      </c>
      <c r="O16" s="13">
        <f>N16*VLOOKUP('Données projet'!$B$9,Paramètres!$A$1:$I$89,3,0)*VLOOKUP('Données projet'!$B$9,Paramètres!$A$1:$I$89,5,0)</f>
        <v>12.571090693433858</v>
      </c>
      <c r="P16" s="13">
        <f t="shared" si="33"/>
        <v>4.3147735914069099</v>
      </c>
      <c r="Q16" s="20">
        <f t="shared" si="2"/>
        <v>29.409546962764335</v>
      </c>
      <c r="R16" s="59">
        <f t="shared" si="0"/>
        <v>301.9651025183199</v>
      </c>
      <c r="S16" s="59">
        <f ca="1">AVERAGE(OFFSET($R$3,0,0,'Données projet'!$E$9+1,1))-AVERAGE(OFFSET($H$3,0,0,'Données projet'!$E$9+1,1))</f>
        <v>319.22903094674564</v>
      </c>
      <c r="T16" s="59">
        <f t="shared" si="34"/>
        <v>254.58690973142848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5.8</v>
      </c>
      <c r="AI16" s="13">
        <f>IF('Données projet'!$A$62&gt;35,AI15+AH16-AQ15,IF(A16&lt;'Données projet'!$A$62,$AF$205^A16,IF(A16='Données projet'!$A$62,'Données projet'!$B$62,AI15+AH16-AQ15)))</f>
        <v>47.964142612378375</v>
      </c>
      <c r="AJ16" s="13">
        <f>AI16*VLOOKUP('Données projet'!$B$10,Paramètres!$A$1:$I$89,3,0)*VLOOKUP('Données projet'!$B$10,Paramètres!$A$1:$I$89,5,0)</f>
        <v>41.901474986173753</v>
      </c>
      <c r="AK16" s="13">
        <f t="shared" si="35"/>
        <v>12.501262773491545</v>
      </c>
      <c r="AL16" s="20">
        <f t="shared" si="4"/>
        <v>94.751434931417066</v>
      </c>
      <c r="AM16" s="59">
        <f t="shared" si="5"/>
        <v>367.30699048697261</v>
      </c>
      <c r="AN16" s="59">
        <f ca="1">AVERAGE(OFFSET($AM$3,0,0,'Données projet'!$E$10+1,1))-AVERAGE(OFFSET($H$3,0,0,'Données projet'!$E$10+1,1))</f>
        <v>321.23599968992932</v>
      </c>
      <c r="AO16" s="59">
        <f t="shared" si="36"/>
        <v>388.05195847800502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11.25</v>
      </c>
      <c r="BD16" s="12">
        <f>IF('Données projet'!$A$88&gt;35,BD15+BC16-BL15,IF(A16&lt;'Données projet'!$A$88,$BA$205^A16,IF(A16='Données projet'!$A$88,'Données projet'!$B$88,BD15+BC16-BL15)))</f>
        <v>47.25</v>
      </c>
      <c r="BE16" s="13">
        <f>BD16*VLOOKUP('Données projet'!$B$11,Paramètres!$A$1:$I$89,3,0)*VLOOKUP('Données projet'!$B$11,Paramètres!$A$1:$I$89,5,0)</f>
        <v>28.255500000000001</v>
      </c>
      <c r="BF16" s="13">
        <f t="shared" si="37"/>
        <v>8.8256494369710552</v>
      </c>
      <c r="BG16" s="20">
        <f t="shared" si="7"/>
        <v>64.583001936057926</v>
      </c>
      <c r="BH16" s="59">
        <f t="shared" si="8"/>
        <v>337.13855749161348</v>
      </c>
      <c r="BI16" s="59">
        <f ca="1">AVERAGE(OFFSET($BH$3,0,0,'Données projet'!$E$11+1,1))-AVERAGE(OFFSET($H$3,0,0,'Données projet'!$E$11+1,1))</f>
        <v>258.31845364515124</v>
      </c>
      <c r="BJ16" s="59">
        <f t="shared" si="38"/>
        <v>280.26155987300996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13.8</v>
      </c>
      <c r="BY16" s="12">
        <f>IF('Données projet'!$A$114&gt;35,BY15+BX16-CG15,IF(A16&lt;'Données projet'!$A$114,$BV$205^A16,IF(A16='Données projet'!$A$114,'Données projet'!$B$114,BY15+BX16-CG15)))</f>
        <v>112.4</v>
      </c>
      <c r="BZ16" s="13">
        <f>BY16*VLOOKUP('Données projet'!$B$12,Paramètres!$A$1:$I$89,3,0)*VLOOKUP('Données projet'!$B$12,Paramètres!$A$1:$I$89,5,0)</f>
        <v>101.69951999999999</v>
      </c>
      <c r="CA16" s="13">
        <f t="shared" si="39"/>
        <v>27.366486780557949</v>
      </c>
      <c r="CB16" s="20">
        <f t="shared" si="10"/>
        <v>224.78996180947172</v>
      </c>
      <c r="CC16" s="59">
        <f t="shared" si="11"/>
        <v>497.34551736502726</v>
      </c>
      <c r="CD16" s="59">
        <f ca="1">AVERAGE(OFFSET($CC$3,0,0,'Données projet'!$E$12+1,1))-AVERAGE(OFFSET($H$3,0,0,'Données projet'!$E$12+1,1))</f>
        <v>366.86025470473652</v>
      </c>
      <c r="CE16" s="59">
        <f t="shared" si="40"/>
        <v>513.80016421153414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1.6902460067818617</v>
      </c>
      <c r="CN16" s="22">
        <f t="shared" si="12"/>
        <v>1.6902460067818617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24.333333333333332</v>
      </c>
      <c r="CT16" s="12">
        <f>IF('Données projet'!$A$140&gt;35,CT15+CS16-DB15,IF(A16&lt;'Données projet'!$A$140,$CQ$205^A16,IF(A16='Données projet'!$A$140,'Données projet'!$B$140,CT15+CS16-DB15)))</f>
        <v>119.33333333333334</v>
      </c>
      <c r="CU16" s="17">
        <f>CT16*VLOOKUP('Données projet'!$B$13,Paramètres!$A$1:$I$89,3,0)*VLOOKUP('Données projet'!$B$13,Paramètres!$A$1:$I$89,5,0)</f>
        <v>65.156000000000006</v>
      </c>
      <c r="CV16" s="13">
        <f t="shared" si="41"/>
        <v>18.465547360043153</v>
      </c>
      <c r="CW16" s="20">
        <f t="shared" si="13"/>
        <v>145.64086165207519</v>
      </c>
      <c r="CX16" s="59">
        <f t="shared" si="14"/>
        <v>418.1964172076307</v>
      </c>
      <c r="CY16" s="59">
        <f ca="1">AVERAGE(OFFSET($CX$3,0,0,'Données projet'!$E$13+1,1))-AVERAGE(OFFSET($H$3,0,0,'Données projet'!$E$13+1,1))</f>
        <v>207.02306964567629</v>
      </c>
      <c r="CZ16" s="59">
        <f t="shared" si="42"/>
        <v>342.06887933351783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7">
        <f t="shared" si="1"/>
        <v>256.66666666666669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7.9</v>
      </c>
      <c r="N17" s="13">
        <f>IF('Données projet'!$A$36&gt;35,N16+M17-V16,IF(A17&lt;'Données projet'!$A$36,$K$205^A17,IF(A17='Données projet'!$A$36,'Données projet'!$B$36,N16+M17-V16)))</f>
        <v>34.598714324397214</v>
      </c>
      <c r="O17" s="13">
        <f>N17*VLOOKUP('Données projet'!$B$9,Paramètres!$A$1:$I$89,3,0)*VLOOKUP('Données projet'!$B$9,Paramètres!$A$1:$I$89,5,0)</f>
        <v>16.192198303817896</v>
      </c>
      <c r="P17" s="13">
        <f t="shared" si="33"/>
        <v>5.3962825594761723</v>
      </c>
      <c r="Q17" s="20">
        <f t="shared" si="2"/>
        <v>37.599937503570509</v>
      </c>
      <c r="R17" s="59">
        <f t="shared" si="0"/>
        <v>311.37771528134829</v>
      </c>
      <c r="S17" s="59">
        <f ca="1">AVERAGE(OFFSET($R$3,0,0,'Données projet'!$E$9+1,1))-AVERAGE(OFFSET($H$3,0,0,'Données projet'!$E$9+1,1))</f>
        <v>319.22903094674564</v>
      </c>
      <c r="T17" s="59">
        <f t="shared" si="34"/>
        <v>254.58690973142848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5.8</v>
      </c>
      <c r="AI17" s="13">
        <f>IF('Données projet'!$A$62&gt;35,AI16+AH17-AQ16,IF(A17&lt;'Données projet'!$A$62,$AF$205^A17,IF(A17='Données projet'!$A$62,'Données projet'!$B$62,AI16+AH17-AQ16)))</f>
        <v>64.597835933388069</v>
      </c>
      <c r="AJ17" s="13">
        <f>AI17*VLOOKUP('Données projet'!$B$10,Paramètres!$A$1:$I$89,3,0)*VLOOKUP('Données projet'!$B$10,Paramètres!$A$1:$I$89,5,0)</f>
        <v>56.432669471407827</v>
      </c>
      <c r="AK17" s="13">
        <f t="shared" si="35"/>
        <v>16.263143652501352</v>
      </c>
      <c r="AL17" s="20">
        <f t="shared" si="4"/>
        <v>126.61187452414181</v>
      </c>
      <c r="AM17" s="59">
        <f t="shared" si="5"/>
        <v>400.38965230191957</v>
      </c>
      <c r="AN17" s="59">
        <f ca="1">AVERAGE(OFFSET($AM$3,0,0,'Données projet'!$E$10+1,1))-AVERAGE(OFFSET($H$3,0,0,'Données projet'!$E$10+1,1))</f>
        <v>321.23599968992932</v>
      </c>
      <c r="AO17" s="59">
        <f t="shared" si="36"/>
        <v>388.05195847800502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11.25</v>
      </c>
      <c r="BD17" s="12">
        <f>IF('Données projet'!$A$88&gt;35,BD16+BC17-BL16,IF(A17&lt;'Données projet'!$A$88,$BA$205^A17,IF(A17='Données projet'!$A$88,'Données projet'!$B$88,BD16+BC17-BL16)))</f>
        <v>58.5</v>
      </c>
      <c r="BE17" s="13">
        <f>BD17*VLOOKUP('Données projet'!$B$11,Paramètres!$A$1:$I$89,3,0)*VLOOKUP('Données projet'!$B$11,Paramètres!$A$1:$I$89,5,0)</f>
        <v>34.983000000000004</v>
      </c>
      <c r="BF17" s="13">
        <f t="shared" si="37"/>
        <v>10.658697928430266</v>
      </c>
      <c r="BG17" s="20">
        <f t="shared" si="7"/>
        <v>79.492623892016056</v>
      </c>
      <c r="BH17" s="59">
        <f t="shared" si="8"/>
        <v>353.27040166979384</v>
      </c>
      <c r="BI17" s="59">
        <f ca="1">AVERAGE(OFFSET($BH$3,0,0,'Données projet'!$E$11+1,1))-AVERAGE(OFFSET($H$3,0,0,'Données projet'!$E$11+1,1))</f>
        <v>258.31845364515124</v>
      </c>
      <c r="BJ17" s="59">
        <f t="shared" si="38"/>
        <v>280.26155987300996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13.8</v>
      </c>
      <c r="BY17" s="12">
        <f>IF('Données projet'!$A$114&gt;35,BY16+BX17-CG16,IF(A17&lt;'Données projet'!$A$114,$BV$205^A17,IF(A17='Données projet'!$A$114,'Données projet'!$B$114,BY16+BX17-CG16)))</f>
        <v>126.2</v>
      </c>
      <c r="BZ17" s="13">
        <f>BY17*VLOOKUP('Données projet'!$B$12,Paramètres!$A$1:$I$89,3,0)*VLOOKUP('Données projet'!$B$12,Paramètres!$A$1:$I$89,5,0)</f>
        <v>114.18576</v>
      </c>
      <c r="CA17" s="13">
        <f t="shared" si="39"/>
        <v>30.315028515433259</v>
      </c>
      <c r="CB17" s="20">
        <f t="shared" si="10"/>
        <v>251.67220666437959</v>
      </c>
      <c r="CC17" s="59">
        <f t="shared" si="11"/>
        <v>525.4499844421573</v>
      </c>
      <c r="CD17" s="59">
        <f ca="1">AVERAGE(OFFSET($CC$3,0,0,'Données projet'!$E$12+1,1))-AVERAGE(OFFSET($H$3,0,0,'Données projet'!$E$12+1,1))</f>
        <v>366.86025470473652</v>
      </c>
      <c r="CE17" s="59">
        <f t="shared" si="40"/>
        <v>513.80016421153414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1.1951844132689378</v>
      </c>
      <c r="CN17" s="22">
        <f t="shared" si="12"/>
        <v>1.1951844132689378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24.333333333333332</v>
      </c>
      <c r="CT17" s="12">
        <f>IF('Données projet'!$A$140&gt;35,CT16+CS17-DB16,IF(A17&lt;'Données projet'!$A$140,$CQ$205^A17,IF(A17='Données projet'!$A$140,'Données projet'!$B$140,CT16+CS17-DB16)))</f>
        <v>143.66666666666669</v>
      </c>
      <c r="CU17" s="17">
        <f>CT17*VLOOKUP('Données projet'!$B$13,Paramètres!$A$1:$I$89,3,0)*VLOOKUP('Données projet'!$B$13,Paramètres!$A$1:$I$89,5,0)</f>
        <v>78.442000000000007</v>
      </c>
      <c r="CV17" s="13">
        <f t="shared" si="41"/>
        <v>21.755810093736013</v>
      </c>
      <c r="CW17" s="20">
        <f t="shared" si="13"/>
        <v>174.5111859132569</v>
      </c>
      <c r="CX17" s="59">
        <f t="shared" si="14"/>
        <v>448.28896369103467</v>
      </c>
      <c r="CY17" s="59">
        <f ca="1">AVERAGE(OFFSET($CX$3,0,0,'Données projet'!$E$13+1,1))-AVERAGE(OFFSET($H$3,0,0,'Données projet'!$E$13+1,1))</f>
        <v>207.02306964567629</v>
      </c>
      <c r="CZ17" s="59">
        <f t="shared" si="42"/>
        <v>342.06887933351783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7">
        <f t="shared" si="1"/>
        <v>256.66666666666669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7.9</v>
      </c>
      <c r="N18" s="13">
        <f>IF('Données projet'!$A$36&gt;35,N17+M18-V17,IF(A18&lt;'Données projet'!$A$36,$K$205^A18,IF(A18='Données projet'!$A$36,'Données projet'!$B$36,N17+M18-V17)))</f>
        <v>44.564887571004775</v>
      </c>
      <c r="O18" s="13">
        <f>N18*VLOOKUP('Données projet'!$B$9,Paramètres!$A$1:$I$89,3,0)*VLOOKUP('Données projet'!$B$9,Paramètres!$A$1:$I$89,5,0)</f>
        <v>20.856367383230236</v>
      </c>
      <c r="P18" s="13">
        <f t="shared" si="33"/>
        <v>6.7488744993944465</v>
      </c>
      <c r="Q18" s="20">
        <f t="shared" si="2"/>
        <v>48.079129612237985</v>
      </c>
      <c r="R18" s="59">
        <f t="shared" si="0"/>
        <v>323.07912961223798</v>
      </c>
      <c r="S18" s="59">
        <f ca="1">AVERAGE(OFFSET($R$3,0,0,'Données projet'!$E$9+1,1))-AVERAGE(OFFSET($H$3,0,0,'Données projet'!$E$9+1,1))</f>
        <v>319.22903094674564</v>
      </c>
      <c r="T18" s="59">
        <f t="shared" si="34"/>
        <v>254.58690973142848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87</v>
      </c>
      <c r="AG18" s="12">
        <f>VLOOKUP(A18,'Données projet'!$A$61:$I$81,9,0)</f>
        <v>5.8</v>
      </c>
      <c r="AH18" s="12">
        <f t="array" ref="AH18">INDEX(AG:AG,MIN(IF(ISNUMBER(AG18:AG214),ROW(AG18:AG214),"")))</f>
        <v>5.8</v>
      </c>
      <c r="AI18" s="13">
        <f>IF('Données projet'!$A$62&gt;35,AI17+AH18-AQ17,IF(A18&lt;'Données projet'!$A$62,$AF$205^A18,IF(A18='Données projet'!$A$62,'Données projet'!$B$62,AI17+AH18-AQ17)))</f>
        <v>87</v>
      </c>
      <c r="AJ18" s="13">
        <f>AI18*VLOOKUP('Données projet'!$B$10,Paramètres!$A$1:$I$89,3,0)*VLOOKUP('Données projet'!$B$10,Paramètres!$A$1:$I$89,5,0)</f>
        <v>76.003200000000007</v>
      </c>
      <c r="AK18" s="13">
        <f t="shared" si="35"/>
        <v>21.157049992000456</v>
      </c>
      <c r="AL18" s="20">
        <f t="shared" si="4"/>
        <v>169.22076873606747</v>
      </c>
      <c r="AM18" s="59">
        <f t="shared" si="5"/>
        <v>444.2207687360675</v>
      </c>
      <c r="AN18" s="59">
        <f ca="1">AVERAGE(OFFSET($AM$3,0,0,'Données projet'!$E$10+1,1))-AVERAGE(OFFSET($H$3,0,0,'Données projet'!$E$10+1,1))</f>
        <v>321.23599968992932</v>
      </c>
      <c r="AO18" s="59">
        <f t="shared" si="36"/>
        <v>388.05195847800502</v>
      </c>
      <c r="AP18" s="15">
        <f>IF(ISNA(VLOOKUP(A18,'Données projet'!$A$61:$I$81,3,0)),0,VLOOKUP(A18,'Données projet'!$A$61:$I$81,3,0))</f>
        <v>1</v>
      </c>
      <c r="AQ18" s="15">
        <f>IF(ISNA(VLOOKUP(A18,'Données projet'!$A$61:$I$81,4,0)),0,VLOOKUP(A18,'Données projet'!$A$61:$I$81,4,0))</f>
        <v>21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4.3000000000000003E-2</v>
      </c>
      <c r="AT18" s="16">
        <f>IF(ISNA(VLOOKUP(A18,'Données projet'!$A$61:$I$81,7,0)),0%,VLOOKUP(A18,'Données projet'!$A$61:$I$81,7,0))</f>
        <v>0.5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0.86862860662262353</v>
      </c>
      <c r="AW18" s="21">
        <f>EXP(-LN(2)/2)*AW17+(1-EXP(-LN(2)/2))/(LN(2)/2)*AQ18*AT18*VLOOKUP('Données projet'!$B$10,Paramètres!$A$1:$I$89,3,0)*0.475*44/12</f>
        <v>8.6547836822923063</v>
      </c>
      <c r="AX18" s="21">
        <f t="shared" si="6"/>
        <v>9.5234122889149297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11.25</v>
      </c>
      <c r="BD18" s="12">
        <f>IF('Données projet'!$A$88&gt;35,BD17+BC18-BL17,IF(A18&lt;'Données projet'!$A$88,$BA$205^A18,IF(A18='Données projet'!$A$88,'Données projet'!$B$88,BD17+BC18-BL17)))</f>
        <v>69.75</v>
      </c>
      <c r="BE18" s="13">
        <f>BD18*VLOOKUP('Données projet'!$B$11,Paramètres!$A$1:$I$89,3,0)*VLOOKUP('Données projet'!$B$11,Paramètres!$A$1:$I$89,5,0)</f>
        <v>41.710500000000003</v>
      </c>
      <c r="BF18" s="13">
        <f t="shared" si="37"/>
        <v>12.450904347349248</v>
      </c>
      <c r="BG18" s="20">
        <f t="shared" si="7"/>
        <v>94.331112571633255</v>
      </c>
      <c r="BH18" s="59">
        <f t="shared" si="8"/>
        <v>369.33111257163324</v>
      </c>
      <c r="BI18" s="59">
        <f ca="1">AVERAGE(OFFSET($BH$3,0,0,'Données projet'!$E$11+1,1))-AVERAGE(OFFSET($H$3,0,0,'Données projet'!$E$11+1,1))</f>
        <v>258.31845364515124</v>
      </c>
      <c r="BJ18" s="59">
        <f t="shared" si="38"/>
        <v>280.26155987300996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140</v>
      </c>
      <c r="BW18" s="12">
        <f>VLOOKUP(A18,'Données projet'!$A$113:$I$133,9,0)</f>
        <v>13.8</v>
      </c>
      <c r="BX18" s="12">
        <f t="array" ref="BX18">INDEX(BW:BW,MIN(IF(ISNUMBER(BW18:BW214),ROW(BW18:BW214),"")))</f>
        <v>13.8</v>
      </c>
      <c r="BY18" s="12">
        <f>IF('Données projet'!$A$114&gt;35,BY17+BX18-CG17,IF(A18&lt;'Données projet'!$A$114,$BV$205^A18,IF(A18='Données projet'!$A$114,'Données projet'!$B$114,BY17+BX18-CG17)))</f>
        <v>140</v>
      </c>
      <c r="BZ18" s="13">
        <f>BY18*VLOOKUP('Données projet'!$B$12,Paramètres!$A$1:$I$89,3,0)*VLOOKUP('Données projet'!$B$12,Paramètres!$A$1:$I$89,5,0)</f>
        <v>126.67199999999998</v>
      </c>
      <c r="CA18" s="13">
        <f t="shared" si="39"/>
        <v>33.226199426361347</v>
      </c>
      <c r="CB18" s="20">
        <f t="shared" si="10"/>
        <v>278.48936400091264</v>
      </c>
      <c r="CC18" s="59">
        <f t="shared" si="11"/>
        <v>553.4893640009127</v>
      </c>
      <c r="CD18" s="59">
        <f ca="1">AVERAGE(OFFSET($CC$3,0,0,'Données projet'!$E$12+1,1))-AVERAGE(OFFSET($H$3,0,0,'Données projet'!$E$12+1,1))</f>
        <v>366.86025470473652</v>
      </c>
      <c r="CE18" s="59">
        <f t="shared" si="40"/>
        <v>513.80016421153414</v>
      </c>
      <c r="CF18" s="15">
        <f>IF(ISNA(VLOOKUP(A18,'Données projet'!$A$113:$I$133,3,0)),0,VLOOKUP(A18,'Données projet'!$A$113:$I$133,3,0))</f>
        <v>3</v>
      </c>
      <c r="CG18" s="15">
        <f>IF(ISNA(VLOOKUP(A18,'Données projet'!$A$113:$I$133,4,0)),0,VLOOKUP(A18,'Données projet'!$A$113:$I$133,4,0))</f>
        <v>23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0.5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10.662709255242916</v>
      </c>
      <c r="CN18" s="22">
        <f t="shared" si="12"/>
        <v>10.662709255242916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>
        <f>VLOOKUP(A18,'Données projet'!$A$139:$I$159,2,0)</f>
        <v>168</v>
      </c>
      <c r="CR18" s="12">
        <f>VLOOKUP(A18,'Données projet'!$A$139:$I$159,9,0)</f>
        <v>24.333333333333332</v>
      </c>
      <c r="CS18" s="12">
        <f t="array" ref="CS18">INDEX(CR:CR,MIN(IF(ISNUMBER(CR18:CR214),ROW(CR18:CR214),"")))</f>
        <v>24.333333333333332</v>
      </c>
      <c r="CT18" s="12">
        <f>IF('Données projet'!$A$140&gt;35,CT17+CS18-DB17,IF(A18&lt;'Données projet'!$A$140,$CQ$205^A18,IF(A18='Données projet'!$A$140,'Données projet'!$B$140,CT17+CS18-DB17)))</f>
        <v>168.00000000000003</v>
      </c>
      <c r="CU18" s="17">
        <f>CT18*VLOOKUP('Données projet'!$B$13,Paramètres!$A$1:$I$89,3,0)*VLOOKUP('Données projet'!$B$13,Paramètres!$A$1:$I$89,5,0)</f>
        <v>91.728000000000009</v>
      </c>
      <c r="CV18" s="13">
        <f t="shared" si="41"/>
        <v>24.981514582386563</v>
      </c>
      <c r="CW18" s="20">
        <f t="shared" si="13"/>
        <v>203.26907123098991</v>
      </c>
      <c r="CX18" s="59">
        <f t="shared" si="14"/>
        <v>478.26907123098988</v>
      </c>
      <c r="CY18" s="59">
        <f ca="1">AVERAGE(OFFSET($CX$3,0,0,'Données projet'!$E$13+1,1))-AVERAGE(OFFSET($H$3,0,0,'Données projet'!$E$13+1,1))</f>
        <v>207.02306964567629</v>
      </c>
      <c r="CZ18" s="59">
        <f t="shared" si="42"/>
        <v>342.06887933351783</v>
      </c>
      <c r="DA18" s="15">
        <f>IF(ISNA(VLOOKUP(A18,'Données projet'!$A$139:$I$159,3,0)),0,VLOOKUP(A18,'Données projet'!$A$139:$I$159,3,0))</f>
        <v>2</v>
      </c>
      <c r="DB18" s="15">
        <f>IF(ISNA(VLOOKUP(A18,'Données projet'!$A$139:$I$159,4,0)),0,VLOOKUP(A18,'Données projet'!$A$139:$I$159,4,0))</f>
        <v>47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1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29.055345219124163</v>
      </c>
      <c r="DI18" s="22">
        <f t="shared" si="15"/>
        <v>29.055345219124163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7">
        <f t="shared" si="1"/>
        <v>256.66666666666669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7.9</v>
      </c>
      <c r="N19" s="13">
        <f>IF('Données projet'!$A$36&gt;35,N18+M19-V18,IF(A19&lt;'Données projet'!$A$36,$K$205^A19,IF(A19='Données projet'!$A$36,'Données projet'!$B$36,N18+M19-V18)))</f>
        <v>57.401820934596167</v>
      </c>
      <c r="O19" s="13">
        <f>N19*VLOOKUP('Données projet'!$B$9,Paramètres!$A$1:$I$89,3,0)*VLOOKUP('Données projet'!$B$9,Paramètres!$A$1:$I$89,5,0)</f>
        <v>26.864052197391008</v>
      </c>
      <c r="P19" s="13">
        <f t="shared" si="33"/>
        <v>8.4404970471001413</v>
      </c>
      <c r="Q19" s="20">
        <f t="shared" si="2"/>
        <v>61.488756600822086</v>
      </c>
      <c r="R19" s="59">
        <f t="shared" si="0"/>
        <v>337.71097882304434</v>
      </c>
      <c r="S19" s="59">
        <f ca="1">AVERAGE(OFFSET($R$3,0,0,'Données projet'!$E$9+1,1))-AVERAGE(OFFSET($H$3,0,0,'Données projet'!$E$9+1,1))</f>
        <v>319.22903094674564</v>
      </c>
      <c r="T19" s="59">
        <f t="shared" si="34"/>
        <v>254.58690973142848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14.2</v>
      </c>
      <c r="AI19" s="13">
        <f>IF('Données projet'!$A$62&gt;35,AI18+AH19-AQ18,IF(A19&lt;'Données projet'!$A$62,$AF$205^A19,IF(A19='Données projet'!$A$62,'Données projet'!$B$62,AI18+AH19-AQ18)))</f>
        <v>80.2</v>
      </c>
      <c r="AJ19" s="13">
        <f>AI19*VLOOKUP('Données projet'!$B$10,Paramètres!$A$1:$I$89,3,0)*VLOOKUP('Données projet'!$B$10,Paramètres!$A$1:$I$89,5,0)</f>
        <v>70.062720000000013</v>
      </c>
      <c r="AK19" s="13">
        <f t="shared" si="35"/>
        <v>19.689032345957123</v>
      </c>
      <c r="AL19" s="20">
        <f t="shared" si="4"/>
        <v>156.31763533587534</v>
      </c>
      <c r="AM19" s="59">
        <f t="shared" si="5"/>
        <v>432.53985755809754</v>
      </c>
      <c r="AN19" s="59">
        <f ca="1">AVERAGE(OFFSET($AM$3,0,0,'Données projet'!$E$10+1,1))-AVERAGE(OFFSET($H$3,0,0,'Données projet'!$E$10+1,1))</f>
        <v>321.23599968992932</v>
      </c>
      <c r="AO19" s="59">
        <f t="shared" si="36"/>
        <v>388.05195847800502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0.84487591169533471</v>
      </c>
      <c r="AW19" s="21">
        <f>EXP(-LN(2)/2)*AW18+(1-EXP(-LN(2)/2))/(LN(2)/2)*AQ19*AT19*VLOOKUP('Données projet'!$B$10,Paramètres!$A$1:$I$89,3,0)*0.475*44/12</f>
        <v>6.1198562314515685</v>
      </c>
      <c r="AX19" s="21">
        <f t="shared" si="6"/>
        <v>6.9647321431469029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81</v>
      </c>
      <c r="BB19" s="12">
        <f>VLOOKUP(A19,'Données projet'!$A$87:$I$107,9,0)</f>
        <v>11.25</v>
      </c>
      <c r="BC19" s="12">
        <f t="array" ref="BC19">INDEX(BB:BB,MIN(IF(ISNUMBER(BB19:BB215),ROW(BB19:BB215),"")))</f>
        <v>11.25</v>
      </c>
      <c r="BD19" s="12">
        <f>IF('Données projet'!$A$88&gt;35,BD18+BC19-BL18,IF(A19&lt;'Données projet'!$A$88,$BA$205^A19,IF(A19='Données projet'!$A$88,'Données projet'!$B$88,BD18+BC19-BL18)))</f>
        <v>81</v>
      </c>
      <c r="BE19" s="13">
        <f>BD19*VLOOKUP('Données projet'!$B$11,Paramètres!$A$1:$I$89,3,0)*VLOOKUP('Données projet'!$B$11,Paramètres!$A$1:$I$89,5,0)</f>
        <v>48.438000000000009</v>
      </c>
      <c r="BF19" s="13">
        <f t="shared" si="37"/>
        <v>14.209624244846971</v>
      </c>
      <c r="BG19" s="20">
        <f t="shared" si="7"/>
        <v>109.11127889310849</v>
      </c>
      <c r="BH19" s="59">
        <f t="shared" si="8"/>
        <v>385.33350111533071</v>
      </c>
      <c r="BI19" s="59">
        <f ca="1">AVERAGE(OFFSET($BH$3,0,0,'Données projet'!$E$11+1,1))-AVERAGE(OFFSET($H$3,0,0,'Données projet'!$E$11+1,1))</f>
        <v>258.31845364515124</v>
      </c>
      <c r="BJ19" s="59">
        <f t="shared" si="38"/>
        <v>280.26155987300996</v>
      </c>
      <c r="BK19" s="15">
        <f>IF(ISNA(VLOOKUP(A19,'Données projet'!$A$87:$I$107,3,0)),0,VLOOKUP(A19,'Données projet'!$A$87:$I$107,3,0))</f>
        <v>2</v>
      </c>
      <c r="BL19" s="15">
        <f>IF(ISNA(VLOOKUP(A19,'Données projet'!$A$87:$I$107,4,0)),0,VLOOKUP(A19,'Données projet'!$A$87:$I$107,4,0))</f>
        <v>15</v>
      </c>
      <c r="BM19" s="16">
        <f>IF(ISNA(VLOOKUP(A19,'Données projet'!$A$87:$I$107,5,0)),0%,VLOOKUP(A19,'Données projet'!$A$87:$I$107,5,0)*VLOOKUP('Données projet'!$B$11,Paramètres!$A$1:$I$89,7,0))</f>
        <v>9.0000000000000011E-2</v>
      </c>
      <c r="BN19" s="16">
        <f>IF(ISNA(VLOOKUP(A19,'Données projet'!$A$87:$I$107,6,0)),0%,VLOOKUP(A19,'Données projet'!$A$87:$I$107,6,0)*VLOOKUP('Données projet'!$B$11,Paramètres!$A$1:$I$89,7,0))</f>
        <v>9.0000000000000011E-2</v>
      </c>
      <c r="BO19" s="16">
        <f>IF(ISNA(VLOOKUP(A19,'Données projet'!$A$87:$I$107,7,0)),0%,VLOOKUP(A19,'Données projet'!$A$87:$I$107,7,0))</f>
        <v>0.6</v>
      </c>
      <c r="BP19" s="21">
        <f>EXP(-LN(2)/35)*BP18+(1-EXP(-LN(2)/35))/(LN(2)/35)*BL19*BM19*VLOOKUP('Données projet'!$B$11,Paramètres!$A$1:$I$89,3,0)*0.475*44/12</f>
        <v>1.070935484876341</v>
      </c>
      <c r="BQ19" s="21">
        <f>EXP(-LN(2)/25)*BQ18+(1-EXP(-LN(2)/25))/(LN(2)/25)*Calculateur!BL19*Calculateur!BN19*VLOOKUP('Données projet'!$B$11,Paramètres!$A$1:$I$89,3,0)*0.475*44/12</f>
        <v>1.0667188038139717</v>
      </c>
      <c r="BR19" s="21">
        <f>EXP(-LN(2)/2)*BR18+(1-EXP(-LN(2)/2))/(LN(2)/2)*BL19*BO19*VLOOKUP('Données projet'!$B$11,Paramètres!$A$1:$I$89,3,0)*0.475*44/12</f>
        <v>6.0936742252874394</v>
      </c>
      <c r="BS19" s="22">
        <f t="shared" si="9"/>
        <v>8.2313285139777523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12.6</v>
      </c>
      <c r="BY19" s="12">
        <f>IF('Données projet'!$A$114&gt;35,BY18+BX19-CG18,IF(A19&lt;'Données projet'!$A$114,$BV$205^A19,IF(A19='Données projet'!$A$114,'Données projet'!$B$114,BY18+BX19-CG18)))</f>
        <v>129.6</v>
      </c>
      <c r="BZ19" s="13">
        <f>BY19*VLOOKUP('Données projet'!$B$12,Paramètres!$A$1:$I$89,3,0)*VLOOKUP('Données projet'!$B$12,Paramètres!$A$1:$I$89,5,0)</f>
        <v>117.26208</v>
      </c>
      <c r="CA19" s="13">
        <f t="shared" si="39"/>
        <v>31.035569170075775</v>
      </c>
      <c r="CB19" s="20">
        <f t="shared" si="10"/>
        <v>258.28507230454863</v>
      </c>
      <c r="CC19" s="59">
        <f t="shared" si="11"/>
        <v>534.50729452677092</v>
      </c>
      <c r="CD19" s="59">
        <f ca="1">AVERAGE(OFFSET($CC$3,0,0,'Données projet'!$E$12+1,1))-AVERAGE(OFFSET($H$3,0,0,'Données projet'!$E$12+1,1))</f>
        <v>366.86025470473652</v>
      </c>
      <c r="CE19" s="59">
        <f t="shared" si="40"/>
        <v>513.80016421153414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7.5396740202028285</v>
      </c>
      <c r="CN19" s="22">
        <f t="shared" si="12"/>
        <v>7.5396740202028285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21.333333333333332</v>
      </c>
      <c r="CT19" s="12">
        <f>IF('Données projet'!$A$140&gt;35,CT18+CS19-DB18,IF(A19&lt;'Données projet'!$A$140,$CQ$205^A19,IF(A19='Données projet'!$A$140,'Données projet'!$B$140,CT18+CS19-DB18)))</f>
        <v>142.33333333333337</v>
      </c>
      <c r="CU19" s="17">
        <f>CT19*VLOOKUP('Données projet'!$B$13,Paramètres!$A$1:$I$89,3,0)*VLOOKUP('Données projet'!$B$13,Paramètres!$A$1:$I$89,5,0)</f>
        <v>77.714000000000027</v>
      </c>
      <c r="CV19" s="13">
        <f t="shared" si="41"/>
        <v>21.577305655991772</v>
      </c>
      <c r="CW19" s="20">
        <f t="shared" si="13"/>
        <v>172.93235735085239</v>
      </c>
      <c r="CX19" s="59">
        <f t="shared" si="14"/>
        <v>449.15457957307461</v>
      </c>
      <c r="CY19" s="59">
        <f ca="1">AVERAGE(OFFSET($CX$3,0,0,'Données projet'!$E$13+1,1))-AVERAGE(OFFSET($H$3,0,0,'Données projet'!$E$13+1,1))</f>
        <v>207.02306964567629</v>
      </c>
      <c r="CZ19" s="59">
        <f t="shared" si="42"/>
        <v>342.06887933351783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20.545231634158831</v>
      </c>
      <c r="DI19" s="22">
        <f t="shared" si="15"/>
        <v>20.545231634158831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7">
        <f t="shared" si="1"/>
        <v>256.66666666666669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7.9</v>
      </c>
      <c r="N20" s="13">
        <f>IF('Données projet'!$A$36&gt;35,N19+M20-V19,IF(A20&lt;'Données projet'!$A$36,$K$205^A20,IF(A20='Données projet'!$A$36,'Données projet'!$B$36,N19+M20-V19)))</f>
        <v>73.936437994095741</v>
      </c>
      <c r="O20" s="13">
        <f>N20*VLOOKUP('Données projet'!$B$9,Paramètres!$A$1:$I$89,3,0)*VLOOKUP('Données projet'!$B$9,Paramètres!$A$1:$I$89,5,0)</f>
        <v>34.602252981236802</v>
      </c>
      <c r="P20" s="13">
        <f t="shared" si="33"/>
        <v>10.556129086190376</v>
      </c>
      <c r="Q20" s="20">
        <f t="shared" si="2"/>
        <v>78.650848767435647</v>
      </c>
      <c r="R20" s="59">
        <f t="shared" si="0"/>
        <v>356.09529321188012</v>
      </c>
      <c r="S20" s="59">
        <f ca="1">AVERAGE(OFFSET($R$3,0,0,'Données projet'!$E$9+1,1))-AVERAGE(OFFSET($H$3,0,0,'Données projet'!$E$9+1,1))</f>
        <v>319.22903094674564</v>
      </c>
      <c r="T20" s="59">
        <f t="shared" si="34"/>
        <v>254.58690973142848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14.2</v>
      </c>
      <c r="AI20" s="13">
        <f>IF('Données projet'!$A$62&gt;35,AI19+AH20-AQ19,IF(A20&lt;'Données projet'!$A$62,$AF$205^A20,IF(A20='Données projet'!$A$62,'Données projet'!$B$62,AI19+AH20-AQ19)))</f>
        <v>94.4</v>
      </c>
      <c r="AJ20" s="13">
        <f>AI20*VLOOKUP('Données projet'!$B$10,Paramètres!$A$1:$I$89,3,0)*VLOOKUP('Données projet'!$B$10,Paramètres!$A$1:$I$89,5,0)</f>
        <v>82.467840000000024</v>
      </c>
      <c r="AK20" s="13">
        <f t="shared" si="35"/>
        <v>22.739512759227473</v>
      </c>
      <c r="AL20" s="20">
        <f t="shared" si="4"/>
        <v>183.23613938898788</v>
      </c>
      <c r="AM20" s="59">
        <f t="shared" si="5"/>
        <v>460.68058383343237</v>
      </c>
      <c r="AN20" s="59">
        <f ca="1">AVERAGE(OFFSET($AM$3,0,0,'Données projet'!$E$10+1,1))-AVERAGE(OFFSET($H$3,0,0,'Données projet'!$E$10+1,1))</f>
        <v>321.23599968992932</v>
      </c>
      <c r="AO20" s="59">
        <f t="shared" si="36"/>
        <v>388.05195847800502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0.82177273545993257</v>
      </c>
      <c r="AW20" s="21">
        <f>EXP(-LN(2)/2)*AW19+(1-EXP(-LN(2)/2))/(LN(2)/2)*AQ20*AT20*VLOOKUP('Données projet'!$B$10,Paramètres!$A$1:$I$89,3,0)*0.475*44/12</f>
        <v>4.3273918411461541</v>
      </c>
      <c r="AX20" s="21">
        <f t="shared" si="6"/>
        <v>5.1491645766060863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13.25</v>
      </c>
      <c r="BD20" s="12">
        <f>IF('Données projet'!$A$88&gt;35,BD19+BC20-BL19,IF(A20&lt;'Données projet'!$A$88,$BA$205^A20,IF(A20='Données projet'!$A$88,'Données projet'!$B$88,BD19+BC20-BL19)))</f>
        <v>79.25</v>
      </c>
      <c r="BE20" s="13">
        <f>BD20*VLOOKUP('Données projet'!$B$11,Paramètres!$A$1:$I$89,3,0)*VLOOKUP('Données projet'!$B$11,Paramètres!$A$1:$I$89,5,0)</f>
        <v>47.391500000000001</v>
      </c>
      <c r="BF20" s="13">
        <f t="shared" si="37"/>
        <v>13.938016900926096</v>
      </c>
      <c r="BG20" s="20">
        <f t="shared" si="7"/>
        <v>106.81557526911295</v>
      </c>
      <c r="BH20" s="59">
        <f t="shared" si="8"/>
        <v>384.26001971355743</v>
      </c>
      <c r="BI20" s="59">
        <f ca="1">AVERAGE(OFFSET($BH$3,0,0,'Données projet'!$E$11+1,1))-AVERAGE(OFFSET($H$3,0,0,'Données projet'!$E$11+1,1))</f>
        <v>258.31845364515124</v>
      </c>
      <c r="BJ20" s="59">
        <f t="shared" si="38"/>
        <v>280.26155987300996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1.049935093224063</v>
      </c>
      <c r="BQ20" s="21">
        <f>EXP(-LN(2)/25)*BQ19+(1-EXP(-LN(2)/25))/(LN(2)/25)*Calculateur!BL20*Calculateur!BN20*VLOOKUP('Données projet'!$B$11,Paramètres!$A$1:$I$89,3,0)*0.475*44/12</f>
        <v>1.0375493220273748</v>
      </c>
      <c r="BR20" s="21">
        <f>EXP(-LN(2)/2)*BR19+(1-EXP(-LN(2)/2))/(LN(2)/2)*BL20*BO20*VLOOKUP('Données projet'!$B$11,Paramètres!$A$1:$I$89,3,0)*0.475*44/12</f>
        <v>4.3088783670424302</v>
      </c>
      <c r="BS20" s="22">
        <f t="shared" si="9"/>
        <v>6.3963627822938678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12.6</v>
      </c>
      <c r="BY20" s="12">
        <f>IF('Données projet'!$A$114&gt;35,BY19+BX20-CG19,IF(A20&lt;'Données projet'!$A$114,$BV$205^A20,IF(A20='Données projet'!$A$114,'Données projet'!$B$114,BY19+BX20-CG19)))</f>
        <v>142.19999999999999</v>
      </c>
      <c r="BZ20" s="13">
        <f>BY20*VLOOKUP('Données projet'!$B$12,Paramètres!$A$1:$I$89,3,0)*VLOOKUP('Données projet'!$B$12,Paramètres!$A$1:$I$89,5,0)</f>
        <v>128.66255999999998</v>
      </c>
      <c r="CA20" s="13">
        <f t="shared" si="39"/>
        <v>33.687130461083775</v>
      </c>
      <c r="CB20" s="20">
        <f t="shared" si="10"/>
        <v>282.75904421972086</v>
      </c>
      <c r="CC20" s="59">
        <f t="shared" si="11"/>
        <v>560.20348866416532</v>
      </c>
      <c r="CD20" s="59">
        <f ca="1">AVERAGE(OFFSET($CC$3,0,0,'Données projet'!$E$12+1,1))-AVERAGE(OFFSET($H$3,0,0,'Données projet'!$E$12+1,1))</f>
        <v>366.86025470473652</v>
      </c>
      <c r="CE20" s="59">
        <f t="shared" si="40"/>
        <v>513.80016421153414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5.331354627621459</v>
      </c>
      <c r="CN20" s="22">
        <f t="shared" si="12"/>
        <v>5.331354627621459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21.333333333333332</v>
      </c>
      <c r="CT20" s="12">
        <f>IF('Données projet'!$A$140&gt;35,CT19+CS20-DB19,IF(A20&lt;'Données projet'!$A$140,$CQ$205^A20,IF(A20='Données projet'!$A$140,'Données projet'!$B$140,CT19+CS20-DB19)))</f>
        <v>163.66666666666671</v>
      </c>
      <c r="CU20" s="17">
        <f>CT20*VLOOKUP('Données projet'!$B$13,Paramètres!$A$1:$I$89,3,0)*VLOOKUP('Données projet'!$B$13,Paramètres!$A$1:$I$89,5,0)</f>
        <v>89.362000000000037</v>
      </c>
      <c r="CV20" s="13">
        <f t="shared" si="41"/>
        <v>24.411291106060958</v>
      </c>
      <c r="CW20" s="20">
        <f t="shared" si="13"/>
        <v>198.15514867638956</v>
      </c>
      <c r="CX20" s="59">
        <f t="shared" si="14"/>
        <v>475.59959312083402</v>
      </c>
      <c r="CY20" s="59">
        <f ca="1">AVERAGE(OFFSET($CX$3,0,0,'Données projet'!$E$13+1,1))-AVERAGE(OFFSET($H$3,0,0,'Données projet'!$E$13+1,1))</f>
        <v>207.02306964567629</v>
      </c>
      <c r="CZ20" s="59">
        <f t="shared" si="42"/>
        <v>342.06887933351783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14.527672609562083</v>
      </c>
      <c r="DI20" s="22">
        <f t="shared" si="15"/>
        <v>14.527672609562083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7">
        <f t="shared" si="1"/>
        <v>256.66666666666669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7.9</v>
      </c>
      <c r="N21" s="13">
        <f>IF('Données projet'!$A$36&gt;35,N20+M21-V20,IF(A21&lt;'Données projet'!$A$36,$K$205^A21,IF(A21='Données projet'!$A$36,'Données projet'!$B$36,N20+M21-V20)))</f>
        <v>95.233857990035276</v>
      </c>
      <c r="O21" s="13">
        <f>N21*VLOOKUP('Données projet'!$B$9,Paramètres!$A$1:$I$89,3,0)*VLOOKUP('Données projet'!$B$9,Paramètres!$A$1:$I$89,5,0)</f>
        <v>44.569445539336513</v>
      </c>
      <c r="P21" s="13">
        <f t="shared" si="33"/>
        <v>13.202049673437019</v>
      </c>
      <c r="Q21" s="20">
        <f t="shared" si="2"/>
        <v>100.61868749558056</v>
      </c>
      <c r="R21" s="59">
        <f t="shared" si="0"/>
        <v>379.28535416224724</v>
      </c>
      <c r="S21" s="59">
        <f ca="1">AVERAGE(OFFSET($R$3,0,0,'Données projet'!$E$9+1,1))-AVERAGE(OFFSET($H$3,0,0,'Données projet'!$E$9+1,1))</f>
        <v>319.22903094674564</v>
      </c>
      <c r="T21" s="59">
        <f t="shared" si="34"/>
        <v>254.58690973142848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14.2</v>
      </c>
      <c r="AI21" s="13">
        <f>IF('Données projet'!$A$62&gt;35,AI20+AH21-AQ20,IF(A21&lt;'Données projet'!$A$62,$AF$205^A21,IF(A21='Données projet'!$A$62,'Données projet'!$B$62,AI20+AH21-AQ20)))</f>
        <v>108.60000000000001</v>
      </c>
      <c r="AJ21" s="13">
        <f>AI21*VLOOKUP('Données projet'!$B$10,Paramètres!$A$1:$I$89,3,0)*VLOOKUP('Données projet'!$B$10,Paramètres!$A$1:$I$89,5,0)</f>
        <v>94.87296000000002</v>
      </c>
      <c r="AK21" s="13">
        <f t="shared" si="35"/>
        <v>25.736834760472274</v>
      </c>
      <c r="AL21" s="20">
        <f t="shared" si="4"/>
        <v>210.06205920782259</v>
      </c>
      <c r="AM21" s="59">
        <f t="shared" si="5"/>
        <v>488.72872587448927</v>
      </c>
      <c r="AN21" s="59">
        <f ca="1">AVERAGE(OFFSET($AM$3,0,0,'Données projet'!$E$10+1,1))-AVERAGE(OFFSET($H$3,0,0,'Données projet'!$E$10+1,1))</f>
        <v>321.23599968992932</v>
      </c>
      <c r="AO21" s="59">
        <f t="shared" si="36"/>
        <v>388.05195847800502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0.7993013167936307</v>
      </c>
      <c r="AW21" s="21">
        <f>EXP(-LN(2)/2)*AW20+(1-EXP(-LN(2)/2))/(LN(2)/2)*AQ21*AT21*VLOOKUP('Données projet'!$B$10,Paramètres!$A$1:$I$89,3,0)*0.475*44/12</f>
        <v>3.0599281157257847</v>
      </c>
      <c r="AX21" s="21">
        <f t="shared" si="6"/>
        <v>3.8592294325194154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13.25</v>
      </c>
      <c r="BD21" s="12">
        <f>IF('Données projet'!$A$88&gt;35,BD20+BC21-BL20,IF(A21&lt;'Données projet'!$A$88,$BA$205^A21,IF(A21='Données projet'!$A$88,'Données projet'!$B$88,BD20+BC21-BL20)))</f>
        <v>92.5</v>
      </c>
      <c r="BE21" s="13">
        <f>BD21*VLOOKUP('Données projet'!$B$11,Paramètres!$A$1:$I$89,3,0)*VLOOKUP('Données projet'!$B$11,Paramètres!$A$1:$I$89,5,0)</f>
        <v>55.315000000000005</v>
      </c>
      <c r="BF21" s="13">
        <f t="shared" si="37"/>
        <v>15.978207841877614</v>
      </c>
      <c r="BG21" s="20">
        <f t="shared" si="7"/>
        <v>124.16900365793684</v>
      </c>
      <c r="BH21" s="59">
        <f t="shared" si="8"/>
        <v>402.83567032460354</v>
      </c>
      <c r="BI21" s="59">
        <f ca="1">AVERAGE(OFFSET($BH$3,0,0,'Données projet'!$E$11+1,1))-AVERAGE(OFFSET($H$3,0,0,'Données projet'!$E$11+1,1))</f>
        <v>258.31845364515124</v>
      </c>
      <c r="BJ21" s="59">
        <f t="shared" si="38"/>
        <v>280.26155987300996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1.029346506443112</v>
      </c>
      <c r="BQ21" s="21">
        <f>EXP(-LN(2)/25)*BQ20+(1-EXP(-LN(2)/25))/(LN(2)/25)*Calculateur!BL21*Calculateur!BN21*VLOOKUP('Données projet'!$B$11,Paramètres!$A$1:$I$89,3,0)*0.475*44/12</f>
        <v>1.0091774812541887</v>
      </c>
      <c r="BR21" s="21">
        <f>EXP(-LN(2)/2)*BR20+(1-EXP(-LN(2)/2))/(LN(2)/2)*BL21*BO21*VLOOKUP('Données projet'!$B$11,Paramètres!$A$1:$I$89,3,0)*0.475*44/12</f>
        <v>3.0468371126437201</v>
      </c>
      <c r="BS21" s="22">
        <f t="shared" si="9"/>
        <v>5.0853611003410206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12.6</v>
      </c>
      <c r="BY21" s="12">
        <f>IF('Données projet'!$A$114&gt;35,BY20+BX21-CG20,IF(A21&lt;'Données projet'!$A$114,$BV$205^A21,IF(A21='Données projet'!$A$114,'Données projet'!$B$114,BY20+BX21-CG20)))</f>
        <v>154.79999999999998</v>
      </c>
      <c r="BZ21" s="13">
        <f>BY21*VLOOKUP('Données projet'!$B$12,Paramètres!$A$1:$I$89,3,0)*VLOOKUP('Données projet'!$B$12,Paramètres!$A$1:$I$89,5,0)</f>
        <v>140.06303999999997</v>
      </c>
      <c r="CA21" s="13">
        <f t="shared" si="39"/>
        <v>36.31144669536954</v>
      </c>
      <c r="CB21" s="20">
        <f t="shared" si="10"/>
        <v>307.18556432776853</v>
      </c>
      <c r="CC21" s="59">
        <f t="shared" si="11"/>
        <v>585.85223099443522</v>
      </c>
      <c r="CD21" s="59">
        <f ca="1">AVERAGE(OFFSET($CC$3,0,0,'Données projet'!$E$12+1,1))-AVERAGE(OFFSET($H$3,0,0,'Données projet'!$E$12+1,1))</f>
        <v>366.86025470473652</v>
      </c>
      <c r="CE21" s="59">
        <f t="shared" si="40"/>
        <v>513.80016421153414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3.7698370101014147</v>
      </c>
      <c r="CN21" s="22">
        <f t="shared" si="12"/>
        <v>3.7698370101014147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>
        <f>VLOOKUP(A21,'Données projet'!$A$139:$I$159,2,0)</f>
        <v>185</v>
      </c>
      <c r="CR21" s="12">
        <f>VLOOKUP(A21,'Données projet'!$A$139:$I$159,9,0)</f>
        <v>21.333333333333332</v>
      </c>
      <c r="CS21" s="12">
        <f t="array" ref="CS21">INDEX(CR:CR,MIN(IF(ISNUMBER(CR21:CR217),ROW(CR21:CR217),"")))</f>
        <v>21.333333333333332</v>
      </c>
      <c r="CT21" s="12">
        <f>IF('Données projet'!$A$140&gt;35,CT20+CS21-DB20,IF(A21&lt;'Données projet'!$A$140,$CQ$205^A21,IF(A21='Données projet'!$A$140,'Données projet'!$B$140,CT20+CS21-DB20)))</f>
        <v>185.00000000000006</v>
      </c>
      <c r="CU21" s="17">
        <f>CT21*VLOOKUP('Données projet'!$B$13,Paramètres!$A$1:$I$89,3,0)*VLOOKUP('Données projet'!$B$13,Paramètres!$A$1:$I$89,5,0)</f>
        <v>101.01000000000002</v>
      </c>
      <c r="CV21" s="13">
        <f t="shared" si="41"/>
        <v>27.202475209169602</v>
      </c>
      <c r="CW21" s="20">
        <f t="shared" si="13"/>
        <v>223.30339432263705</v>
      </c>
      <c r="CX21" s="59">
        <f t="shared" si="14"/>
        <v>501.97006098930376</v>
      </c>
      <c r="CY21" s="59">
        <f ca="1">AVERAGE(OFFSET($CX$3,0,0,'Données projet'!$E$13+1,1))-AVERAGE(OFFSET($H$3,0,0,'Données projet'!$E$13+1,1))</f>
        <v>207.02306964567629</v>
      </c>
      <c r="CZ21" s="59">
        <f t="shared" si="42"/>
        <v>342.06887933351783</v>
      </c>
      <c r="DA21" s="15">
        <f>IF(ISNA(VLOOKUP(A21,'Données projet'!$A$139:$I$159,3,0)),0,VLOOKUP(A21,'Données projet'!$A$139:$I$159,3,0))</f>
        <v>3</v>
      </c>
      <c r="DB21" s="15">
        <f>IF(ISNA(VLOOKUP(A21,'Données projet'!$A$139:$I$159,4,0)),0,VLOOKUP(A21,'Données projet'!$A$139:$I$159,4,0))</f>
        <v>61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0.12</v>
      </c>
      <c r="DE21" s="16">
        <f>IF(ISNA(VLOOKUP(A21,'Données projet'!$A$139:$I$159,7,0)),0%,VLOOKUP(A21,'Données projet'!$A$139:$I$159,7,0))</f>
        <v>0.8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5.2810310635196052</v>
      </c>
      <c r="DH21" s="21">
        <f>EXP(-LN(2)/2)*DH20+(1-EXP(-LN(2)/2))/(LN(2)/2)*DB21*DE21*VLOOKUP('Données projet'!$B$13,Paramètres!$A$1:$I$89,3,0)*0.475*44/12</f>
        <v>40.440718938212591</v>
      </c>
      <c r="DI21" s="22">
        <f t="shared" si="15"/>
        <v>45.721750001732197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7">
        <f t="shared" si="1"/>
        <v>256.66666666666669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7.9</v>
      </c>
      <c r="N22" s="13">
        <f>IF('Données projet'!$A$36&gt;35,N21+M22-V21,IF(A22&lt;'Données projet'!$A$36,$K$205^A22,IF(A22='Données projet'!$A$36,'Données projet'!$B$36,N21+M22-V21)))</f>
        <v>122.66600817840934</v>
      </c>
      <c r="O22" s="13">
        <f>N22*VLOOKUP('Données projet'!$B$9,Paramètres!$A$1:$I$89,3,0)*VLOOKUP('Données projet'!$B$9,Paramètres!$A$1:$I$89,5,0)</f>
        <v>57.407691827495569</v>
      </c>
      <c r="P22" s="13">
        <f t="shared" si="33"/>
        <v>16.511176981334152</v>
      </c>
      <c r="Q22" s="20">
        <f t="shared" si="2"/>
        <v>128.7420298420451</v>
      </c>
      <c r="R22" s="59">
        <f t="shared" si="0"/>
        <v>408.63091873093396</v>
      </c>
      <c r="S22" s="59">
        <f ca="1">AVERAGE(OFFSET($R$3,0,0,'Données projet'!$E$9+1,1))-AVERAGE(OFFSET($H$3,0,0,'Données projet'!$E$9+1,1))</f>
        <v>319.22903094674564</v>
      </c>
      <c r="T22" s="59">
        <f t="shared" si="34"/>
        <v>254.58690973142848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14.2</v>
      </c>
      <c r="AI22" s="13">
        <f>IF('Données projet'!$A$62&gt;35,AI21+AH22-AQ21,IF(A22&lt;'Données projet'!$A$62,$AF$205^A22,IF(A22='Données projet'!$A$62,'Données projet'!$B$62,AI21+AH22-AQ21)))</f>
        <v>122.80000000000001</v>
      </c>
      <c r="AJ22" s="13">
        <f>AI22*VLOOKUP('Données projet'!$B$10,Paramètres!$A$1:$I$89,3,0)*VLOOKUP('Données projet'!$B$10,Paramètres!$A$1:$I$89,5,0)</f>
        <v>107.27808000000003</v>
      </c>
      <c r="AK22" s="13">
        <f t="shared" si="35"/>
        <v>28.688746800886673</v>
      </c>
      <c r="AL22" s="20">
        <f t="shared" si="4"/>
        <v>236.80889001154432</v>
      </c>
      <c r="AM22" s="59">
        <f t="shared" si="5"/>
        <v>516.69777890043315</v>
      </c>
      <c r="AN22" s="59">
        <f ca="1">AVERAGE(OFFSET($AM$3,0,0,'Données projet'!$E$10+1,1))-AVERAGE(OFFSET($H$3,0,0,'Données projet'!$E$10+1,1))</f>
        <v>321.23599968992932</v>
      </c>
      <c r="AO22" s="59">
        <f t="shared" si="36"/>
        <v>388.05195847800502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0.77744438025247942</v>
      </c>
      <c r="AW22" s="21">
        <f>EXP(-LN(2)/2)*AW21+(1-EXP(-LN(2)/2))/(LN(2)/2)*AQ22*AT22*VLOOKUP('Données projet'!$B$10,Paramètres!$A$1:$I$89,3,0)*0.475*44/12</f>
        <v>2.1636959205730775</v>
      </c>
      <c r="AX22" s="21">
        <f t="shared" si="6"/>
        <v>2.9411403008255568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13.25</v>
      </c>
      <c r="BD22" s="12">
        <f>IF('Données projet'!$A$88&gt;35,BD21+BC22-BL21,IF(A22&lt;'Données projet'!$A$88,$BA$205^A22,IF(A22='Données projet'!$A$88,'Données projet'!$B$88,BD21+BC22-BL21)))</f>
        <v>105.75</v>
      </c>
      <c r="BE22" s="13">
        <f>BD22*VLOOKUP('Données projet'!$B$11,Paramètres!$A$1:$I$89,3,0)*VLOOKUP('Données projet'!$B$11,Paramètres!$A$1:$I$89,5,0)</f>
        <v>63.238500000000009</v>
      </c>
      <c r="BF22" s="13">
        <f t="shared" si="37"/>
        <v>17.984541540394584</v>
      </c>
      <c r="BG22" s="20">
        <f t="shared" si="7"/>
        <v>141.46346401618726</v>
      </c>
      <c r="BH22" s="59">
        <f t="shared" si="8"/>
        <v>421.35235290507615</v>
      </c>
      <c r="BI22" s="59">
        <f ca="1">AVERAGE(OFFSET($BH$3,0,0,'Données projet'!$E$11+1,1))-AVERAGE(OFFSET($H$3,0,0,'Données projet'!$E$11+1,1))</f>
        <v>258.31845364515124</v>
      </c>
      <c r="BJ22" s="59">
        <f t="shared" si="38"/>
        <v>280.26155987300996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1.0091616492911375</v>
      </c>
      <c r="BQ22" s="21">
        <f>EXP(-LN(2)/25)*BQ21+(1-EXP(-LN(2)/25))/(LN(2)/25)*Calculateur!BL22*Calculateur!BN22*VLOOKUP('Données projet'!$B$11,Paramètres!$A$1:$I$89,3,0)*0.475*44/12</f>
        <v>0.98158146995895568</v>
      </c>
      <c r="BR22" s="21">
        <f>EXP(-LN(2)/2)*BR21+(1-EXP(-LN(2)/2))/(LN(2)/2)*BL22*BO22*VLOOKUP('Données projet'!$B$11,Paramètres!$A$1:$I$89,3,0)*0.475*44/12</f>
        <v>2.1544391835212156</v>
      </c>
      <c r="BS22" s="22">
        <f t="shared" si="9"/>
        <v>4.1451823027713086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12.6</v>
      </c>
      <c r="BY22" s="12">
        <f>IF('Données projet'!$A$114&gt;35,BY21+BX22-CG21,IF(A22&lt;'Données projet'!$A$114,$BV$205^A22,IF(A22='Données projet'!$A$114,'Données projet'!$B$114,BY21+BX22-CG21)))</f>
        <v>167.39999999999998</v>
      </c>
      <c r="BZ22" s="13">
        <f>BY22*VLOOKUP('Données projet'!$B$12,Paramètres!$A$1:$I$89,3,0)*VLOOKUP('Données projet'!$B$12,Paramètres!$A$1:$I$89,5,0)</f>
        <v>151.46351999999999</v>
      </c>
      <c r="CA22" s="13">
        <f t="shared" si="39"/>
        <v>38.910987614777085</v>
      </c>
      <c r="CB22" s="20">
        <f t="shared" si="10"/>
        <v>331.56893409573678</v>
      </c>
      <c r="CC22" s="59">
        <f t="shared" si="11"/>
        <v>611.45782298462564</v>
      </c>
      <c r="CD22" s="59">
        <f ca="1">AVERAGE(OFFSET($CC$3,0,0,'Données projet'!$E$12+1,1))-AVERAGE(OFFSET($H$3,0,0,'Données projet'!$E$12+1,1))</f>
        <v>366.86025470473652</v>
      </c>
      <c r="CE22" s="59">
        <f t="shared" si="40"/>
        <v>513.80016421153414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2.6656773138107299</v>
      </c>
      <c r="CN22" s="22">
        <f t="shared" si="12"/>
        <v>2.6656773138107299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19.166666666666668</v>
      </c>
      <c r="CT22" s="12">
        <f>IF('Données projet'!$A$140&gt;35,CT21+CS22-DB21,IF(A22&lt;'Données projet'!$A$140,$CQ$205^A22,IF(A22='Données projet'!$A$140,'Données projet'!$B$140,CT21+CS22-DB21)))</f>
        <v>143.16666666666671</v>
      </c>
      <c r="CU22" s="17">
        <f>CT22*VLOOKUP('Données projet'!$B$13,Paramètres!$A$1:$I$89,3,0)*VLOOKUP('Données projet'!$B$13,Paramètres!$A$1:$I$89,5,0)</f>
        <v>78.169000000000025</v>
      </c>
      <c r="CV22" s="13">
        <f t="shared" si="41"/>
        <v>21.688893622970639</v>
      </c>
      <c r="CW22" s="20">
        <f t="shared" si="13"/>
        <v>173.9191647266739</v>
      </c>
      <c r="CX22" s="59">
        <f t="shared" si="14"/>
        <v>453.80805361556276</v>
      </c>
      <c r="CY22" s="59">
        <f ca="1">AVERAGE(OFFSET($CX$3,0,0,'Données projet'!$E$13+1,1))-AVERAGE(OFFSET($H$3,0,0,'Données projet'!$E$13+1,1))</f>
        <v>207.02306964567629</v>
      </c>
      <c r="CZ22" s="59">
        <f t="shared" si="42"/>
        <v>342.06887933351783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5.1366209913703083</v>
      </c>
      <c r="DH22" s="21">
        <f>EXP(-LN(2)/2)*DH21+(1-EXP(-LN(2)/2))/(LN(2)/2)*DB22*DE22*VLOOKUP('Données projet'!$B$13,Paramètres!$A$1:$I$89,3,0)*0.475*44/12</f>
        <v>28.595906597269362</v>
      </c>
      <c r="DI22" s="22">
        <f t="shared" si="15"/>
        <v>33.73252758863967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7">
        <f t="shared" si="1"/>
        <v>256.66666666666669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158</v>
      </c>
      <c r="L23" s="12">
        <f>VLOOKUP(A23,'Données projet'!$A$35:$I$55,9,0)</f>
        <v>7.9</v>
      </c>
      <c r="M23" s="12">
        <f t="array" ref="M23">INDEX(L:L,MIN(IF(ISNUMBER(L23:L219),ROW(L23:L219),"")))</f>
        <v>7.9</v>
      </c>
      <c r="N23" s="13">
        <f>IF('Données projet'!$A$36&gt;35,N22+M23-V22,IF(A23&lt;'Données projet'!$A$36,$K$205^A23,IF(A23='Données projet'!$A$36,'Données projet'!$B$36,N22+M23-V22)))</f>
        <v>158</v>
      </c>
      <c r="O23" s="13">
        <f>N23*VLOOKUP('Données projet'!$B$9,Paramètres!$A$1:$I$89,3,0)*VLOOKUP('Données projet'!$B$9,Paramètres!$A$1:$I$89,5,0)</f>
        <v>73.944000000000003</v>
      </c>
      <c r="P23" s="13">
        <f t="shared" si="33"/>
        <v>20.649745460165708</v>
      </c>
      <c r="Q23" s="20">
        <f t="shared" si="2"/>
        <v>164.75077334312192</v>
      </c>
      <c r="R23" s="59">
        <f t="shared" si="0"/>
        <v>445.86188445423306</v>
      </c>
      <c r="S23" s="59">
        <f ca="1">AVERAGE(OFFSET($R$3,0,0,'Données projet'!$E$9+1,1))-AVERAGE(OFFSET($H$3,0,0,'Données projet'!$E$9+1,1))</f>
        <v>319.22903094674564</v>
      </c>
      <c r="T23" s="59">
        <f t="shared" si="34"/>
        <v>254.58690973142848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39.5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0.11000000000000001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2.6975157575580879</v>
      </c>
      <c r="AA23" s="21">
        <f>EXP(-LN(2)/25)*AA22+(1-EXP(-LN(2)/25))/(LN(2)/25)*Calculateur!V23*Calculateur!X23*VLOOKUP('Données projet'!$B$9,Paramètres!$A$1:$I$89,3,0)*0.475*44/12</f>
        <v>2.686894610186497</v>
      </c>
      <c r="AB23" s="21">
        <f>EXP(-LN(2)/2)*AB22+(1-EXP(-LN(2)/2))/(LN(2)/2)*V23*Y23*VLOOKUP('Données projet'!$B$9,Paramètres!$A$1:$I$89,3,0)*0.475*44/12</f>
        <v>12.558267751244545</v>
      </c>
      <c r="AC23" s="22">
        <f t="shared" si="3"/>
        <v>17.942678118989129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137</v>
      </c>
      <c r="AG23" s="12">
        <f>VLOOKUP(A23,'Données projet'!$A$61:$I$81,9,0)</f>
        <v>14.2</v>
      </c>
      <c r="AH23" s="12">
        <f t="array" ref="AH23">INDEX(AG:AG,MIN(IF(ISNUMBER(AG23:AG219),ROW(AG23:AG219),"")))</f>
        <v>14.2</v>
      </c>
      <c r="AI23" s="13">
        <f>IF('Données projet'!$A$62&gt;35,AI22+AH23-AQ22,IF(A23&lt;'Données projet'!$A$62,$AF$205^A23,IF(A23='Données projet'!$A$62,'Données projet'!$B$62,AI22+AH23-AQ22)))</f>
        <v>137</v>
      </c>
      <c r="AJ23" s="13">
        <f>AI23*VLOOKUP('Données projet'!$B$10,Paramètres!$A$1:$I$89,3,0)*VLOOKUP('Données projet'!$B$10,Paramètres!$A$1:$I$89,5,0)</f>
        <v>119.68320000000003</v>
      </c>
      <c r="AK23" s="13">
        <f t="shared" si="35"/>
        <v>31.601099532596194</v>
      </c>
      <c r="AL23" s="20">
        <f t="shared" si="4"/>
        <v>263.48682168593842</v>
      </c>
      <c r="AM23" s="59">
        <f t="shared" si="5"/>
        <v>544.59793279704957</v>
      </c>
      <c r="AN23" s="59">
        <f ca="1">AVERAGE(OFFSET($AM$3,0,0,'Données projet'!$E$10+1,1))-AVERAGE(OFFSET($H$3,0,0,'Données projet'!$E$10+1,1))</f>
        <v>321.23599968992932</v>
      </c>
      <c r="AO23" s="59">
        <f t="shared" si="36"/>
        <v>388.05195847800502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43</v>
      </c>
      <c r="AR23" s="16">
        <f>IF(ISNA(VLOOKUP(A23,'Données projet'!$A$61:$I$81,5,0)),0%,VLOOKUP(A23,'Données projet'!$A$61:$I$81,5,0)*VLOOKUP('Données projet'!$B$10,Paramètres!$A$1:$I$89,7,0))</f>
        <v>4.3000000000000003E-2</v>
      </c>
      <c r="AS23" s="16">
        <f>IF(ISNA(VLOOKUP(A23,'Données projet'!$A$61:$I$81,6,0)),0%,VLOOKUP(A23,'Données projet'!$A$61:$I$81,6,0)*VLOOKUP('Données projet'!$B$10,Paramètres!$A$1:$I$89,7,0))</f>
        <v>8.6000000000000007E-2</v>
      </c>
      <c r="AT23" s="16">
        <f>IF(ISNA(VLOOKUP(A23,'Données projet'!$A$61:$I$81,7,0)),0%,VLOOKUP(A23,'Données projet'!$A$61:$I$81,7,0))</f>
        <v>0.4</v>
      </c>
      <c r="AU23" s="21">
        <f>EXP(-LN(2)/35)*AU22+(1-EXP(-LN(2)/35))/(LN(2)/35)*AQ23*AR23*VLOOKUP('Données projet'!$B$10,Paramètres!$A$1:$I$89,3,0)*0.475*44/12</f>
        <v>1.7856512696624129</v>
      </c>
      <c r="AV23" s="21">
        <f>EXP(-LN(2)/25)*AV22+(1-EXP(-LN(2)/25))/(LN(2)/25)*Calculateur!AQ23*Calculateur!AS23*VLOOKUP('Données projet'!$B$10,Paramètres!$A$1:$I$89,3,0)*0.475*44/12</f>
        <v>4.3134260832450053</v>
      </c>
      <c r="AW23" s="21">
        <f>EXP(-LN(2)/2)*AW22+(1-EXP(-LN(2)/2))/(LN(2)/2)*AQ23*AT23*VLOOKUP('Données projet'!$B$10,Paramètres!$A$1:$I$89,3,0)*0.475*44/12</f>
        <v>15.70732399457029</v>
      </c>
      <c r="AX23" s="21">
        <f t="shared" si="6"/>
        <v>21.80640134747771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119</v>
      </c>
      <c r="BB23" s="12">
        <f>VLOOKUP(A23,'Données projet'!$A$87:$I$107,9,0)</f>
        <v>13.25</v>
      </c>
      <c r="BC23" s="12">
        <f t="array" ref="BC23">INDEX(BB:BB,MIN(IF(ISNUMBER(BB23:BB219),ROW(BB23:BB219),"")))</f>
        <v>13.25</v>
      </c>
      <c r="BD23" s="12">
        <f>IF('Données projet'!$A$88&gt;35,BD22+BC23-BL22,IF(A23&lt;'Données projet'!$A$88,$BA$205^A23,IF(A23='Données projet'!$A$88,'Données projet'!$B$88,BD22+BC23-BL22)))</f>
        <v>119</v>
      </c>
      <c r="BE23" s="13">
        <f>BD23*VLOOKUP('Données projet'!$B$11,Paramètres!$A$1:$I$89,3,0)*VLOOKUP('Données projet'!$B$11,Paramètres!$A$1:$I$89,5,0)</f>
        <v>71.162000000000006</v>
      </c>
      <c r="BF23" s="13">
        <f t="shared" si="37"/>
        <v>19.961746043676346</v>
      </c>
      <c r="BG23" s="20">
        <f t="shared" si="7"/>
        <v>158.70719102606964</v>
      </c>
      <c r="BH23" s="59">
        <f t="shared" si="8"/>
        <v>439.81830213718081</v>
      </c>
      <c r="BI23" s="59">
        <f ca="1">AVERAGE(OFFSET($BH$3,0,0,'Données projet'!$E$11+1,1))-AVERAGE(OFFSET($H$3,0,0,'Données projet'!$E$11+1,1))</f>
        <v>258.31845364515124</v>
      </c>
      <c r="BJ23" s="59">
        <f t="shared" si="38"/>
        <v>280.26155987300996</v>
      </c>
      <c r="BK23" s="15">
        <f>IF(ISNA(VLOOKUP(A23,'Données projet'!$A$87:$I$107,3,0)),0,VLOOKUP(A23,'Données projet'!$A$87:$I$107,3,0))</f>
        <v>3</v>
      </c>
      <c r="BL23" s="15">
        <f>IF(ISNA(VLOOKUP(A23,'Données projet'!$A$87:$I$107,4,0)),0,VLOOKUP(A23,'Données projet'!$A$87:$I$107,4,0))</f>
        <v>22</v>
      </c>
      <c r="BM23" s="16">
        <f>IF(ISNA(VLOOKUP(A23,'Données projet'!$A$87:$I$107,5,0)),0%,VLOOKUP(A23,'Données projet'!$A$87:$I$107,5,0)*VLOOKUP('Données projet'!$B$11,Paramètres!$A$1:$I$89,7,0))</f>
        <v>0.13500000000000001</v>
      </c>
      <c r="BN23" s="16">
        <f>IF(ISNA(VLOOKUP(A23,'Données projet'!$A$87:$I$107,6,0)),0%,VLOOKUP(A23,'Données projet'!$A$87:$I$107,6,0)*VLOOKUP('Données projet'!$B$11,Paramètres!$A$1:$I$89,7,0))</f>
        <v>0.18000000000000002</v>
      </c>
      <c r="BO23" s="16">
        <f>IF(ISNA(VLOOKUP(A23,'Données projet'!$A$87:$I$107,7,0)),0%,VLOOKUP(A23,'Données projet'!$A$87:$I$107,7,0))</f>
        <v>0.3</v>
      </c>
      <c r="BP23" s="21">
        <f>EXP(-LN(2)/35)*BP22+(1-EXP(-LN(2)/35))/(LN(2)/35)*BL23*BM23*VLOOKUP('Données projet'!$B$11,Paramètres!$A$1:$I$89,3,0)*0.475*44/12</f>
        <v>3.3454306716043156</v>
      </c>
      <c r="BQ23" s="21">
        <f>EXP(-LN(2)/25)*BQ22+(1-EXP(-LN(2)/25))/(LN(2)/25)*Calculateur!BL23*Calculateur!BN23*VLOOKUP('Données projet'!$B$11,Paramètres!$A$1:$I$89,3,0)*0.475*44/12</f>
        <v>4.0837818975647862</v>
      </c>
      <c r="BR23" s="21">
        <f>EXP(-LN(2)/2)*BR22+(1-EXP(-LN(2)/2))/(LN(2)/2)*BL23*BO23*VLOOKUP('Données projet'!$B$11,Paramètres!$A$1:$I$89,3,0)*0.475*44/12</f>
        <v>5.9921129881993149</v>
      </c>
      <c r="BS23" s="22">
        <f t="shared" si="9"/>
        <v>13.421325557368416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180</v>
      </c>
      <c r="BW23" s="12">
        <f>VLOOKUP(A23,'Données projet'!$A$113:$I$133,9,0)</f>
        <v>12.6</v>
      </c>
      <c r="BX23" s="12">
        <f t="array" ref="BX23">INDEX(BW:BW,MIN(IF(ISNUMBER(BW23:BW219),ROW(BW23:BW219),"")))</f>
        <v>12.6</v>
      </c>
      <c r="BY23" s="12">
        <f>IF('Données projet'!$A$114&gt;35,BY22+BX23-CG22,IF(A23&lt;'Données projet'!$A$114,$BV$205^A23,IF(A23='Données projet'!$A$114,'Données projet'!$B$114,BY22+BX23-CG22)))</f>
        <v>179.99999999999997</v>
      </c>
      <c r="BZ23" s="13">
        <f>BY23*VLOOKUP('Données projet'!$B$12,Paramètres!$A$1:$I$89,3,0)*VLOOKUP('Données projet'!$B$12,Paramètres!$A$1:$I$89,5,0)</f>
        <v>162.86399999999998</v>
      </c>
      <c r="CA23" s="13">
        <f t="shared" si="39"/>
        <v>41.487830069509123</v>
      </c>
      <c r="CB23" s="20">
        <f t="shared" si="10"/>
        <v>355.91277070439497</v>
      </c>
      <c r="CC23" s="59">
        <f t="shared" si="11"/>
        <v>637.02388181550612</v>
      </c>
      <c r="CD23" s="59">
        <f ca="1">AVERAGE(OFFSET($CC$3,0,0,'Données projet'!$E$12+1,1))-AVERAGE(OFFSET($H$3,0,0,'Données projet'!$E$12+1,1))</f>
        <v>366.86025470473652</v>
      </c>
      <c r="CE23" s="59">
        <f t="shared" si="40"/>
        <v>513.80016421153414</v>
      </c>
      <c r="CF23" s="15">
        <f>IF(ISNA(VLOOKUP(A23,'Données projet'!$A$113:$I$133,3,0)),0,VLOOKUP(A23,'Données projet'!$A$113:$I$133,3,0))</f>
        <v>4</v>
      </c>
      <c r="CG23" s="15">
        <f>IF(ISNA(VLOOKUP(A23,'Données projet'!$A$113:$I$133,4,0)),0,VLOOKUP(A23,'Données projet'!$A$113:$I$133,4,0))</f>
        <v>18</v>
      </c>
      <c r="CH23" s="16">
        <f>IF(ISNA(VLOOKUP(A23,'Données projet'!$A$113:$I$133,5,0)),0%,VLOOKUP(A23,'Données projet'!$A$113:$I$133,5,0)*VLOOKUP('Données projet'!$B$12,Paramètres!$A$1:$I$89,7,0))</f>
        <v>0.03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0.4</v>
      </c>
      <c r="CK23" s="21">
        <f>EXP(-LN(2)/35)*CK22+(1-EXP(-LN(2)/35))/(LN(2)/35)*CG23*CH23*VLOOKUP('Données projet'!$B$12,Paramètres!$A$1:$I$89,3,0)*0.475*44/12</f>
        <v>0.54012398367676318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8.0315812018623856</v>
      </c>
      <c r="CN23" s="22">
        <f t="shared" si="12"/>
        <v>8.5717051855391482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19.166666666666668</v>
      </c>
      <c r="CT23" s="12">
        <f>IF('Données projet'!$A$140&gt;35,CT22+CS23-DB22,IF(A23&lt;'Données projet'!$A$140,$CQ$205^A23,IF(A23='Données projet'!$A$140,'Données projet'!$B$140,CT22+CS23-DB22)))</f>
        <v>162.33333333333337</v>
      </c>
      <c r="CU23" s="17">
        <f>CT23*VLOOKUP('Données projet'!$B$13,Paramètres!$A$1:$I$89,3,0)*VLOOKUP('Données projet'!$B$13,Paramètres!$A$1:$I$89,5,0)</f>
        <v>88.634000000000015</v>
      </c>
      <c r="CV23" s="13">
        <f t="shared" si="41"/>
        <v>24.235486014796273</v>
      </c>
      <c r="CW23" s="20">
        <f t="shared" si="13"/>
        <v>196.58102147577017</v>
      </c>
      <c r="CX23" s="59">
        <f t="shared" si="14"/>
        <v>477.69213258688131</v>
      </c>
      <c r="CY23" s="59">
        <f ca="1">AVERAGE(OFFSET($CX$3,0,0,'Données projet'!$E$13+1,1))-AVERAGE(OFFSET($H$3,0,0,'Données projet'!$E$13+1,1))</f>
        <v>207.02306964567629</v>
      </c>
      <c r="CZ23" s="59">
        <f t="shared" si="42"/>
        <v>342.06887933351783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4.9961598202381294</v>
      </c>
      <c r="DH23" s="21">
        <f>EXP(-LN(2)/2)*DH22+(1-EXP(-LN(2)/2))/(LN(2)/2)*DB23*DE23*VLOOKUP('Données projet'!$B$13,Paramètres!$A$1:$I$89,3,0)*0.475*44/12</f>
        <v>20.220359469106299</v>
      </c>
      <c r="DI23" s="22">
        <f t="shared" si="15"/>
        <v>25.216519289344429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7">
        <f t="shared" si="1"/>
        <v>256.66666666666669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9.1999999999999993</v>
      </c>
      <c r="N24" s="13">
        <f>IF('Données projet'!$A$36&gt;35,N23+M24-V23,IF(A24&lt;'Données projet'!$A$36,$K$205^A24,IF(A24='Données projet'!$A$36,'Données projet'!$B$36,N23+M24-V23)))</f>
        <v>127.69999999999999</v>
      </c>
      <c r="O24" s="13">
        <f>N24*VLOOKUP('Données projet'!$B$9,Paramètres!$A$1:$I$89,3,0)*VLOOKUP('Données projet'!$B$9,Paramètres!$A$1:$I$89,5,0)</f>
        <v>59.763599999999997</v>
      </c>
      <c r="P24" s="13">
        <f t="shared" si="33"/>
        <v>17.108485949725164</v>
      </c>
      <c r="Q24" s="20">
        <f t="shared" si="2"/>
        <v>133.88554969577129</v>
      </c>
      <c r="R24" s="59">
        <f t="shared" si="0"/>
        <v>416.21888302910463</v>
      </c>
      <c r="S24" s="59">
        <f ca="1">AVERAGE(OFFSET($R$3,0,0,'Données projet'!$E$9+1,1))-AVERAGE(OFFSET($H$3,0,0,'Données projet'!$E$9+1,1))</f>
        <v>319.22903094674564</v>
      </c>
      <c r="T24" s="59">
        <f t="shared" si="34"/>
        <v>254.58690973142848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2.6446191188745241</v>
      </c>
      <c r="AA24" s="21">
        <f>EXP(-LN(2)/25)*AA23+(1-EXP(-LN(2)/25))/(LN(2)/25)*Calculateur!V24*Calculateur!X24*VLOOKUP('Données projet'!$B$9,Paramètres!$A$1:$I$89,3,0)*0.475*44/12</f>
        <v>2.6134213357733005</v>
      </c>
      <c r="AB24" s="21">
        <f>EXP(-LN(2)/2)*AB23+(1-EXP(-LN(2)/2))/(LN(2)/2)*V24*Y24*VLOOKUP('Données projet'!$B$9,Paramètres!$A$1:$I$89,3,0)*0.475*44/12</f>
        <v>8.8800362868613529</v>
      </c>
      <c r="AC24" s="22">
        <f t="shared" si="3"/>
        <v>14.138076741509177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13.8</v>
      </c>
      <c r="AI24" s="13">
        <f>IF('Données projet'!$A$62&gt;35,AI23+AH24-AQ23,IF(A24&lt;'Données projet'!$A$62,$AF$205^A24,IF(A24='Données projet'!$A$62,'Données projet'!$B$62,AI23+AH24-AQ23)))</f>
        <v>107.80000000000001</v>
      </c>
      <c r="AJ24" s="13">
        <f>AI24*VLOOKUP('Données projet'!$B$10,Paramètres!$A$1:$I$89,3,0)*VLOOKUP('Données projet'!$B$10,Paramètres!$A$1:$I$89,5,0)</f>
        <v>94.174080000000018</v>
      </c>
      <c r="AK24" s="13">
        <f t="shared" si="35"/>
        <v>25.569241067746205</v>
      </c>
      <c r="AL24" s="20">
        <f t="shared" si="4"/>
        <v>208.55295085965801</v>
      </c>
      <c r="AM24" s="59">
        <f t="shared" si="5"/>
        <v>490.8862841929913</v>
      </c>
      <c r="AN24" s="59">
        <f ca="1">AVERAGE(OFFSET($AM$3,0,0,'Données projet'!$E$10+1,1))-AVERAGE(OFFSET($H$3,0,0,'Données projet'!$E$10+1,1))</f>
        <v>321.23599968992932</v>
      </c>
      <c r="AO24" s="59">
        <f t="shared" si="36"/>
        <v>388.05195847800502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1.750635737404064</v>
      </c>
      <c r="AV24" s="21">
        <f>EXP(-LN(2)/25)*AV23+(1-EXP(-LN(2)/25))/(LN(2)/25)*Calculateur!AQ24*Calculateur!AS24*VLOOKUP('Données projet'!$B$10,Paramètres!$A$1:$I$89,3,0)*0.475*44/12</f>
        <v>4.1954752201654513</v>
      </c>
      <c r="AW24" s="21">
        <f>EXP(-LN(2)/2)*AW23+(1-EXP(-LN(2)/2))/(LN(2)/2)*AQ24*AT24*VLOOKUP('Données projet'!$B$10,Paramètres!$A$1:$I$89,3,0)*0.475*44/12</f>
        <v>11.106755310854822</v>
      </c>
      <c r="AX24" s="21">
        <f t="shared" si="6"/>
        <v>17.052866268424339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15</v>
      </c>
      <c r="BD24" s="12">
        <f>IF('Données projet'!$A$88&gt;35,BD23+BC24-BL23,IF(A24&lt;'Données projet'!$A$88,$BA$205^A24,IF(A24='Données projet'!$A$88,'Données projet'!$B$88,BD23+BC24-BL23)))</f>
        <v>112</v>
      </c>
      <c r="BE24" s="13">
        <f>BD24*VLOOKUP('Données projet'!$B$11,Paramètres!$A$1:$I$89,3,0)*VLOOKUP('Données projet'!$B$11,Paramètres!$A$1:$I$89,5,0)</f>
        <v>66.976000000000013</v>
      </c>
      <c r="BF24" s="13">
        <f t="shared" si="37"/>
        <v>18.920572617446965</v>
      </c>
      <c r="BG24" s="20">
        <f t="shared" si="7"/>
        <v>149.60319730872013</v>
      </c>
      <c r="BH24" s="59">
        <f t="shared" si="8"/>
        <v>431.93653064205341</v>
      </c>
      <c r="BI24" s="59">
        <f ca="1">AVERAGE(OFFSET($BH$3,0,0,'Données projet'!$E$11+1,1))-AVERAGE(OFFSET($H$3,0,0,'Données projet'!$E$11+1,1))</f>
        <v>258.31845364515124</v>
      </c>
      <c r="BJ24" s="59">
        <f t="shared" si="38"/>
        <v>280.26155987300996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3.2798288166453808</v>
      </c>
      <c r="BQ24" s="21">
        <f>EXP(-LN(2)/25)*BQ23+(1-EXP(-LN(2)/25))/(LN(2)/25)*Calculateur!BL24*Calculateur!BN24*VLOOKUP('Données projet'!$B$11,Paramètres!$A$1:$I$89,3,0)*0.475*44/12</f>
        <v>3.9721106668191206</v>
      </c>
      <c r="BR24" s="21">
        <f>EXP(-LN(2)/2)*BR23+(1-EXP(-LN(2)/2))/(LN(2)/2)*BL24*BO24*VLOOKUP('Données projet'!$B$11,Paramètres!$A$1:$I$89,3,0)*0.475*44/12</f>
        <v>4.2370637275917229</v>
      </c>
      <c r="BS24" s="22">
        <f t="shared" si="9"/>
        <v>11.489003211056225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10.4</v>
      </c>
      <c r="BY24" s="12">
        <f>IF('Données projet'!$A$114&gt;35,BY23+BX24-CG23,IF(A24&lt;'Données projet'!$A$114,$BV$205^A24,IF(A24='Données projet'!$A$114,'Données projet'!$B$114,BY23+BX24-CG23)))</f>
        <v>172.39999999999998</v>
      </c>
      <c r="BZ24" s="13">
        <f>BY24*VLOOKUP('Données projet'!$B$12,Paramètres!$A$1:$I$89,3,0)*VLOOKUP('Données projet'!$B$12,Paramètres!$A$1:$I$89,5,0)</f>
        <v>155.98751999999996</v>
      </c>
      <c r="CA24" s="13">
        <f t="shared" si="39"/>
        <v>39.936155927663087</v>
      </c>
      <c r="CB24" s="20">
        <f t="shared" si="10"/>
        <v>341.23373557401311</v>
      </c>
      <c r="CC24" s="59">
        <f t="shared" si="11"/>
        <v>623.56706890734642</v>
      </c>
      <c r="CD24" s="59">
        <f ca="1">AVERAGE(OFFSET($CC$3,0,0,'Données projet'!$E$12+1,1))-AVERAGE(OFFSET($H$3,0,0,'Données projet'!$E$12+1,1))</f>
        <v>366.86025470473652</v>
      </c>
      <c r="CE24" s="59">
        <f t="shared" si="40"/>
        <v>513.80016421153414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0.52953248179996204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5.6791855314872945</v>
      </c>
      <c r="CN24" s="22">
        <f t="shared" si="12"/>
        <v>6.2087180132872568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19.166666666666668</v>
      </c>
      <c r="CT24" s="12">
        <f>IF('Données projet'!$A$140&gt;35,CT23+CS24-DB23,IF(A24&lt;'Données projet'!$A$140,$CQ$205^A24,IF(A24='Données projet'!$A$140,'Données projet'!$B$140,CT23+CS24-DB23)))</f>
        <v>181.50000000000003</v>
      </c>
      <c r="CU24" s="17">
        <f>CT24*VLOOKUP('Données projet'!$B$13,Paramètres!$A$1:$I$89,3,0)*VLOOKUP('Données projet'!$B$13,Paramètres!$A$1:$I$89,5,0)</f>
        <v>99.099000000000004</v>
      </c>
      <c r="CV24" s="13">
        <f t="shared" si="41"/>
        <v>26.747233784597075</v>
      </c>
      <c r="CW24" s="20">
        <f t="shared" si="13"/>
        <v>219.18219050817322</v>
      </c>
      <c r="CX24" s="59">
        <f t="shared" si="14"/>
        <v>501.51552384150654</v>
      </c>
      <c r="CY24" s="59">
        <f ca="1">AVERAGE(OFFSET($CX$3,0,0,'Données projet'!$E$13+1,1))-AVERAGE(OFFSET($H$3,0,0,'Données projet'!$E$13+1,1))</f>
        <v>207.02306964567629</v>
      </c>
      <c r="CZ24" s="59">
        <f t="shared" si="42"/>
        <v>342.06887933351783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4.8595395672170918</v>
      </c>
      <c r="DH24" s="21">
        <f>EXP(-LN(2)/2)*DH23+(1-EXP(-LN(2)/2))/(LN(2)/2)*DB24*DE24*VLOOKUP('Données projet'!$B$13,Paramètres!$A$1:$I$89,3,0)*0.475*44/12</f>
        <v>14.297953298634683</v>
      </c>
      <c r="DI24" s="22">
        <f t="shared" si="15"/>
        <v>19.157492865851776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7">
        <f t="shared" si="1"/>
        <v>256.66666666666669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9.1999999999999993</v>
      </c>
      <c r="N25" s="13">
        <f>IF('Données projet'!$A$36&gt;35,N24+M25-V24,IF(A25&lt;'Données projet'!$A$36,$K$205^A25,IF(A25='Données projet'!$A$36,'Données projet'!$B$36,N24+M25-V24)))</f>
        <v>136.89999999999998</v>
      </c>
      <c r="O25" s="13">
        <f>N25*VLOOKUP('Données projet'!$B$9,Paramètres!$A$1:$I$89,3,0)*VLOOKUP('Données projet'!$B$9,Paramètres!$A$1:$I$89,5,0)</f>
        <v>64.069199999999995</v>
      </c>
      <c r="P25" s="13">
        <f t="shared" si="33"/>
        <v>18.193128517714101</v>
      </c>
      <c r="Q25" s="20">
        <f t="shared" si="2"/>
        <v>143.27355550168537</v>
      </c>
      <c r="R25" s="59">
        <f t="shared" si="0"/>
        <v>426.82911105724088</v>
      </c>
      <c r="S25" s="59">
        <f ca="1">AVERAGE(OFFSET($R$3,0,0,'Données projet'!$E$9+1,1))-AVERAGE(OFFSET($H$3,0,0,'Données projet'!$E$9+1,1))</f>
        <v>319.22903094674564</v>
      </c>
      <c r="T25" s="59">
        <f t="shared" si="34"/>
        <v>254.58690973142848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2.5927597510117808</v>
      </c>
      <c r="AA25" s="21">
        <f>EXP(-LN(2)/25)*AA24+(1-EXP(-LN(2)/25))/(LN(2)/25)*Calculateur!V25*Calculateur!X25*VLOOKUP('Données projet'!$B$9,Paramètres!$A$1:$I$89,3,0)*0.475*44/12</f>
        <v>2.5419571919127244</v>
      </c>
      <c r="AB25" s="21">
        <f>EXP(-LN(2)/2)*AB24+(1-EXP(-LN(2)/2))/(LN(2)/2)*V25*Y25*VLOOKUP('Données projet'!$B$9,Paramètres!$A$1:$I$89,3,0)*0.475*44/12</f>
        <v>6.2791338756222732</v>
      </c>
      <c r="AC25" s="22">
        <f t="shared" si="3"/>
        <v>11.413850818546779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13.8</v>
      </c>
      <c r="AI25" s="13">
        <f>IF('Données projet'!$A$62&gt;35,AI24+AH25-AQ24,IF(A25&lt;'Données projet'!$A$62,$AF$205^A25,IF(A25='Données projet'!$A$62,'Données projet'!$B$62,AI24+AH25-AQ24)))</f>
        <v>121.60000000000001</v>
      </c>
      <c r="AJ25" s="13">
        <f>AI25*VLOOKUP('Données projet'!$B$10,Paramètres!$A$1:$I$89,3,0)*VLOOKUP('Données projet'!$B$10,Paramètres!$A$1:$I$89,5,0)</f>
        <v>106.22976000000003</v>
      </c>
      <c r="AK25" s="13">
        <f t="shared" si="35"/>
        <v>28.440891625171492</v>
      </c>
      <c r="AL25" s="20">
        <f t="shared" si="4"/>
        <v>234.55138491384039</v>
      </c>
      <c r="AM25" s="59">
        <f t="shared" si="5"/>
        <v>518.10694046939591</v>
      </c>
      <c r="AN25" s="59">
        <f ca="1">AVERAGE(OFFSET($AM$3,0,0,'Données projet'!$E$10+1,1))-AVERAGE(OFFSET($H$3,0,0,'Données projet'!$E$10+1,1))</f>
        <v>321.23599968992932</v>
      </c>
      <c r="AO25" s="59">
        <f t="shared" si="36"/>
        <v>388.05195847800502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1.7163068383759355</v>
      </c>
      <c r="AV25" s="21">
        <f>EXP(-LN(2)/25)*AV24+(1-EXP(-LN(2)/25))/(LN(2)/25)*Calculateur!AQ25*Calculateur!AS25*VLOOKUP('Données projet'!$B$10,Paramètres!$A$1:$I$89,3,0)*0.475*44/12</f>
        <v>4.0807497296395745</v>
      </c>
      <c r="AW25" s="21">
        <f>EXP(-LN(2)/2)*AW24+(1-EXP(-LN(2)/2))/(LN(2)/2)*AQ25*AT25*VLOOKUP('Données projet'!$B$10,Paramètres!$A$1:$I$89,3,0)*0.475*44/12</f>
        <v>7.8536619972851458</v>
      </c>
      <c r="AX25" s="21">
        <f t="shared" si="6"/>
        <v>13.650718565300656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15</v>
      </c>
      <c r="BD25" s="12">
        <f>IF('Données projet'!$A$88&gt;35,BD24+BC25-BL24,IF(A25&lt;'Données projet'!$A$88,$BA$205^A25,IF(A25='Données projet'!$A$88,'Données projet'!$B$88,BD24+BC25-BL24)))</f>
        <v>127</v>
      </c>
      <c r="BE25" s="13">
        <f>BD25*VLOOKUP('Données projet'!$B$11,Paramètres!$A$1:$I$89,3,0)*VLOOKUP('Données projet'!$B$11,Paramètres!$A$1:$I$89,5,0)</f>
        <v>75.945999999999998</v>
      </c>
      <c r="BF25" s="13">
        <f t="shared" si="37"/>
        <v>21.142979995226831</v>
      </c>
      <c r="BG25" s="20">
        <f t="shared" si="7"/>
        <v>169.09664015835338</v>
      </c>
      <c r="BH25" s="59">
        <f t="shared" si="8"/>
        <v>452.6521957139089</v>
      </c>
      <c r="BI25" s="59">
        <f ca="1">AVERAGE(OFFSET($BH$3,0,0,'Données projet'!$E$11+1,1))-AVERAGE(OFFSET($H$3,0,0,'Données projet'!$E$11+1,1))</f>
        <v>258.31845364515124</v>
      </c>
      <c r="BJ25" s="59">
        <f t="shared" si="38"/>
        <v>280.26155987300996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3.2155133740490105</v>
      </c>
      <c r="BQ25" s="21">
        <f>EXP(-LN(2)/25)*BQ24+(1-EXP(-LN(2)/25))/(LN(2)/25)*Calculateur!BL25*Calculateur!BN25*VLOOKUP('Données projet'!$B$11,Paramètres!$A$1:$I$89,3,0)*0.475*44/12</f>
        <v>3.8634930917507302</v>
      </c>
      <c r="BR25" s="21">
        <f>EXP(-LN(2)/2)*BR24+(1-EXP(-LN(2)/2))/(LN(2)/2)*BL25*BO25*VLOOKUP('Données projet'!$B$11,Paramètres!$A$1:$I$89,3,0)*0.475*44/12</f>
        <v>2.9960564940996579</v>
      </c>
      <c r="BS25" s="22">
        <f t="shared" si="9"/>
        <v>10.075062959899398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10.4</v>
      </c>
      <c r="BY25" s="12">
        <f>IF('Données projet'!$A$114&gt;35,BY24+BX25-CG24,IF(A25&lt;'Données projet'!$A$114,$BV$205^A25,IF(A25='Données projet'!$A$114,'Données projet'!$B$114,BY24+BX25-CG24)))</f>
        <v>182.79999999999998</v>
      </c>
      <c r="BZ25" s="13">
        <f>BY25*VLOOKUP('Données projet'!$B$12,Paramètres!$A$1:$I$89,3,0)*VLOOKUP('Données projet'!$B$12,Paramètres!$A$1:$I$89,5,0)</f>
        <v>165.39743999999999</v>
      </c>
      <c r="CA25" s="13">
        <f t="shared" si="39"/>
        <v>42.057562385840804</v>
      </c>
      <c r="CB25" s="20">
        <f t="shared" si="10"/>
        <v>361.31746248867267</v>
      </c>
      <c r="CC25" s="59">
        <f t="shared" si="11"/>
        <v>644.87301804422827</v>
      </c>
      <c r="CD25" s="59">
        <f ca="1">AVERAGE(OFFSET($CC$3,0,0,'Données projet'!$E$12+1,1))-AVERAGE(OFFSET($H$3,0,0,'Données projet'!$E$12+1,1))</f>
        <v>366.86025470473652</v>
      </c>
      <c r="CE25" s="59">
        <f t="shared" si="40"/>
        <v>513.80016421153414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0.51914867281478672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4.0157906009311937</v>
      </c>
      <c r="CN25" s="22">
        <f t="shared" si="12"/>
        <v>4.5349392737459802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19.166666666666668</v>
      </c>
      <c r="CT25" s="12">
        <f>IF('Données projet'!$A$140&gt;35,CT24+CS25-DB24,IF(A25&lt;'Données projet'!$A$140,$CQ$205^A25,IF(A25='Données projet'!$A$140,'Données projet'!$B$140,CT24+CS25-DB24)))</f>
        <v>200.66666666666669</v>
      </c>
      <c r="CU25" s="17">
        <f>CT25*VLOOKUP('Données projet'!$B$13,Paramètres!$A$1:$I$89,3,0)*VLOOKUP('Données projet'!$B$13,Paramètres!$A$1:$I$89,5,0)</f>
        <v>109.56400000000001</v>
      </c>
      <c r="CV25" s="13">
        <f t="shared" si="41"/>
        <v>29.228235839881371</v>
      </c>
      <c r="CW25" s="20">
        <f t="shared" si="13"/>
        <v>241.72981075446003</v>
      </c>
      <c r="CX25" s="59">
        <f t="shared" si="14"/>
        <v>525.28536631001555</v>
      </c>
      <c r="CY25" s="59">
        <f ca="1">AVERAGE(OFFSET($CX$3,0,0,'Données projet'!$E$13+1,1))-AVERAGE(OFFSET($H$3,0,0,'Données projet'!$E$13+1,1))</f>
        <v>207.02306964567629</v>
      </c>
      <c r="CZ25" s="59">
        <f t="shared" si="42"/>
        <v>342.06887933351783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4.7266552021994608</v>
      </c>
      <c r="DH25" s="21">
        <f>EXP(-LN(2)/2)*DH24+(1-EXP(-LN(2)/2))/(LN(2)/2)*DB25*DE25*VLOOKUP('Données projet'!$B$13,Paramètres!$A$1:$I$89,3,0)*0.475*44/12</f>
        <v>10.110179734553151</v>
      </c>
      <c r="DI25" s="22">
        <f t="shared" si="15"/>
        <v>14.836834936752613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7">
        <f t="shared" si="1"/>
        <v>256.66666666666669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9.1999999999999993</v>
      </c>
      <c r="N26" s="13">
        <f>IF('Données projet'!$A$36&gt;35,N25+M26-V25,IF(A26&lt;'Données projet'!$A$36,$K$205^A26,IF(A26='Données projet'!$A$36,'Données projet'!$B$36,N25+M26-V25)))</f>
        <v>146.09999999999997</v>
      </c>
      <c r="O26" s="13">
        <f>N26*VLOOKUP('Données projet'!$B$9,Paramètres!$A$1:$I$89,3,0)*VLOOKUP('Données projet'!$B$9,Paramètres!$A$1:$I$89,5,0)</f>
        <v>68.374799999999979</v>
      </c>
      <c r="P26" s="13">
        <f t="shared" si="33"/>
        <v>19.269313009600907</v>
      </c>
      <c r="Q26" s="20">
        <f t="shared" si="2"/>
        <v>152.64683015838821</v>
      </c>
      <c r="R26" s="59">
        <f t="shared" si="0"/>
        <v>437.42460793616601</v>
      </c>
      <c r="S26" s="59">
        <f ca="1">AVERAGE(OFFSET($R$3,0,0,'Données projet'!$E$9+1,1))-AVERAGE(OFFSET($H$3,0,0,'Données projet'!$E$9+1,1))</f>
        <v>319.22903094674564</v>
      </c>
      <c r="T26" s="59">
        <f t="shared" si="34"/>
        <v>254.58690973142848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2.541917313721735</v>
      </c>
      <c r="AA26" s="21">
        <f>EXP(-LN(2)/25)*AA25+(1-EXP(-LN(2)/25))/(LN(2)/25)*Calculateur!V26*Calculateur!X26*VLOOKUP('Données projet'!$B$9,Paramètres!$A$1:$I$89,3,0)*0.475*44/12</f>
        <v>2.4724472388241518</v>
      </c>
      <c r="AB26" s="21">
        <f>EXP(-LN(2)/2)*AB25+(1-EXP(-LN(2)/2))/(LN(2)/2)*V26*Y26*VLOOKUP('Données projet'!$B$9,Paramètres!$A$1:$I$89,3,0)*0.475*44/12</f>
        <v>4.4400181434306774</v>
      </c>
      <c r="AC26" s="22">
        <f t="shared" si="3"/>
        <v>9.4543826959765642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13.8</v>
      </c>
      <c r="AI26" s="13">
        <f>IF('Données projet'!$A$62&gt;35,AI25+AH26-AQ25,IF(A26&lt;'Données projet'!$A$62,$AF$205^A26,IF(A26='Données projet'!$A$62,'Données projet'!$B$62,AI25+AH26-AQ25)))</f>
        <v>135.4</v>
      </c>
      <c r="AJ26" s="13">
        <f>AI26*VLOOKUP('Données projet'!$B$10,Paramètres!$A$1:$I$89,3,0)*VLOOKUP('Données projet'!$B$10,Paramètres!$A$1:$I$89,5,0)</f>
        <v>118.28544000000002</v>
      </c>
      <c r="AK26" s="13">
        <f t="shared" si="35"/>
        <v>31.274772013169596</v>
      </c>
      <c r="AL26" s="20">
        <f t="shared" si="4"/>
        <v>260.48403592293715</v>
      </c>
      <c r="AM26" s="59">
        <f t="shared" si="5"/>
        <v>545.26181370071492</v>
      </c>
      <c r="AN26" s="59">
        <f ca="1">AVERAGE(OFFSET($AM$3,0,0,'Données projet'!$E$10+1,1))-AVERAGE(OFFSET($H$3,0,0,'Données projet'!$E$10+1,1))</f>
        <v>321.23599968992932</v>
      </c>
      <c r="AO26" s="59">
        <f t="shared" si="36"/>
        <v>388.05195847800502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1.6826511081191875</v>
      </c>
      <c r="AV26" s="21">
        <f>EXP(-LN(2)/25)*AV25+(1-EXP(-LN(2)/25))/(LN(2)/25)*Calculateur!AQ26*Calculateur!AS26*VLOOKUP('Données projet'!$B$10,Paramètres!$A$1:$I$89,3,0)*0.475*44/12</f>
        <v>3.9691614136852786</v>
      </c>
      <c r="AW26" s="21">
        <f>EXP(-LN(2)/2)*AW25+(1-EXP(-LN(2)/2))/(LN(2)/2)*AQ26*AT26*VLOOKUP('Données projet'!$B$10,Paramètres!$A$1:$I$89,3,0)*0.475*44/12</f>
        <v>5.5533776554274121</v>
      </c>
      <c r="AX26" s="21">
        <f t="shared" si="6"/>
        <v>11.205190177231877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15</v>
      </c>
      <c r="BD26" s="12">
        <f>IF('Données projet'!$A$88&gt;35,BD25+BC26-BL25,IF(A26&lt;'Données projet'!$A$88,$BA$205^A26,IF(A26='Données projet'!$A$88,'Données projet'!$B$88,BD25+BC26-BL25)))</f>
        <v>142</v>
      </c>
      <c r="BE26" s="13">
        <f>BD26*VLOOKUP('Données projet'!$B$11,Paramètres!$A$1:$I$89,3,0)*VLOOKUP('Données projet'!$B$11,Paramètres!$A$1:$I$89,5,0)</f>
        <v>84.916000000000011</v>
      </c>
      <c r="BF26" s="13">
        <f t="shared" si="37"/>
        <v>23.33496813320572</v>
      </c>
      <c r="BG26" s="20">
        <f t="shared" si="7"/>
        <v>188.53710283199996</v>
      </c>
      <c r="BH26" s="59">
        <f t="shared" si="8"/>
        <v>473.31488060977773</v>
      </c>
      <c r="BI26" s="59">
        <f ca="1">AVERAGE(OFFSET($BH$3,0,0,'Données projet'!$E$11+1,1))-AVERAGE(OFFSET($H$3,0,0,'Données projet'!$E$11+1,1))</f>
        <v>258.31845364515124</v>
      </c>
      <c r="BJ26" s="59">
        <f t="shared" si="38"/>
        <v>280.26155987300996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3.1524591180534083</v>
      </c>
      <c r="BQ26" s="21">
        <f>EXP(-LN(2)/25)*BQ25+(1-EXP(-LN(2)/25))/(LN(2)/25)*Calculateur!BL26*Calculateur!BN26*VLOOKUP('Données projet'!$B$11,Paramètres!$A$1:$I$89,3,0)*0.475*44/12</f>
        <v>3.7578456699845351</v>
      </c>
      <c r="BR26" s="21">
        <f>EXP(-LN(2)/2)*BR25+(1-EXP(-LN(2)/2))/(LN(2)/2)*BL26*BO26*VLOOKUP('Données projet'!$B$11,Paramètres!$A$1:$I$89,3,0)*0.475*44/12</f>
        <v>2.1185318637958614</v>
      </c>
      <c r="BS26" s="22">
        <f t="shared" si="9"/>
        <v>9.0288366518338048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10.4</v>
      </c>
      <c r="BY26" s="12">
        <f>IF('Données projet'!$A$114&gt;35,BY25+BX26-CG25,IF(A26&lt;'Données projet'!$A$114,$BV$205^A26,IF(A26='Données projet'!$A$114,'Données projet'!$B$114,BY25+BX26-CG25)))</f>
        <v>193.2</v>
      </c>
      <c r="BZ26" s="13">
        <f>BY26*VLOOKUP('Données projet'!$B$12,Paramètres!$A$1:$I$89,3,0)*VLOOKUP('Données projet'!$B$12,Paramètres!$A$1:$I$89,5,0)</f>
        <v>174.80735999999999</v>
      </c>
      <c r="CA26" s="13">
        <f t="shared" si="39"/>
        <v>44.164958649772579</v>
      </c>
      <c r="CB26" s="20">
        <f t="shared" si="10"/>
        <v>381.37678831502052</v>
      </c>
      <c r="CC26" s="59">
        <f t="shared" si="11"/>
        <v>666.15456609279829</v>
      </c>
      <c r="CD26" s="59">
        <f ca="1">AVERAGE(OFFSET($CC$3,0,0,'Données projet'!$E$12+1,1))-AVERAGE(OFFSET($H$3,0,0,'Données projet'!$E$12+1,1))</f>
        <v>366.86025470473652</v>
      </c>
      <c r="CE26" s="59">
        <f t="shared" si="40"/>
        <v>513.80016421153414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0.50896848399031258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2.8395927657436482</v>
      </c>
      <c r="CN26" s="22">
        <f t="shared" si="12"/>
        <v>3.3485612497339607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19.166666666666668</v>
      </c>
      <c r="CT26" s="12">
        <f>IF('Données projet'!$A$140&gt;35,CT25+CS26-DB25,IF(A26&lt;'Données projet'!$A$140,$CQ$205^A26,IF(A26='Données projet'!$A$140,'Données projet'!$B$140,CT25+CS26-DB25)))</f>
        <v>219.83333333333334</v>
      </c>
      <c r="CU26" s="17">
        <f>CT26*VLOOKUP('Données projet'!$B$13,Paramètres!$A$1:$I$89,3,0)*VLOOKUP('Données projet'!$B$13,Paramètres!$A$1:$I$89,5,0)</f>
        <v>120.029</v>
      </c>
      <c r="CV26" s="13">
        <f t="shared" si="41"/>
        <v>31.68176297276506</v>
      </c>
      <c r="CW26" s="20">
        <f t="shared" si="13"/>
        <v>264.22957884423249</v>
      </c>
      <c r="CX26" s="59">
        <f t="shared" si="14"/>
        <v>549.00735662201032</v>
      </c>
      <c r="CY26" s="59">
        <f ca="1">AVERAGE(OFFSET($CX$3,0,0,'Données projet'!$E$13+1,1))-AVERAGE(OFFSET($H$3,0,0,'Données projet'!$E$13+1,1))</f>
        <v>207.02306964567629</v>
      </c>
      <c r="CZ26" s="59">
        <f t="shared" si="42"/>
        <v>342.06887933351783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4.5974045671313224</v>
      </c>
      <c r="DH26" s="21">
        <f>EXP(-LN(2)/2)*DH25+(1-EXP(-LN(2)/2))/(LN(2)/2)*DB26*DE26*VLOOKUP('Données projet'!$B$13,Paramètres!$A$1:$I$89,3,0)*0.475*44/12</f>
        <v>7.1489766493173423</v>
      </c>
      <c r="DI26" s="22">
        <f t="shared" si="15"/>
        <v>11.746381216448665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7">
        <f t="shared" si="1"/>
        <v>256.66666666666669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9.1999999999999993</v>
      </c>
      <c r="N27" s="13">
        <f>IF('Données projet'!$A$36&gt;35,N26+M27-V26,IF(A27&lt;'Données projet'!$A$36,$K$205^A27,IF(A27='Données projet'!$A$36,'Données projet'!$B$36,N26+M27-V26)))</f>
        <v>155.29999999999995</v>
      </c>
      <c r="O27" s="13">
        <f>N27*VLOOKUP('Données projet'!$B$9,Paramètres!$A$1:$I$89,3,0)*VLOOKUP('Données projet'!$B$9,Paramètres!$A$1:$I$89,5,0)</f>
        <v>72.680399999999977</v>
      </c>
      <c r="P27" s="13">
        <f t="shared" si="33"/>
        <v>20.337632665681216</v>
      </c>
      <c r="Q27" s="20">
        <f t="shared" si="2"/>
        <v>162.00640689272805</v>
      </c>
      <c r="R27" s="59">
        <f t="shared" si="0"/>
        <v>448.00640689272802</v>
      </c>
      <c r="S27" s="59">
        <f ca="1">AVERAGE(OFFSET($R$3,0,0,'Données projet'!$E$9+1,1))-AVERAGE(OFFSET($H$3,0,0,'Données projet'!$E$9+1,1))</f>
        <v>319.22903094674564</v>
      </c>
      <c r="T27" s="59">
        <f t="shared" si="34"/>
        <v>254.58690973142848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2.492071865616122</v>
      </c>
      <c r="AA27" s="21">
        <f>EXP(-LN(2)/25)*AA26+(1-EXP(-LN(2)/25))/(LN(2)/25)*Calculateur!V27*Calculateur!X27*VLOOKUP('Données projet'!$B$9,Paramètres!$A$1:$I$89,3,0)*0.475*44/12</f>
        <v>2.4048380390581561</v>
      </c>
      <c r="AB27" s="21">
        <f>EXP(-LN(2)/2)*AB26+(1-EXP(-LN(2)/2))/(LN(2)/2)*V27*Y27*VLOOKUP('Données projet'!$B$9,Paramètres!$A$1:$I$89,3,0)*0.475*44/12</f>
        <v>3.139566937811137</v>
      </c>
      <c r="AC27" s="22">
        <f t="shared" si="3"/>
        <v>8.0364768424854152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13.8</v>
      </c>
      <c r="AI27" s="13">
        <f>IF('Données projet'!$A$62&gt;35,AI26+AH27-AQ26,IF(A27&lt;'Données projet'!$A$62,$AF$205^A27,IF(A27='Données projet'!$A$62,'Données projet'!$B$62,AI26+AH27-AQ26)))</f>
        <v>149.20000000000002</v>
      </c>
      <c r="AJ27" s="13">
        <f>AI27*VLOOKUP('Données projet'!$B$10,Paramètres!$A$1:$I$89,3,0)*VLOOKUP('Données projet'!$B$10,Paramètres!$A$1:$I$89,5,0)</f>
        <v>130.34112000000005</v>
      </c>
      <c r="AK27" s="13">
        <f t="shared" si="35"/>
        <v>34.075170122989917</v>
      </c>
      <c r="AL27" s="20">
        <f t="shared" si="4"/>
        <v>286.35837196420749</v>
      </c>
      <c r="AM27" s="59">
        <f t="shared" si="5"/>
        <v>572.35837196420744</v>
      </c>
      <c r="AN27" s="59">
        <f ca="1">AVERAGE(OFFSET($AM$3,0,0,'Données projet'!$E$10+1,1))-AVERAGE(OFFSET($H$3,0,0,'Données projet'!$E$10+1,1))</f>
        <v>321.23599968992932</v>
      </c>
      <c r="AO27" s="59">
        <f t="shared" si="36"/>
        <v>388.05195847800502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1.6496553462048058</v>
      </c>
      <c r="AV27" s="21">
        <f>EXP(-LN(2)/25)*AV26+(1-EXP(-LN(2)/25))/(LN(2)/25)*Calculateur!AQ27*Calculateur!AS27*VLOOKUP('Données projet'!$B$10,Paramètres!$A$1:$I$89,3,0)*0.475*44/12</f>
        <v>3.8606244860989274</v>
      </c>
      <c r="AW27" s="21">
        <f>EXP(-LN(2)/2)*AW26+(1-EXP(-LN(2)/2))/(LN(2)/2)*AQ27*AT27*VLOOKUP('Données projet'!$B$10,Paramètres!$A$1:$I$89,3,0)*0.475*44/12</f>
        <v>3.9268309986425738</v>
      </c>
      <c r="AX27" s="21">
        <f t="shared" si="6"/>
        <v>9.4371108309463061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157</v>
      </c>
      <c r="BB27" s="12">
        <f>VLOOKUP(A27,'Données projet'!$A$87:$I$107,9,0)</f>
        <v>15</v>
      </c>
      <c r="BC27" s="12">
        <f t="array" ref="BC27">INDEX(BB:BB,MIN(IF(ISNUMBER(BB27:BB223),ROW(BB27:BB223),"")))</f>
        <v>15</v>
      </c>
      <c r="BD27" s="12">
        <f>IF('Données projet'!$A$88&gt;35,BD26+BC27-BL26,IF(A27&lt;'Données projet'!$A$88,$BA$205^A27,IF(A27='Données projet'!$A$88,'Données projet'!$B$88,BD26+BC27-BL26)))</f>
        <v>157</v>
      </c>
      <c r="BE27" s="13">
        <f>BD27*VLOOKUP('Données projet'!$B$11,Paramètres!$A$1:$I$89,3,0)*VLOOKUP('Données projet'!$B$11,Paramètres!$A$1:$I$89,5,0)</f>
        <v>93.885999999999996</v>
      </c>
      <c r="BF27" s="13">
        <f t="shared" si="37"/>
        <v>25.500116461916402</v>
      </c>
      <c r="BG27" s="20">
        <f t="shared" si="7"/>
        <v>207.9308195045044</v>
      </c>
      <c r="BH27" s="59">
        <f t="shared" si="8"/>
        <v>493.93081950450437</v>
      </c>
      <c r="BI27" s="59">
        <f ca="1">AVERAGE(OFFSET($BH$3,0,0,'Données projet'!$E$11+1,1))-AVERAGE(OFFSET($H$3,0,0,'Données projet'!$E$11+1,1))</f>
        <v>258.31845364515124</v>
      </c>
      <c r="BJ27" s="59">
        <f t="shared" si="38"/>
        <v>280.26155987300996</v>
      </c>
      <c r="BK27" s="15">
        <f>IF(ISNA(VLOOKUP(A27,'Données projet'!$A$87:$I$107,3,0)),0,VLOOKUP(A27,'Données projet'!$A$87:$I$107,3,0))</f>
        <v>4</v>
      </c>
      <c r="BL27" s="15">
        <f>IF(ISNA(VLOOKUP(A27,'Données projet'!$A$87:$I$107,4,0)),0,VLOOKUP(A27,'Données projet'!$A$87:$I$107,4,0))</f>
        <v>31</v>
      </c>
      <c r="BM27" s="16">
        <f>IF(ISNA(VLOOKUP(A27,'Données projet'!$A$87:$I$107,5,0)),0%,VLOOKUP(A27,'Données projet'!$A$87:$I$107,5,0)*VLOOKUP('Données projet'!$B$11,Paramètres!$A$1:$I$89,7,0))</f>
        <v>0.18000000000000002</v>
      </c>
      <c r="BN27" s="16">
        <f>IF(ISNA(VLOOKUP(A27,'Données projet'!$A$87:$I$107,6,0)),0%,VLOOKUP(A27,'Données projet'!$A$87:$I$107,6,0)*VLOOKUP('Données projet'!$B$11,Paramètres!$A$1:$I$89,7,0))</f>
        <v>0.13500000000000001</v>
      </c>
      <c r="BO27" s="16">
        <f>IF(ISNA(VLOOKUP(A27,'Données projet'!$A$87:$I$107,7,0)),0%,VLOOKUP(A27,'Données projet'!$A$87:$I$107,7,0))</f>
        <v>0.3</v>
      </c>
      <c r="BP27" s="21">
        <f>EXP(-LN(2)/35)*BP26+(1-EXP(-LN(2)/35))/(LN(2)/35)*BL27*BM27*VLOOKUP('Données projet'!$B$11,Paramètres!$A$1:$I$89,3,0)*0.475*44/12</f>
        <v>7.517174655047457</v>
      </c>
      <c r="BQ27" s="21">
        <f>EXP(-LN(2)/25)*BQ26+(1-EXP(-LN(2)/25))/(LN(2)/25)*Calculateur!BL27*Calculateur!BN27*VLOOKUP('Données projet'!$B$11,Paramètres!$A$1:$I$89,3,0)*0.475*44/12</f>
        <v>6.9619154743456049</v>
      </c>
      <c r="BR27" s="21">
        <f>EXP(-LN(2)/2)*BR26+(1-EXP(-LN(2)/2))/(LN(2)/2)*BL27*BO27*VLOOKUP('Données projet'!$B$11,Paramètres!$A$1:$I$89,3,0)*0.475*44/12</f>
        <v>7.7948249465135167</v>
      </c>
      <c r="BS27" s="22">
        <f t="shared" si="9"/>
        <v>22.273915075906579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10.4</v>
      </c>
      <c r="BY27" s="12">
        <f>IF('Données projet'!$A$114&gt;35,BY26+BX27-CG26,IF(A27&lt;'Données projet'!$A$114,$BV$205^A27,IF(A27='Données projet'!$A$114,'Données projet'!$B$114,BY26+BX27-CG26)))</f>
        <v>203.6</v>
      </c>
      <c r="BZ27" s="13">
        <f>BY27*VLOOKUP('Données projet'!$B$12,Paramètres!$A$1:$I$89,3,0)*VLOOKUP('Données projet'!$B$12,Paramètres!$A$1:$I$89,5,0)</f>
        <v>184.21727999999999</v>
      </c>
      <c r="CA27" s="13">
        <f t="shared" si="39"/>
        <v>46.25918487744358</v>
      </c>
      <c r="CB27" s="20">
        <f t="shared" si="10"/>
        <v>401.41317632821421</v>
      </c>
      <c r="CC27" s="59">
        <f t="shared" si="11"/>
        <v>687.41317632821415</v>
      </c>
      <c r="CD27" s="59">
        <f ca="1">AVERAGE(OFFSET($CC$3,0,0,'Données projet'!$E$12+1,1))-AVERAGE(OFFSET($H$3,0,0,'Données projet'!$E$12+1,1))</f>
        <v>366.86025470473652</v>
      </c>
      <c r="CE27" s="59">
        <f t="shared" si="40"/>
        <v>513.80016421153414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0.49898792245938439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2.0078953004655973</v>
      </c>
      <c r="CN27" s="22">
        <f t="shared" si="12"/>
        <v>2.5068832229249818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>
        <f>VLOOKUP(A27,'Données projet'!$A$139:$I$159,2,0)</f>
        <v>239</v>
      </c>
      <c r="CR27" s="12">
        <f>VLOOKUP(A27,'Données projet'!$A$139:$I$159,9,0)</f>
        <v>19.166666666666668</v>
      </c>
      <c r="CS27" s="12">
        <f t="array" ref="CS27">INDEX(CR:CR,MIN(IF(ISNUMBER(CR27:CR223),ROW(CR27:CR223),"")))</f>
        <v>19.166666666666668</v>
      </c>
      <c r="CT27" s="12">
        <f>IF('Données projet'!$A$140&gt;35,CT26+CS27-DB26,IF(A27&lt;'Données projet'!$A$140,$CQ$205^A27,IF(A27='Données projet'!$A$140,'Données projet'!$B$140,CT26+CS27-DB26)))</f>
        <v>239</v>
      </c>
      <c r="CU27" s="17">
        <f>CT27*VLOOKUP('Données projet'!$B$13,Paramètres!$A$1:$I$89,3,0)*VLOOKUP('Données projet'!$B$13,Paramètres!$A$1:$I$89,5,0)</f>
        <v>130.494</v>
      </c>
      <c r="CV27" s="13">
        <f t="shared" si="41"/>
        <v>34.110483018610772</v>
      </c>
      <c r="CW27" s="20">
        <f t="shared" si="13"/>
        <v>286.68614125741374</v>
      </c>
      <c r="CX27" s="59">
        <f t="shared" si="14"/>
        <v>572.68614125741374</v>
      </c>
      <c r="CY27" s="59">
        <f ca="1">AVERAGE(OFFSET($CX$3,0,0,'Données projet'!$E$13+1,1))-AVERAGE(OFFSET($H$3,0,0,'Données projet'!$E$13+1,1))</f>
        <v>207.02306964567629</v>
      </c>
      <c r="CZ27" s="59">
        <f t="shared" si="42"/>
        <v>342.06887933351783</v>
      </c>
      <c r="DA27" s="15">
        <f>IF(ISNA(VLOOKUP(A27,'Données projet'!$A$139:$I$159,3,0)),0,VLOOKUP(A27,'Données projet'!$A$139:$I$159,3,0))</f>
        <v>4</v>
      </c>
      <c r="DB27" s="15">
        <f>IF(ISNA(VLOOKUP(A27,'Données projet'!$A$139:$I$159,4,0)),0,VLOOKUP(A27,'Données projet'!$A$139:$I$159,4,0))</f>
        <v>84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0.3</v>
      </c>
      <c r="DE27" s="16">
        <f>IF(ISNA(VLOOKUP(A27,'Données projet'!$A$139:$I$159,7,0)),0%,VLOOKUP(A27,'Données projet'!$A$139:$I$159,7,0))</f>
        <v>0.5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22.652287040740333</v>
      </c>
      <c r="DH27" s="21">
        <f>EXP(-LN(2)/2)*DH26+(1-EXP(-LN(2)/2))/(LN(2)/2)*DB27*DE27*VLOOKUP('Données projet'!$B$13,Paramètres!$A$1:$I$89,3,0)*0.475*44/12</f>
        <v>31.019440914153488</v>
      </c>
      <c r="DI27" s="22">
        <f t="shared" si="15"/>
        <v>53.671727954893825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7">
        <f t="shared" si="1"/>
        <v>256.66666666666669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9.1999999999999993</v>
      </c>
      <c r="N28" s="13">
        <f>IF('Données projet'!$A$36&gt;35,N27+M28-V27,IF(A28&lt;'Données projet'!$A$36,$K$205^A28,IF(A28='Données projet'!$A$36,'Données projet'!$B$36,N27+M28-V27)))</f>
        <v>164.49999999999994</v>
      </c>
      <c r="O28" s="13">
        <f>N28*VLOOKUP('Données projet'!$B$9,Paramètres!$A$1:$I$89,3,0)*VLOOKUP('Données projet'!$B$9,Paramètres!$A$1:$I$89,5,0)</f>
        <v>76.985999999999976</v>
      </c>
      <c r="P28" s="13">
        <f t="shared" si="33"/>
        <v>21.398606468170591</v>
      </c>
      <c r="Q28" s="20">
        <f t="shared" si="2"/>
        <v>171.35318959873041</v>
      </c>
      <c r="R28" s="59">
        <f t="shared" si="0"/>
        <v>458.57541182095264</v>
      </c>
      <c r="S28" s="59">
        <f ca="1">AVERAGE(OFFSET($R$3,0,0,'Données projet'!$E$9+1,1))-AVERAGE(OFFSET($H$3,0,0,'Données projet'!$E$9+1,1))</f>
        <v>319.22903094674564</v>
      </c>
      <c r="T28" s="59">
        <f t="shared" si="34"/>
        <v>254.58690973142848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2.4432038563451388</v>
      </c>
      <c r="AA28" s="21">
        <f>EXP(-LN(2)/25)*AA27+(1-EXP(-LN(2)/25))/(LN(2)/25)*Calculateur!V28*Calculateur!X28*VLOOKUP('Données projet'!$B$9,Paramètres!$A$1:$I$89,3,0)*0.475*44/12</f>
        <v>2.3390776164151745</v>
      </c>
      <c r="AB28" s="21">
        <f>EXP(-LN(2)/2)*AB27+(1-EXP(-LN(2)/2))/(LN(2)/2)*V28*Y28*VLOOKUP('Données projet'!$B$9,Paramètres!$A$1:$I$89,3,0)*0.475*44/12</f>
        <v>2.2200090717153387</v>
      </c>
      <c r="AC28" s="22">
        <f t="shared" si="3"/>
        <v>7.0022905444756525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163</v>
      </c>
      <c r="AG28" s="12">
        <f>VLOOKUP(A28,'Données projet'!$A$61:$I$81,9,0)</f>
        <v>13.8</v>
      </c>
      <c r="AH28" s="12">
        <f t="array" ref="AH28">INDEX(AG:AG,MIN(IF(ISNUMBER(AG28:AG224),ROW(AG28:AG224),"")))</f>
        <v>13.8</v>
      </c>
      <c r="AI28" s="13">
        <f>IF('Données projet'!$A$62&gt;35,AI27+AH28-AQ27,IF(A28&lt;'Données projet'!$A$62,$AF$205^A28,IF(A28='Données projet'!$A$62,'Données projet'!$B$62,AI27+AH28-AQ27)))</f>
        <v>163.00000000000003</v>
      </c>
      <c r="AJ28" s="13">
        <f>AI28*VLOOKUP('Données projet'!$B$10,Paramètres!$A$1:$I$89,3,0)*VLOOKUP('Données projet'!$B$10,Paramètres!$A$1:$I$89,5,0)</f>
        <v>142.39680000000004</v>
      </c>
      <c r="AK28" s="13">
        <f t="shared" si="35"/>
        <v>36.845535084476985</v>
      </c>
      <c r="AL28" s="20">
        <f t="shared" si="4"/>
        <v>312.18040027213078</v>
      </c>
      <c r="AM28" s="59">
        <f t="shared" si="5"/>
        <v>599.40262249435295</v>
      </c>
      <c r="AN28" s="59">
        <f ca="1">AVERAGE(OFFSET($AM$3,0,0,'Données projet'!$E$10+1,1))-AVERAGE(OFFSET($H$3,0,0,'Données projet'!$E$10+1,1))</f>
        <v>321.23599968992932</v>
      </c>
      <c r="AO28" s="59">
        <f t="shared" si="36"/>
        <v>388.05195847800502</v>
      </c>
      <c r="AP28" s="15">
        <f>IF(ISNA(VLOOKUP(A28,'Données projet'!$A$61:$I$81,3,0)),0,VLOOKUP(A28,'Données projet'!$A$61:$I$81,3,0))</f>
        <v>3</v>
      </c>
      <c r="AQ28" s="15">
        <f>IF(ISNA(VLOOKUP(A28,'Données projet'!$A$61:$I$81,4,0)),0,VLOOKUP(A28,'Données projet'!$A$61:$I$81,4,0))</f>
        <v>44</v>
      </c>
      <c r="AR28" s="16">
        <f>IF(ISNA(VLOOKUP(A28,'Données projet'!$A$61:$I$81,5,0)),0%,VLOOKUP(A28,'Données projet'!$A$61:$I$81,5,0)*VLOOKUP('Données projet'!$B$10,Paramètres!$A$1:$I$89,7,0))</f>
        <v>4.3000000000000003E-2</v>
      </c>
      <c r="AS28" s="16">
        <f>IF(ISNA(VLOOKUP(A28,'Données projet'!$A$61:$I$81,6,0)),0%,VLOOKUP(A28,'Données projet'!$A$61:$I$81,6,0)*VLOOKUP('Données projet'!$B$10,Paramètres!$A$1:$I$89,7,0))</f>
        <v>0.129</v>
      </c>
      <c r="AT28" s="16">
        <f>IF(ISNA(VLOOKUP(A28,'Données projet'!$A$61:$I$81,7,0)),0%,VLOOKUP(A28,'Données projet'!$A$61:$I$81,7,0))</f>
        <v>0.3</v>
      </c>
      <c r="AU28" s="21">
        <f>EXP(-LN(2)/35)*AU27+(1-EXP(-LN(2)/35))/(LN(2)/35)*AQ28*AR28*VLOOKUP('Données projet'!$B$10,Paramètres!$A$1:$I$89,3,0)*0.475*44/12</f>
        <v>3.4444846544316299</v>
      </c>
      <c r="AV28" s="21">
        <f>EXP(-LN(2)/25)*AV27+(1-EXP(-LN(2)/25))/(LN(2)/25)*Calculateur!AQ28*Calculateur!AS28*VLOOKUP('Données projet'!$B$10,Paramètres!$A$1:$I$89,3,0)*0.475*44/12</f>
        <v>9.2150067481330531</v>
      </c>
      <c r="AW28" s="21">
        <f>EXP(-LN(2)/2)*AW27+(1-EXP(-LN(2)/2))/(LN(2)/2)*AQ28*AT28*VLOOKUP('Données projet'!$B$10,Paramètres!$A$1:$I$89,3,0)*0.475*44/12</f>
        <v>13.656988314024034</v>
      </c>
      <c r="AX28" s="21">
        <f t="shared" si="6"/>
        <v>26.316479716588717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16</v>
      </c>
      <c r="BD28" s="12">
        <f>IF('Données projet'!$A$88&gt;35,BD27+BC28-BL27,IF(A28&lt;'Données projet'!$A$88,$BA$205^A28,IF(A28='Données projet'!$A$88,'Données projet'!$B$88,BD27+BC28-BL27)))</f>
        <v>142</v>
      </c>
      <c r="BE28" s="13">
        <f>BD28*VLOOKUP('Données projet'!$B$11,Paramètres!$A$1:$I$89,3,0)*VLOOKUP('Données projet'!$B$11,Paramètres!$A$1:$I$89,5,0)</f>
        <v>84.916000000000011</v>
      </c>
      <c r="BF28" s="13">
        <f t="shared" si="37"/>
        <v>23.33496813320572</v>
      </c>
      <c r="BG28" s="20">
        <f t="shared" si="7"/>
        <v>188.53710283199996</v>
      </c>
      <c r="BH28" s="59">
        <f t="shared" si="8"/>
        <v>475.75932505422219</v>
      </c>
      <c r="BI28" s="59">
        <f ca="1">AVERAGE(OFFSET($BH$3,0,0,'Données projet'!$E$11+1,1))-AVERAGE(OFFSET($H$3,0,0,'Données projet'!$E$11+1,1))</f>
        <v>258.31845364515124</v>
      </c>
      <c r="BJ28" s="59">
        <f t="shared" si="38"/>
        <v>280.26155987300996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7.3697674450857829</v>
      </c>
      <c r="BQ28" s="21">
        <f>EXP(-LN(2)/25)*BQ27+(1-EXP(-LN(2)/25))/(LN(2)/25)*Calculateur!BL28*Calculateur!BN28*VLOOKUP('Données projet'!$B$11,Paramètres!$A$1:$I$89,3,0)*0.475*44/12</f>
        <v>6.7715415295884016</v>
      </c>
      <c r="BR28" s="21">
        <f>EXP(-LN(2)/2)*BR27+(1-EXP(-LN(2)/2))/(LN(2)/2)*BL28*BO28*VLOOKUP('Données projet'!$B$11,Paramètres!$A$1:$I$89,3,0)*0.475*44/12</f>
        <v>5.511773577841776</v>
      </c>
      <c r="BS28" s="22">
        <f t="shared" si="9"/>
        <v>19.653082552515961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214</v>
      </c>
      <c r="BW28" s="12">
        <f>VLOOKUP(A28,'Données projet'!$A$113:$I$133,9,0)</f>
        <v>10.4</v>
      </c>
      <c r="BX28" s="12">
        <f t="array" ref="BX28">INDEX(BW:BW,MIN(IF(ISNUMBER(BW28:BW224),ROW(BW28:BW224),"")))</f>
        <v>10.4</v>
      </c>
      <c r="BY28" s="12">
        <f>IF('Données projet'!$A$114&gt;35,BY27+BX28-CG27,IF(A28&lt;'Données projet'!$A$114,$BV$205^A28,IF(A28='Données projet'!$A$114,'Données projet'!$B$114,BY27+BX28-CG27)))</f>
        <v>214</v>
      </c>
      <c r="BZ28" s="13">
        <f>BY28*VLOOKUP('Données projet'!$B$12,Paramètres!$A$1:$I$89,3,0)*VLOOKUP('Données projet'!$B$12,Paramètres!$A$1:$I$89,5,0)</f>
        <v>193.62719999999999</v>
      </c>
      <c r="CA28" s="13">
        <f t="shared" si="39"/>
        <v>48.340990547231193</v>
      </c>
      <c r="CB28" s="20">
        <f t="shared" si="10"/>
        <v>421.42793186976093</v>
      </c>
      <c r="CC28" s="59">
        <f t="shared" si="11"/>
        <v>708.65015409198315</v>
      </c>
      <c r="CD28" s="59">
        <f ca="1">AVERAGE(OFFSET($CC$3,0,0,'Données projet'!$E$12+1,1))-AVERAGE(OFFSET($H$3,0,0,'Données projet'!$E$12+1,1))</f>
        <v>366.86025470473652</v>
      </c>
      <c r="CE28" s="59">
        <f t="shared" si="40"/>
        <v>513.80016421153414</v>
      </c>
      <c r="CF28" s="15">
        <f>IF(ISNA(VLOOKUP(A28,'Données projet'!$A$113:$I$133,3,0)),0,VLOOKUP(A28,'Données projet'!$A$113:$I$133,3,0))</f>
        <v>5</v>
      </c>
      <c r="CG28" s="15">
        <f>IF(ISNA(VLOOKUP(A28,'Données projet'!$A$113:$I$133,4,0)),0,VLOOKUP(A28,'Données projet'!$A$113:$I$133,4,0))</f>
        <v>14</v>
      </c>
      <c r="CH28" s="16">
        <f>IF(ISNA(VLOOKUP(A28,'Données projet'!$A$113:$I$133,5,0)),0%,VLOOKUP(A28,'Données projet'!$A$113:$I$133,5,0)*VLOOKUP('Données projet'!$B$12,Paramètres!$A$1:$I$89,7,0))</f>
        <v>0.09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0.3</v>
      </c>
      <c r="CK28" s="21">
        <f>EXP(-LN(2)/35)*CK27+(1-EXP(-LN(2)/35))/(LN(2)/35)*CG28*CH28*VLOOKUP('Données projet'!$B$12,Paramètres!$A$1:$I$89,3,0)*0.475*44/12</f>
        <v>1.7494923688983168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5.0053496226786365</v>
      </c>
      <c r="CN28" s="22">
        <f t="shared" si="12"/>
        <v>6.7548419915769529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16.666666666666668</v>
      </c>
      <c r="CT28" s="12">
        <f>IF('Données projet'!$A$140&gt;35,CT27+CS28-DB27,IF(A28&lt;'Données projet'!$A$140,$CQ$205^A28,IF(A28='Données projet'!$A$140,'Données projet'!$B$140,CT27+CS28-DB27)))</f>
        <v>171.66666666666666</v>
      </c>
      <c r="CU28" s="17">
        <f>CT28*VLOOKUP('Données projet'!$B$13,Paramètres!$A$1:$I$89,3,0)*VLOOKUP('Données projet'!$B$13,Paramètres!$A$1:$I$89,5,0)</f>
        <v>93.72999999999999</v>
      </c>
      <c r="CV28" s="13">
        <f t="shared" si="41"/>
        <v>25.462674063925309</v>
      </c>
      <c r="CW28" s="20">
        <f t="shared" si="13"/>
        <v>207.59390732800321</v>
      </c>
      <c r="CX28" s="59">
        <f t="shared" si="14"/>
        <v>494.81612955022547</v>
      </c>
      <c r="CY28" s="59">
        <f ca="1">AVERAGE(OFFSET($CX$3,0,0,'Données projet'!$E$13+1,1))-AVERAGE(OFFSET($H$3,0,0,'Données projet'!$E$13+1,1))</f>
        <v>207.02306964567629</v>
      </c>
      <c r="CZ28" s="59">
        <f t="shared" si="42"/>
        <v>342.06887933351783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22.032859060379288</v>
      </c>
      <c r="DH28" s="21">
        <f>EXP(-LN(2)/2)*DH27+(1-EXP(-LN(2)/2))/(LN(2)/2)*DB28*DE28*VLOOKUP('Données projet'!$B$13,Paramètres!$A$1:$I$89,3,0)*0.475*44/12</f>
        <v>21.934057019013373</v>
      </c>
      <c r="DI28" s="22">
        <f t="shared" si="15"/>
        <v>43.966916079392661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7">
        <f t="shared" si="1"/>
        <v>256.66666666666669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9.1999999999999993</v>
      </c>
      <c r="N29" s="13">
        <f>IF('Données projet'!$A$36&gt;35,N28+M29-V28,IF(A29&lt;'Données projet'!$A$36,$K$205^A29,IF(A29='Données projet'!$A$36,'Données projet'!$B$36,N28+M29-V28)))</f>
        <v>173.69999999999993</v>
      </c>
      <c r="O29" s="13">
        <f>N29*VLOOKUP('Données projet'!$B$9,Paramètres!$A$1:$I$89,3,0)*VLOOKUP('Données projet'!$B$9,Paramètres!$A$1:$I$89,5,0)</f>
        <v>81.291599999999974</v>
      </c>
      <c r="P29" s="13">
        <f t="shared" si="33"/>
        <v>22.452692070336486</v>
      </c>
      <c r="Q29" s="20">
        <f t="shared" si="2"/>
        <v>180.68797535583599</v>
      </c>
      <c r="R29" s="59">
        <f t="shared" si="0"/>
        <v>469.13241980028045</v>
      </c>
      <c r="S29" s="59">
        <f ca="1">AVERAGE(OFFSET($R$3,0,0,'Données projet'!$E$9+1,1))-AVERAGE(OFFSET($H$3,0,0,'Données projet'!$E$9+1,1))</f>
        <v>319.22903094674564</v>
      </c>
      <c r="T29" s="59">
        <f t="shared" si="34"/>
        <v>254.58690973142848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2.3952941189294172</v>
      </c>
      <c r="AA29" s="21">
        <f>EXP(-LN(2)/25)*AA28+(1-EXP(-LN(2)/25))/(LN(2)/25)*Calculateur!V29*Calculateur!X29*VLOOKUP('Données projet'!$B$9,Paramètres!$A$1:$I$89,3,0)*0.475*44/12</f>
        <v>2.275115415987556</v>
      </c>
      <c r="AB29" s="21">
        <f>EXP(-LN(2)/2)*AB28+(1-EXP(-LN(2)/2))/(LN(2)/2)*V29*Y29*VLOOKUP('Données projet'!$B$9,Paramètres!$A$1:$I$89,3,0)*0.475*44/12</f>
        <v>1.5697834689055685</v>
      </c>
      <c r="AC29" s="22">
        <f t="shared" si="3"/>
        <v>6.2401930038225419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13</v>
      </c>
      <c r="AI29" s="13">
        <f>IF('Données projet'!$A$62&gt;35,AI28+AH29-AQ28,IF(A29&lt;'Données projet'!$A$62,$AF$205^A29,IF(A29='Données projet'!$A$62,'Données projet'!$B$62,AI28+AH29-AQ28)))</f>
        <v>132.00000000000003</v>
      </c>
      <c r="AJ29" s="13">
        <f>AI29*VLOOKUP('Données projet'!$B$10,Paramètres!$A$1:$I$89,3,0)*VLOOKUP('Données projet'!$B$10,Paramètres!$A$1:$I$89,5,0)</f>
        <v>115.31520000000003</v>
      </c>
      <c r="AK29" s="13">
        <f t="shared" si="35"/>
        <v>30.579827148797317</v>
      </c>
      <c r="AL29" s="20">
        <f t="shared" si="4"/>
        <v>254.10050561748869</v>
      </c>
      <c r="AM29" s="59">
        <f t="shared" si="5"/>
        <v>542.54495006193315</v>
      </c>
      <c r="AN29" s="59">
        <f ca="1">AVERAGE(OFFSET($AM$3,0,0,'Données projet'!$E$10+1,1))-AVERAGE(OFFSET($H$3,0,0,'Données projet'!$E$10+1,1))</f>
        <v>321.23599968992932</v>
      </c>
      <c r="AO29" s="59">
        <f t="shared" si="36"/>
        <v>388.05195847800502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3.3769404112864154</v>
      </c>
      <c r="AV29" s="21">
        <f>EXP(-LN(2)/25)*AV28+(1-EXP(-LN(2)/25))/(LN(2)/25)*Calculateur!AQ29*Calculateur!AS29*VLOOKUP('Données projet'!$B$10,Paramètres!$A$1:$I$89,3,0)*0.475*44/12</f>
        <v>8.9630219040092118</v>
      </c>
      <c r="AW29" s="21">
        <f>EXP(-LN(2)/2)*AW28+(1-EXP(-LN(2)/2))/(LN(2)/2)*AQ29*AT29*VLOOKUP('Données projet'!$B$10,Paramètres!$A$1:$I$89,3,0)*0.475*44/12</f>
        <v>9.65694904743183</v>
      </c>
      <c r="AX29" s="21">
        <f t="shared" si="6"/>
        <v>21.99691136272746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16</v>
      </c>
      <c r="BD29" s="12">
        <f>IF('Données projet'!$A$88&gt;35,BD28+BC29-BL28,IF(A29&lt;'Données projet'!$A$88,$BA$205^A29,IF(A29='Données projet'!$A$88,'Données projet'!$B$88,BD28+BC29-BL28)))</f>
        <v>158</v>
      </c>
      <c r="BE29" s="13">
        <f>BD29*VLOOKUP('Données projet'!$B$11,Paramètres!$A$1:$I$89,3,0)*VLOOKUP('Données projet'!$B$11,Paramètres!$A$1:$I$89,5,0)</f>
        <v>94.484000000000009</v>
      </c>
      <c r="BF29" s="13">
        <f t="shared" si="37"/>
        <v>25.643578691511802</v>
      </c>
      <c r="BG29" s="20">
        <f t="shared" si="7"/>
        <v>209.22219955438308</v>
      </c>
      <c r="BH29" s="59">
        <f t="shared" si="8"/>
        <v>497.66664399882757</v>
      </c>
      <c r="BI29" s="59">
        <f ca="1">AVERAGE(OFFSET($BH$3,0,0,'Données projet'!$E$11+1,1))-AVERAGE(OFFSET($H$3,0,0,'Données projet'!$E$11+1,1))</f>
        <v>258.31845364515124</v>
      </c>
      <c r="BJ29" s="59">
        <f t="shared" si="38"/>
        <v>280.26155987300996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7.2252508006019367</v>
      </c>
      <c r="BQ29" s="21">
        <f>EXP(-LN(2)/25)*BQ28+(1-EXP(-LN(2)/25))/(LN(2)/25)*Calculateur!BL29*Calculateur!BN29*VLOOKUP('Données projet'!$B$11,Paramètres!$A$1:$I$89,3,0)*0.475*44/12</f>
        <v>6.5863733703619145</v>
      </c>
      <c r="BR29" s="21">
        <f>EXP(-LN(2)/2)*BR28+(1-EXP(-LN(2)/2))/(LN(2)/2)*BL29*BO29*VLOOKUP('Données projet'!$B$11,Paramètres!$A$1:$I$89,3,0)*0.475*44/12</f>
        <v>3.8974124732567592</v>
      </c>
      <c r="BS29" s="22">
        <f t="shared" si="9"/>
        <v>17.70903664422061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8.6</v>
      </c>
      <c r="BY29" s="12">
        <f>IF('Données projet'!$A$114&gt;35,BY28+BX29-CG28,IF(A29&lt;'Données projet'!$A$114,$BV$205^A29,IF(A29='Données projet'!$A$114,'Données projet'!$B$114,BY28+BX29-CG28)))</f>
        <v>208.6</v>
      </c>
      <c r="BZ29" s="13">
        <f>BY29*VLOOKUP('Données projet'!$B$12,Paramètres!$A$1:$I$89,3,0)*VLOOKUP('Données projet'!$B$12,Paramètres!$A$1:$I$89,5,0)</f>
        <v>188.74127999999999</v>
      </c>
      <c r="CA29" s="13">
        <f t="shared" si="39"/>
        <v>47.261560168122358</v>
      </c>
      <c r="CB29" s="20">
        <f t="shared" si="10"/>
        <v>411.03827995947972</v>
      </c>
      <c r="CC29" s="59">
        <f t="shared" si="11"/>
        <v>699.48272440392418</v>
      </c>
      <c r="CD29" s="59">
        <f ca="1">AVERAGE(OFFSET($CC$3,0,0,'Données projet'!$E$12+1,1))-AVERAGE(OFFSET($H$3,0,0,'Données projet'!$E$12+1,1))</f>
        <v>366.86025470473652</v>
      </c>
      <c r="CE29" s="59">
        <f t="shared" si="40"/>
        <v>513.80016421153414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1.7151858906291999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3.539316660405591</v>
      </c>
      <c r="CN29" s="22">
        <f t="shared" si="12"/>
        <v>5.2545025510347907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16.666666666666668</v>
      </c>
      <c r="CT29" s="12">
        <f>IF('Données projet'!$A$140&gt;35,CT28+CS29-DB28,IF(A29&lt;'Données projet'!$A$140,$CQ$205^A29,IF(A29='Données projet'!$A$140,'Données projet'!$B$140,CT28+CS29-DB28)))</f>
        <v>188.33333333333331</v>
      </c>
      <c r="CU29" s="17">
        <f>CT29*VLOOKUP('Données projet'!$B$13,Paramètres!$A$1:$I$89,3,0)*VLOOKUP('Données projet'!$B$13,Paramètres!$A$1:$I$89,5,0)</f>
        <v>102.83</v>
      </c>
      <c r="CV29" s="13">
        <f t="shared" si="41"/>
        <v>27.635107084401234</v>
      </c>
      <c r="CW29" s="20">
        <f t="shared" si="13"/>
        <v>227.22672817199881</v>
      </c>
      <c r="CX29" s="59">
        <f t="shared" si="14"/>
        <v>515.6711726164433</v>
      </c>
      <c r="CY29" s="59">
        <f ca="1">AVERAGE(OFFSET($CX$3,0,0,'Données projet'!$E$13+1,1))-AVERAGE(OFFSET($H$3,0,0,'Données projet'!$E$13+1,1))</f>
        <v>207.02306964567629</v>
      </c>
      <c r="CZ29" s="59">
        <f t="shared" si="42"/>
        <v>342.06887933351783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21.430369370715514</v>
      </c>
      <c r="DH29" s="21">
        <f>EXP(-LN(2)/2)*DH28+(1-EXP(-LN(2)/2))/(LN(2)/2)*DB29*DE29*VLOOKUP('Données projet'!$B$13,Paramètres!$A$1:$I$89,3,0)*0.475*44/12</f>
        <v>15.509720457076748</v>
      </c>
      <c r="DI29" s="22">
        <f t="shared" si="15"/>
        <v>36.940089827792264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7">
        <f t="shared" si="1"/>
        <v>256.66666666666669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9.1999999999999993</v>
      </c>
      <c r="N30" s="13">
        <f>IF('Données projet'!$A$36&gt;35,N29+M30-V29,IF(A30&lt;'Données projet'!$A$36,$K$205^A30,IF(A30='Données projet'!$A$36,'Données projet'!$B$36,N29+M30-V29)))</f>
        <v>182.89999999999992</v>
      </c>
      <c r="O30" s="13">
        <f>N30*VLOOKUP('Données projet'!$B$9,Paramètres!$A$1:$I$89,3,0)*VLOOKUP('Données projet'!$B$9,Paramètres!$A$1:$I$89,5,0)</f>
        <v>85.597199999999958</v>
      </c>
      <c r="P30" s="13">
        <f t="shared" si="33"/>
        <v>23.500295908287228</v>
      </c>
      <c r="Q30" s="20">
        <f t="shared" si="2"/>
        <v>190.01147204026685</v>
      </c>
      <c r="R30" s="59">
        <f t="shared" si="0"/>
        <v>479.67813870693351</v>
      </c>
      <c r="S30" s="59">
        <f ca="1">AVERAGE(OFFSET($R$3,0,0,'Données projet'!$E$9+1,1))-AVERAGE(OFFSET($H$3,0,0,'Données projet'!$E$9+1,1))</f>
        <v>319.22903094674564</v>
      </c>
      <c r="T30" s="59">
        <f t="shared" si="34"/>
        <v>254.58690973142848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2.3483238622423634</v>
      </c>
      <c r="AA30" s="21">
        <f>EXP(-LN(2)/25)*AA29+(1-EXP(-LN(2)/25))/(LN(2)/25)*Calculateur!V30*Calculateur!X30*VLOOKUP('Données projet'!$B$9,Paramètres!$A$1:$I$89,3,0)*0.475*44/12</f>
        <v>2.2129022652942565</v>
      </c>
      <c r="AB30" s="21">
        <f>EXP(-LN(2)/2)*AB29+(1-EXP(-LN(2)/2))/(LN(2)/2)*V30*Y30*VLOOKUP('Données projet'!$B$9,Paramètres!$A$1:$I$89,3,0)*0.475*44/12</f>
        <v>1.1100045358576693</v>
      </c>
      <c r="AC30" s="22">
        <f t="shared" si="3"/>
        <v>5.6712306633942893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13</v>
      </c>
      <c r="AI30" s="13">
        <f>IF('Données projet'!$A$62&gt;35,AI29+AH30-AQ29,IF(A30&lt;'Données projet'!$A$62,$AF$205^A30,IF(A30='Données projet'!$A$62,'Données projet'!$B$62,AI29+AH30-AQ29)))</f>
        <v>145.00000000000003</v>
      </c>
      <c r="AJ30" s="13">
        <f>AI30*VLOOKUP('Données projet'!$B$10,Paramètres!$A$1:$I$89,3,0)*VLOOKUP('Données projet'!$B$10,Paramètres!$A$1:$I$89,5,0)</f>
        <v>126.67200000000003</v>
      </c>
      <c r="AK30" s="13">
        <f t="shared" si="35"/>
        <v>33.226199426361347</v>
      </c>
      <c r="AL30" s="20">
        <f t="shared" si="4"/>
        <v>278.48936400091276</v>
      </c>
      <c r="AM30" s="59">
        <f t="shared" si="5"/>
        <v>568.15603066757944</v>
      </c>
      <c r="AN30" s="59">
        <f ca="1">AVERAGE(OFFSET($AM$3,0,0,'Données projet'!$E$10+1,1))-AVERAGE(OFFSET($H$3,0,0,'Données projet'!$E$10+1,1))</f>
        <v>321.23599968992932</v>
      </c>
      <c r="AO30" s="59">
        <f t="shared" si="36"/>
        <v>388.05195847800502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3.3107206695513582</v>
      </c>
      <c r="AV30" s="21">
        <f>EXP(-LN(2)/25)*AV29+(1-EXP(-LN(2)/25))/(LN(2)/25)*Calculateur!AQ30*Calculateur!AS30*VLOOKUP('Données projet'!$B$10,Paramètres!$A$1:$I$89,3,0)*0.475*44/12</f>
        <v>8.7179275986992426</v>
      </c>
      <c r="AW30" s="21">
        <f>EXP(-LN(2)/2)*AW29+(1-EXP(-LN(2)/2))/(LN(2)/2)*AQ30*AT30*VLOOKUP('Données projet'!$B$10,Paramètres!$A$1:$I$89,3,0)*0.475*44/12</f>
        <v>6.8284941570120177</v>
      </c>
      <c r="AX30" s="21">
        <f t="shared" si="6"/>
        <v>18.857142425262619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16</v>
      </c>
      <c r="BD30" s="12">
        <f>IF('Données projet'!$A$88&gt;35,BD29+BC30-BL29,IF(A30&lt;'Données projet'!$A$88,$BA$205^A30,IF(A30='Données projet'!$A$88,'Données projet'!$B$88,BD29+BC30-BL29)))</f>
        <v>174</v>
      </c>
      <c r="BE30" s="13">
        <f>BD30*VLOOKUP('Données projet'!$B$11,Paramètres!$A$1:$I$89,3,0)*VLOOKUP('Données projet'!$B$11,Paramètres!$A$1:$I$89,5,0)</f>
        <v>104.05200000000001</v>
      </c>
      <c r="BF30" s="13">
        <f t="shared" si="37"/>
        <v>27.925087771564417</v>
      </c>
      <c r="BG30" s="20">
        <f t="shared" si="7"/>
        <v>229.86009453547467</v>
      </c>
      <c r="BH30" s="59">
        <f t="shared" si="8"/>
        <v>519.52676120214142</v>
      </c>
      <c r="BI30" s="59">
        <f ca="1">AVERAGE(OFFSET($BH$3,0,0,'Données projet'!$E$11+1,1))-AVERAGE(OFFSET($H$3,0,0,'Données projet'!$E$11+1,1))</f>
        <v>258.31845364515124</v>
      </c>
      <c r="BJ30" s="59">
        <f t="shared" si="38"/>
        <v>280.26155987300996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7.0835680393699691</v>
      </c>
      <c r="BQ30" s="21">
        <f>EXP(-LN(2)/25)*BQ29+(1-EXP(-LN(2)/25))/(LN(2)/25)*Calculateur!BL30*Calculateur!BN30*VLOOKUP('Données projet'!$B$11,Paramètres!$A$1:$I$89,3,0)*0.475*44/12</f>
        <v>6.4062686441870458</v>
      </c>
      <c r="BR30" s="21">
        <f>EXP(-LN(2)/2)*BR29+(1-EXP(-LN(2)/2))/(LN(2)/2)*BL30*BO30*VLOOKUP('Données projet'!$B$11,Paramètres!$A$1:$I$89,3,0)*0.475*44/12</f>
        <v>2.7558867889208885</v>
      </c>
      <c r="BS30" s="22">
        <f t="shared" si="9"/>
        <v>16.245723472477906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8.6</v>
      </c>
      <c r="BY30" s="12">
        <f>IF('Données projet'!$A$114&gt;35,BY29+BX30-CG29,IF(A30&lt;'Données projet'!$A$114,$BV$205^A30,IF(A30='Données projet'!$A$114,'Données projet'!$B$114,BY29+BX30-CG29)))</f>
        <v>217.2</v>
      </c>
      <c r="BZ30" s="13">
        <f>BY30*VLOOKUP('Données projet'!$B$12,Paramètres!$A$1:$I$89,3,0)*VLOOKUP('Données projet'!$B$12,Paramètres!$A$1:$I$89,5,0)</f>
        <v>196.52255999999997</v>
      </c>
      <c r="CA30" s="13">
        <f t="shared" si="39"/>
        <v>48.979153257338155</v>
      </c>
      <c r="CB30" s="20">
        <f t="shared" si="10"/>
        <v>427.58215058986383</v>
      </c>
      <c r="CC30" s="59">
        <f t="shared" si="11"/>
        <v>717.24881725653051</v>
      </c>
      <c r="CD30" s="59">
        <f ca="1">AVERAGE(OFFSET($CC$3,0,0,'Données projet'!$E$12+1,1))-AVERAGE(OFFSET($H$3,0,0,'Données projet'!$E$12+1,1))</f>
        <v>366.86025470473652</v>
      </c>
      <c r="CE30" s="59">
        <f t="shared" si="40"/>
        <v>513.80016421153414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1.6815521414740549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2.5026748113393187</v>
      </c>
      <c r="CN30" s="22">
        <f t="shared" si="12"/>
        <v>4.1842269528133738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16.666666666666668</v>
      </c>
      <c r="CT30" s="12">
        <f>IF('Données projet'!$A$140&gt;35,CT29+CS30-DB29,IF(A30&lt;'Données projet'!$A$140,$CQ$205^A30,IF(A30='Données projet'!$A$140,'Données projet'!$B$140,CT29+CS30-DB29)))</f>
        <v>204.99999999999997</v>
      </c>
      <c r="CU30" s="17">
        <f>CT30*VLOOKUP('Données projet'!$B$13,Paramètres!$A$1:$I$89,3,0)*VLOOKUP('Données projet'!$B$13,Paramètres!$A$1:$I$89,5,0)</f>
        <v>111.92999999999998</v>
      </c>
      <c r="CV30" s="13">
        <f t="shared" si="41"/>
        <v>29.785246291563833</v>
      </c>
      <c r="CW30" s="20">
        <f t="shared" si="13"/>
        <v>246.82072062447358</v>
      </c>
      <c r="CX30" s="59">
        <f t="shared" si="14"/>
        <v>536.48738729114029</v>
      </c>
      <c r="CY30" s="59">
        <f ca="1">AVERAGE(OFFSET($CX$3,0,0,'Données projet'!$E$13+1,1))-AVERAGE(OFFSET($H$3,0,0,'Données projet'!$E$13+1,1))</f>
        <v>207.02306964567629</v>
      </c>
      <c r="CZ30" s="59">
        <f t="shared" si="42"/>
        <v>342.06887933351783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20.844354793299154</v>
      </c>
      <c r="DH30" s="21">
        <f>EXP(-LN(2)/2)*DH29+(1-EXP(-LN(2)/2))/(LN(2)/2)*DB30*DE30*VLOOKUP('Données projet'!$B$13,Paramètres!$A$1:$I$89,3,0)*0.475*44/12</f>
        <v>10.967028509506688</v>
      </c>
      <c r="DI30" s="22">
        <f t="shared" si="15"/>
        <v>31.811383302805844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7">
        <f t="shared" si="1"/>
        <v>256.66666666666669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9.1999999999999993</v>
      </c>
      <c r="N31" s="13">
        <f>IF('Données projet'!$A$36&gt;35,N30+M31-V30,IF(A31&lt;'Données projet'!$A$36,$K$205^A31,IF(A31='Données projet'!$A$36,'Données projet'!$B$36,N30+M31-V30)))</f>
        <v>192.09999999999991</v>
      </c>
      <c r="O31" s="13">
        <f>N31*VLOOKUP('Données projet'!$B$9,Paramètres!$A$1:$I$89,3,0)*VLOOKUP('Données projet'!$B$9,Paramètres!$A$1:$I$89,5,0)</f>
        <v>89.902799999999957</v>
      </c>
      <c r="P31" s="13">
        <f t="shared" si="33"/>
        <v>24.541781220398729</v>
      </c>
      <c r="Q31" s="20">
        <f t="shared" si="2"/>
        <v>199.32431229219435</v>
      </c>
      <c r="R31" s="59">
        <f t="shared" si="0"/>
        <v>490.21320118108321</v>
      </c>
      <c r="S31" s="59">
        <f ca="1">AVERAGE(OFFSET($R$3,0,0,'Données projet'!$E$9+1,1))-AVERAGE(OFFSET($H$3,0,0,'Données projet'!$E$9+1,1))</f>
        <v>319.22903094674564</v>
      </c>
      <c r="T31" s="59">
        <f t="shared" si="34"/>
        <v>254.58690973142848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2.3022746636399152</v>
      </c>
      <c r="AA31" s="21">
        <f>EXP(-LN(2)/25)*AA30+(1-EXP(-LN(2)/25))/(LN(2)/25)*Calculateur!V31*Calculateur!X31*VLOOKUP('Données projet'!$B$9,Paramètres!$A$1:$I$89,3,0)*0.475*44/12</f>
        <v>2.1523903364783123</v>
      </c>
      <c r="AB31" s="21">
        <f>EXP(-LN(2)/2)*AB30+(1-EXP(-LN(2)/2))/(LN(2)/2)*V31*Y31*VLOOKUP('Données projet'!$B$9,Paramètres!$A$1:$I$89,3,0)*0.475*44/12</f>
        <v>0.78489173445278426</v>
      </c>
      <c r="AC31" s="22">
        <f t="shared" si="3"/>
        <v>5.2395567345710115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13</v>
      </c>
      <c r="AI31" s="13">
        <f>IF('Données projet'!$A$62&gt;35,AI30+AH31-AQ30,IF(A31&lt;'Données projet'!$A$62,$AF$205^A31,IF(A31='Données projet'!$A$62,'Données projet'!$B$62,AI30+AH31-AQ30)))</f>
        <v>158.00000000000003</v>
      </c>
      <c r="AJ31" s="13">
        <f>AI31*VLOOKUP('Données projet'!$B$10,Paramètres!$A$1:$I$89,3,0)*VLOOKUP('Données projet'!$B$10,Paramètres!$A$1:$I$89,5,0)</f>
        <v>138.02880000000005</v>
      </c>
      <c r="AK31" s="13">
        <f t="shared" si="35"/>
        <v>35.845059256813073</v>
      </c>
      <c r="AL31" s="20">
        <f t="shared" si="4"/>
        <v>302.83030487228285</v>
      </c>
      <c r="AM31" s="59">
        <f t="shared" si="5"/>
        <v>593.71919376117171</v>
      </c>
      <c r="AN31" s="59">
        <f ca="1">AVERAGE(OFFSET($AM$3,0,0,'Données projet'!$E$10+1,1))-AVERAGE(OFFSET($H$3,0,0,'Données projet'!$E$10+1,1))</f>
        <v>321.23599968992932</v>
      </c>
      <c r="AO31" s="59">
        <f t="shared" si="36"/>
        <v>388.05195847800502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3.2457994565616715</v>
      </c>
      <c r="AV31" s="21">
        <f>EXP(-LN(2)/25)*AV30+(1-EXP(-LN(2)/25))/(LN(2)/25)*Calculateur!AQ31*Calculateur!AS31*VLOOKUP('Données projet'!$B$10,Paramètres!$A$1:$I$89,3,0)*0.475*44/12</f>
        <v>8.4795354100569238</v>
      </c>
      <c r="AW31" s="21">
        <f>EXP(-LN(2)/2)*AW30+(1-EXP(-LN(2)/2))/(LN(2)/2)*AQ31*AT31*VLOOKUP('Données projet'!$B$10,Paramètres!$A$1:$I$89,3,0)*0.475*44/12</f>
        <v>4.828474523715915</v>
      </c>
      <c r="AX31" s="21">
        <f t="shared" si="6"/>
        <v>16.553809390334511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>
        <f>VLOOKUP(A31,'Données projet'!$A$87:$I$107,2,0)</f>
        <v>190</v>
      </c>
      <c r="BB31" s="12">
        <f>VLOOKUP(A31,'Données projet'!$A$87:$I$107,9,0)</f>
        <v>16</v>
      </c>
      <c r="BC31" s="12">
        <f t="array" ref="BC31">INDEX(BB:BB,MIN(IF(ISNUMBER(BB31:BB227),ROW(BB31:BB227),"")))</f>
        <v>16</v>
      </c>
      <c r="BD31" s="12">
        <f>IF('Données projet'!$A$88&gt;35,BD30+BC31-BL30,IF(A31&lt;'Données projet'!$A$88,$BA$205^A31,IF(A31='Données projet'!$A$88,'Données projet'!$B$88,BD30+BC31-BL30)))</f>
        <v>190</v>
      </c>
      <c r="BE31" s="13">
        <f>BD31*VLOOKUP('Données projet'!$B$11,Paramètres!$A$1:$I$89,3,0)*VLOOKUP('Données projet'!$B$11,Paramètres!$A$1:$I$89,5,0)</f>
        <v>113.62</v>
      </c>
      <c r="BF31" s="13">
        <f t="shared" si="37"/>
        <v>30.182270904187739</v>
      </c>
      <c r="BG31" s="20">
        <f t="shared" si="7"/>
        <v>250.45562182479364</v>
      </c>
      <c r="BH31" s="59">
        <f t="shared" si="8"/>
        <v>541.34451071368244</v>
      </c>
      <c r="BI31" s="59">
        <f ca="1">AVERAGE(OFFSET($BH$3,0,0,'Données projet'!$E$11+1,1))-AVERAGE(OFFSET($H$3,0,0,'Données projet'!$E$11+1,1))</f>
        <v>258.31845364515124</v>
      </c>
      <c r="BJ31" s="59">
        <f t="shared" si="38"/>
        <v>280.26155987300996</v>
      </c>
      <c r="BK31" s="15">
        <f>IF(ISNA(VLOOKUP(A31,'Données projet'!$A$87:$I$107,3,0)),0,VLOOKUP(A31,'Données projet'!$A$87:$I$107,3,0))</f>
        <v>5</v>
      </c>
      <c r="BL31" s="15">
        <f>IF(ISNA(VLOOKUP(A31,'Données projet'!$A$87:$I$107,4,0)),0,VLOOKUP(A31,'Données projet'!$A$87:$I$107,4,0))</f>
        <v>35</v>
      </c>
      <c r="BM31" s="16">
        <f>IF(ISNA(VLOOKUP(A31,'Données projet'!$A$87:$I$107,5,0)),0%,VLOOKUP(A31,'Données projet'!$A$87:$I$107,5,0)*VLOOKUP('Données projet'!$B$11,Paramètres!$A$1:$I$89,7,0))</f>
        <v>0.18000000000000002</v>
      </c>
      <c r="BN31" s="16">
        <f>IF(ISNA(VLOOKUP(A31,'Données projet'!$A$87:$I$107,6,0)),0%,VLOOKUP(A31,'Données projet'!$A$87:$I$107,6,0)*VLOOKUP('Données projet'!$B$11,Paramètres!$A$1:$I$89,7,0))</f>
        <v>0.13500000000000001</v>
      </c>
      <c r="BO31" s="16">
        <f>IF(ISNA(VLOOKUP(A31,'Données projet'!$A$87:$I$107,7,0)),0%,VLOOKUP(A31,'Données projet'!$A$87:$I$107,7,0))</f>
        <v>0.3</v>
      </c>
      <c r="BP31" s="21">
        <f>EXP(-LN(2)/35)*BP30+(1-EXP(-LN(2)/35))/(LN(2)/35)*BL31*BM31*VLOOKUP('Données projet'!$B$11,Paramètres!$A$1:$I$89,3,0)*0.475*44/12</f>
        <v>11.942362520090734</v>
      </c>
      <c r="BQ31" s="21">
        <f>EXP(-LN(2)/25)*BQ30+(1-EXP(-LN(2)/25))/(LN(2)/25)*Calculateur!BL31*Calculateur!BN31*VLOOKUP('Données projet'!$B$11,Paramètres!$A$1:$I$89,3,0)*0.475*44/12</f>
        <v>9.9646047045696271</v>
      </c>
      <c r="BR31" s="21">
        <f>EXP(-LN(2)/2)*BR30+(1-EXP(-LN(2)/2))/(LN(2)/2)*BL31*BO31*VLOOKUP('Données projet'!$B$11,Paramètres!$A$1:$I$89,3,0)*0.475*44/12</f>
        <v>9.0579928327970602</v>
      </c>
      <c r="BS31" s="22">
        <f t="shared" si="9"/>
        <v>30.964960057457425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8.6</v>
      </c>
      <c r="BY31" s="12">
        <f>IF('Données projet'!$A$114&gt;35,BY30+BX31-CG30,IF(A31&lt;'Données projet'!$A$114,$BV$205^A31,IF(A31='Données projet'!$A$114,'Données projet'!$B$114,BY30+BX31-CG30)))</f>
        <v>225.79999999999998</v>
      </c>
      <c r="BZ31" s="13">
        <f>BY31*VLOOKUP('Données projet'!$B$12,Paramètres!$A$1:$I$89,3,0)*VLOOKUP('Données projet'!$B$12,Paramètres!$A$1:$I$89,5,0)</f>
        <v>204.30383999999995</v>
      </c>
      <c r="CA31" s="13">
        <f t="shared" si="39"/>
        <v>50.688846269088558</v>
      </c>
      <c r="CB31" s="20">
        <f t="shared" si="10"/>
        <v>444.11226191866245</v>
      </c>
      <c r="CC31" s="59">
        <f t="shared" si="11"/>
        <v>735.00115080755131</v>
      </c>
      <c r="CD31" s="59">
        <f ca="1">AVERAGE(OFFSET($CC$3,0,0,'Données projet'!$E$12+1,1))-AVERAGE(OFFSET($H$3,0,0,'Données projet'!$E$12+1,1))</f>
        <v>366.86025470473652</v>
      </c>
      <c r="CE31" s="59">
        <f t="shared" si="40"/>
        <v>513.80016421153414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1.6485779296252809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1.7696583302027959</v>
      </c>
      <c r="CN31" s="22">
        <f t="shared" si="12"/>
        <v>3.4182362598280767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16.666666666666668</v>
      </c>
      <c r="CT31" s="12">
        <f>IF('Données projet'!$A$140&gt;35,CT30+CS31-DB30,IF(A31&lt;'Données projet'!$A$140,$CQ$205^A31,IF(A31='Données projet'!$A$140,'Données projet'!$B$140,CT30+CS31-DB30)))</f>
        <v>221.66666666666663</v>
      </c>
      <c r="CU31" s="17">
        <f>CT31*VLOOKUP('Données projet'!$B$13,Paramètres!$A$1:$I$89,3,0)*VLOOKUP('Données projet'!$B$13,Paramètres!$A$1:$I$89,5,0)</f>
        <v>121.02999999999997</v>
      </c>
      <c r="CV31" s="13">
        <f t="shared" si="41"/>
        <v>31.915110254002617</v>
      </c>
      <c r="CW31" s="20">
        <f t="shared" si="13"/>
        <v>266.3794003590545</v>
      </c>
      <c r="CX31" s="59">
        <f t="shared" si="14"/>
        <v>557.26828924794336</v>
      </c>
      <c r="CY31" s="59">
        <f ca="1">AVERAGE(OFFSET($CX$3,0,0,'Données projet'!$E$13+1,1))-AVERAGE(OFFSET($H$3,0,0,'Données projet'!$E$13+1,1))</f>
        <v>207.02306964567629</v>
      </c>
      <c r="CZ31" s="59">
        <f t="shared" si="42"/>
        <v>342.06887933351783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20.274364815319409</v>
      </c>
      <c r="DH31" s="21">
        <f>EXP(-LN(2)/2)*DH30+(1-EXP(-LN(2)/2))/(LN(2)/2)*DB31*DE31*VLOOKUP('Données projet'!$B$13,Paramètres!$A$1:$I$89,3,0)*0.475*44/12</f>
        <v>7.7548602285383748</v>
      </c>
      <c r="DI31" s="22">
        <f t="shared" si="15"/>
        <v>28.029225043857785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7">
        <f t="shared" si="1"/>
        <v>256.66666666666669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9.1999999999999993</v>
      </c>
      <c r="N32" s="13">
        <f>IF('Données projet'!$A$36&gt;35,N31+M32-V31,IF(A32&lt;'Données projet'!$A$36,$K$205^A32,IF(A32='Données projet'!$A$36,'Données projet'!$B$36,N31+M32-V31)))</f>
        <v>201.2999999999999</v>
      </c>
      <c r="O32" s="13">
        <f>N32*VLOOKUP('Données projet'!$B$9,Paramètres!$A$1:$I$89,3,0)*VLOOKUP('Données projet'!$B$9,Paramètres!$A$1:$I$89,5,0)</f>
        <v>94.208399999999955</v>
      </c>
      <c r="P32" s="13">
        <f t="shared" si="33"/>
        <v>25.577474486943441</v>
      </c>
      <c r="Q32" s="20">
        <f t="shared" si="2"/>
        <v>208.62706473142643</v>
      </c>
      <c r="R32" s="59">
        <f t="shared" si="0"/>
        <v>500.73817584253754</v>
      </c>
      <c r="S32" s="59">
        <f ca="1">AVERAGE(OFFSET($R$3,0,0,'Données projet'!$E$9+1,1))-AVERAGE(OFFSET($H$3,0,0,'Données projet'!$E$9+1,1))</f>
        <v>319.22903094674564</v>
      </c>
      <c r="T32" s="59">
        <f t="shared" si="34"/>
        <v>254.58690973142848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2.2571284617348231</v>
      </c>
      <c r="AA32" s="21">
        <f>EXP(-LN(2)/25)*AA31+(1-EXP(-LN(2)/25))/(LN(2)/25)*Calculateur!V32*Calculateur!X32*VLOOKUP('Données projet'!$B$9,Paramètres!$A$1:$I$89,3,0)*0.475*44/12</f>
        <v>2.0935331095380243</v>
      </c>
      <c r="AB32" s="21">
        <f>EXP(-LN(2)/2)*AB31+(1-EXP(-LN(2)/2))/(LN(2)/2)*V32*Y32*VLOOKUP('Données projet'!$B$9,Paramètres!$A$1:$I$89,3,0)*0.475*44/12</f>
        <v>0.55500226792883467</v>
      </c>
      <c r="AC32" s="22">
        <f t="shared" si="3"/>
        <v>4.905663839201682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13</v>
      </c>
      <c r="AI32" s="13">
        <f>IF('Données projet'!$A$62&gt;35,AI31+AH32-AQ31,IF(A32&lt;'Données projet'!$A$62,$AF$205^A32,IF(A32='Données projet'!$A$62,'Données projet'!$B$62,AI31+AH32-AQ31)))</f>
        <v>171.00000000000003</v>
      </c>
      <c r="AJ32" s="13">
        <f>AI32*VLOOKUP('Données projet'!$B$10,Paramètres!$A$1:$I$89,3,0)*VLOOKUP('Données projet'!$B$10,Paramètres!$A$1:$I$89,5,0)</f>
        <v>149.38560000000004</v>
      </c>
      <c r="AK32" s="13">
        <f t="shared" si="35"/>
        <v>38.438927680599591</v>
      </c>
      <c r="AL32" s="20">
        <f t="shared" si="4"/>
        <v>327.12771904371101</v>
      </c>
      <c r="AM32" s="59">
        <f t="shared" si="5"/>
        <v>619.23883015482215</v>
      </c>
      <c r="AN32" s="59">
        <f ca="1">AVERAGE(OFFSET($AM$3,0,0,'Données projet'!$E$10+1,1))-AVERAGE(OFFSET($H$3,0,0,'Données projet'!$E$10+1,1))</f>
        <v>321.23599968992932</v>
      </c>
      <c r="AO32" s="59">
        <f t="shared" si="36"/>
        <v>388.05195847800502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3.1821513089606821</v>
      </c>
      <c r="AV32" s="21">
        <f>EXP(-LN(2)/25)*AV31+(1-EXP(-LN(2)/25))/(LN(2)/25)*Calculateur!AQ32*Calculateur!AS32*VLOOKUP('Données projet'!$B$10,Paramètres!$A$1:$I$89,3,0)*0.475*44/12</f>
        <v>8.2476620683495305</v>
      </c>
      <c r="AW32" s="21">
        <f>EXP(-LN(2)/2)*AW31+(1-EXP(-LN(2)/2))/(LN(2)/2)*AQ32*AT32*VLOOKUP('Données projet'!$B$10,Paramètres!$A$1:$I$89,3,0)*0.475*44/12</f>
        <v>3.4142470785060088</v>
      </c>
      <c r="AX32" s="21">
        <f t="shared" si="6"/>
        <v>14.844060455816221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14.833333333333334</v>
      </c>
      <c r="BD32" s="12">
        <f>IF('Données projet'!$A$88&gt;35,BD31+BC32-BL31,IF(A32&lt;'Données projet'!$A$88,$BA$205^A32,IF(A32='Données projet'!$A$88,'Données projet'!$B$88,BD31+BC32-BL31)))</f>
        <v>169.83333333333334</v>
      </c>
      <c r="BE32" s="13">
        <f>BD32*VLOOKUP('Données projet'!$B$11,Paramètres!$A$1:$I$89,3,0)*VLOOKUP('Données projet'!$B$11,Paramètres!$A$1:$I$89,5,0)</f>
        <v>101.56033333333333</v>
      </c>
      <c r="BF32" s="13">
        <f t="shared" si="37"/>
        <v>27.333389821325063</v>
      </c>
      <c r="BG32" s="20">
        <f t="shared" si="7"/>
        <v>224.48990116103005</v>
      </c>
      <c r="BH32" s="59">
        <f t="shared" si="8"/>
        <v>516.60101227214113</v>
      </c>
      <c r="BI32" s="59">
        <f ca="1">AVERAGE(OFFSET($BH$3,0,0,'Données projet'!$E$11+1,1))-AVERAGE(OFFSET($H$3,0,0,'Données projet'!$E$11+1,1))</f>
        <v>258.31845364515124</v>
      </c>
      <c r="BJ32" s="59">
        <f t="shared" si="38"/>
        <v>280.26155987300996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11.708180075193646</v>
      </c>
      <c r="BQ32" s="21">
        <f>EXP(-LN(2)/25)*BQ31+(1-EXP(-LN(2)/25))/(LN(2)/25)*Calculateur!BL32*Calculateur!BN32*VLOOKUP('Données projet'!$B$11,Paramètres!$A$1:$I$89,3,0)*0.475*44/12</f>
        <v>9.6921220649073838</v>
      </c>
      <c r="BR32" s="21">
        <f>EXP(-LN(2)/2)*BR31+(1-EXP(-LN(2)/2))/(LN(2)/2)*BL32*BO32*VLOOKUP('Données projet'!$B$11,Paramètres!$A$1:$I$89,3,0)*0.475*44/12</f>
        <v>6.4049681560099474</v>
      </c>
      <c r="BS32" s="22">
        <f t="shared" si="9"/>
        <v>27.805270296110976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8.6</v>
      </c>
      <c r="BY32" s="12">
        <f>IF('Données projet'!$A$114&gt;35,BY31+BX32-CG31,IF(A32&lt;'Données projet'!$A$114,$BV$205^A32,IF(A32='Données projet'!$A$114,'Données projet'!$B$114,BY31+BX32-CG31)))</f>
        <v>234.39999999999998</v>
      </c>
      <c r="BZ32" s="13">
        <f>BY32*VLOOKUP('Données projet'!$B$12,Paramètres!$A$1:$I$89,3,0)*VLOOKUP('Données projet'!$B$12,Paramètres!$A$1:$I$89,5,0)</f>
        <v>212.08511999999996</v>
      </c>
      <c r="CA32" s="13">
        <f t="shared" si="39"/>
        <v>52.390974537063087</v>
      </c>
      <c r="CB32" s="20">
        <f t="shared" si="10"/>
        <v>460.62919798538474</v>
      </c>
      <c r="CC32" s="59">
        <f t="shared" si="11"/>
        <v>752.74030909649582</v>
      </c>
      <c r="CD32" s="59">
        <f ca="1">AVERAGE(OFFSET($CC$3,0,0,'Données projet'!$E$12+1,1))-AVERAGE(OFFSET($H$3,0,0,'Données projet'!$E$12+1,1))</f>
        <v>366.86025470473652</v>
      </c>
      <c r="CE32" s="59">
        <f t="shared" si="40"/>
        <v>513.80016421153414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1.616250321958578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1.2513374056696596</v>
      </c>
      <c r="CN32" s="22">
        <f t="shared" si="12"/>
        <v>2.8675877276282375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16.666666666666668</v>
      </c>
      <c r="CT32" s="12">
        <f>IF('Données projet'!$A$140&gt;35,CT31+CS32-DB31,IF(A32&lt;'Données projet'!$A$140,$CQ$205^A32,IF(A32='Données projet'!$A$140,'Données projet'!$B$140,CT31+CS32-DB31)))</f>
        <v>238.33333333333329</v>
      </c>
      <c r="CU32" s="17">
        <f>CT32*VLOOKUP('Données projet'!$B$13,Paramètres!$A$1:$I$89,3,0)*VLOOKUP('Données projet'!$B$13,Paramètres!$A$1:$I$89,5,0)</f>
        <v>130.12999999999997</v>
      </c>
      <c r="CV32" s="13">
        <f t="shared" si="41"/>
        <v>34.026396767825609</v>
      </c>
      <c r="CW32" s="20">
        <f t="shared" si="13"/>
        <v>285.90572437062957</v>
      </c>
      <c r="CX32" s="59">
        <f t="shared" si="14"/>
        <v>578.01683548174071</v>
      </c>
      <c r="CY32" s="59">
        <f ca="1">AVERAGE(OFFSET($CX$3,0,0,'Données projet'!$E$13+1,1))-AVERAGE(OFFSET($H$3,0,0,'Données projet'!$E$13+1,1))</f>
        <v>207.02306964567629</v>
      </c>
      <c r="CZ32" s="59">
        <f t="shared" si="42"/>
        <v>342.06887933351783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19.719961243261992</v>
      </c>
      <c r="DH32" s="21">
        <f>EXP(-LN(2)/2)*DH31+(1-EXP(-LN(2)/2))/(LN(2)/2)*DB32*DE32*VLOOKUP('Données projet'!$B$13,Paramètres!$A$1:$I$89,3,0)*0.475*44/12</f>
        <v>5.4835142547533451</v>
      </c>
      <c r="DI32" s="22">
        <f t="shared" si="15"/>
        <v>25.203475498015337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7">
        <f t="shared" si="1"/>
        <v>256.66666666666669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210.5</v>
      </c>
      <c r="L33" s="12">
        <f>VLOOKUP(A33,'Données projet'!$A$35:$I$55,9,0)</f>
        <v>9.1999999999999993</v>
      </c>
      <c r="M33" s="12">
        <f t="array" ref="M33">INDEX(L:L,MIN(IF(ISNUMBER(L33:L229),ROW(L33:L229),"")))</f>
        <v>9.1999999999999993</v>
      </c>
      <c r="N33" s="13">
        <f>IF('Données projet'!$A$36&gt;35,N32+M33-V32,IF(A33&lt;'Données projet'!$A$36,$K$205^A33,IF(A33='Données projet'!$A$36,'Données projet'!$B$36,N32+M33-V32)))</f>
        <v>210.49999999999989</v>
      </c>
      <c r="O33" s="13">
        <f>N33*VLOOKUP('Données projet'!$B$9,Paramètres!$A$1:$I$89,3,0)*VLOOKUP('Données projet'!$B$9,Paramètres!$A$1:$I$89,5,0)</f>
        <v>98.513999999999953</v>
      </c>
      <c r="P33" s="13">
        <f t="shared" si="33"/>
        <v>26.607670659193456</v>
      </c>
      <c r="Q33" s="20">
        <f t="shared" si="2"/>
        <v>217.92024306476185</v>
      </c>
      <c r="R33" s="59">
        <f t="shared" si="0"/>
        <v>511.25357639809516</v>
      </c>
      <c r="S33" s="59">
        <f ca="1">AVERAGE(OFFSET($R$3,0,0,'Données projet'!$E$9+1,1))-AVERAGE(OFFSET($H$3,0,0,'Données projet'!$E$9+1,1))</f>
        <v>319.22903094674564</v>
      </c>
      <c r="T33" s="59">
        <f t="shared" si="34"/>
        <v>254.58690973142848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67</v>
      </c>
      <c r="W33" s="16">
        <f>IF(ISNA(VLOOKUP(A33,'Données projet'!$A$35:$I$55,5,0)),0%,VLOOKUP(A33,'Données projet'!$A$35:$I$55,5,0)*VLOOKUP('Données projet'!$B$9,Paramètres!$A$1:$I$89,7,0))</f>
        <v>0.16500000000000001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0.3</v>
      </c>
      <c r="Z33" s="21">
        <f>EXP(-LN(2)/35)*Z32+(1-EXP(-LN(2)/35))/(LN(2)/35)*V33*W33*VLOOKUP('Données projet'!$B$9,Paramètres!$A$1:$I$89,3,0)*0.475*44/12</f>
        <v>9.0761671349983928</v>
      </c>
      <c r="AA33" s="21">
        <f>EXP(-LN(2)/25)*AA32+(1-EXP(-LN(2)/25))/(LN(2)/25)*Calculateur!V33*Calculateur!X33*VLOOKUP('Données projet'!$B$9,Paramètres!$A$1:$I$89,3,0)*0.475*44/12</f>
        <v>11.151320216689932</v>
      </c>
      <c r="AB33" s="21">
        <f>EXP(-LN(2)/2)*AB32+(1-EXP(-LN(2)/2))/(LN(2)/2)*V33*Y33*VLOOKUP('Données projet'!$B$9,Paramètres!$A$1:$I$89,3,0)*0.475*44/12</f>
        <v>11.043128643598349</v>
      </c>
      <c r="AC33" s="22">
        <f t="shared" si="3"/>
        <v>31.270615995286676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184</v>
      </c>
      <c r="AG33" s="12">
        <f>VLOOKUP(A33,'Données projet'!$A$61:$I$81,9,0)</f>
        <v>13</v>
      </c>
      <c r="AH33" s="12">
        <f t="array" ref="AH33">INDEX(AG:AG,MIN(IF(ISNUMBER(AG33:AG229),ROW(AG33:AG229),"")))</f>
        <v>13</v>
      </c>
      <c r="AI33" s="13">
        <f>IF('Données projet'!$A$62&gt;35,AI32+AH33-AQ32,IF(A33&lt;'Données projet'!$A$62,$AF$205^A33,IF(A33='Données projet'!$A$62,'Données projet'!$B$62,AI32+AH33-AQ32)))</f>
        <v>184.00000000000003</v>
      </c>
      <c r="AJ33" s="13">
        <f>AI33*VLOOKUP('Données projet'!$B$10,Paramètres!$A$1:$I$89,3,0)*VLOOKUP('Données projet'!$B$10,Paramètres!$A$1:$I$89,5,0)</f>
        <v>160.74240000000003</v>
      </c>
      <c r="AK33" s="13">
        <f t="shared" si="35"/>
        <v>41.009920657227809</v>
      </c>
      <c r="AL33" s="20">
        <f t="shared" si="4"/>
        <v>351.38529181133845</v>
      </c>
      <c r="AM33" s="59">
        <f t="shared" si="5"/>
        <v>644.71862514467171</v>
      </c>
      <c r="AN33" s="59">
        <f ca="1">AVERAGE(OFFSET($AM$3,0,0,'Données projet'!$E$10+1,1))-AVERAGE(OFFSET($H$3,0,0,'Données projet'!$E$10+1,1))</f>
        <v>321.23599968992932</v>
      </c>
      <c r="AO33" s="59">
        <f t="shared" si="36"/>
        <v>388.05195847800502</v>
      </c>
      <c r="AP33" s="15">
        <f>IF(ISNA(VLOOKUP(A33,'Données projet'!$A$61:$I$81,3,0)),0,VLOOKUP(A33,'Données projet'!$A$61:$I$81,3,0))</f>
        <v>4</v>
      </c>
      <c r="AQ33" s="15">
        <f>IF(ISNA(VLOOKUP(A33,'Données projet'!$A$61:$I$81,4,0)),0,VLOOKUP(A33,'Données projet'!$A$61:$I$81,4,0))</f>
        <v>44</v>
      </c>
      <c r="AR33" s="16">
        <f>IF(ISNA(VLOOKUP(A33,'Données projet'!$A$61:$I$81,5,0)),0%,VLOOKUP(A33,'Données projet'!$A$61:$I$81,5,0)*VLOOKUP('Données projet'!$B$10,Paramètres!$A$1:$I$89,7,0))</f>
        <v>8.6000000000000007E-2</v>
      </c>
      <c r="AS33" s="16">
        <f>IF(ISNA(VLOOKUP(A33,'Données projet'!$A$61:$I$81,6,0)),0%,VLOOKUP(A33,'Données projet'!$A$61:$I$81,6,0)*VLOOKUP('Données projet'!$B$10,Paramètres!$A$1:$I$89,7,0))</f>
        <v>0.17200000000000001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6.7741073494635966</v>
      </c>
      <c r="AV33" s="21">
        <f>EXP(-LN(2)/25)*AV32+(1-EXP(-LN(2)/25))/(LN(2)/25)*Calculateur!AQ33*Calculateur!AS33*VLOOKUP('Données projet'!$B$10,Paramètres!$A$1:$I$89,3,0)*0.475*44/12</f>
        <v>15.302064304202041</v>
      </c>
      <c r="AW33" s="21">
        <f>EXP(-LN(2)/2)*AW32+(1-EXP(-LN(2)/2))/(LN(2)/2)*AQ33*AT33*VLOOKUP('Données projet'!$B$10,Paramètres!$A$1:$I$89,3,0)*0.475*44/12</f>
        <v>16.92130324360506</v>
      </c>
      <c r="AX33" s="21">
        <f t="shared" si="6"/>
        <v>38.997474897270699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14.833333333333334</v>
      </c>
      <c r="BD33" s="12">
        <f>IF('Données projet'!$A$88&gt;35,BD32+BC33-BL32,IF(A33&lt;'Données projet'!$A$88,$BA$205^A33,IF(A33='Données projet'!$A$88,'Données projet'!$B$88,BD32+BC33-BL32)))</f>
        <v>184.66666666666669</v>
      </c>
      <c r="BE33" s="13">
        <f>BD33*VLOOKUP('Données projet'!$B$11,Paramètres!$A$1:$I$89,3,0)*VLOOKUP('Données projet'!$B$11,Paramètres!$A$1:$I$89,5,0)</f>
        <v>110.43066666666668</v>
      </c>
      <c r="BF33" s="13">
        <f t="shared" si="37"/>
        <v>29.43242991113809</v>
      </c>
      <c r="BG33" s="20">
        <f t="shared" si="7"/>
        <v>243.5948932063433</v>
      </c>
      <c r="BH33" s="59">
        <f t="shared" si="8"/>
        <v>536.92822653967664</v>
      </c>
      <c r="BI33" s="59">
        <f ca="1">AVERAGE(OFFSET($BH$3,0,0,'Données projet'!$E$11+1,1))-AVERAGE(OFFSET($H$3,0,0,'Données projet'!$E$11+1,1))</f>
        <v>258.31845364515124</v>
      </c>
      <c r="BJ33" s="59">
        <f t="shared" si="38"/>
        <v>280.26155987300996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11.4785898052038</v>
      </c>
      <c r="BQ33" s="21">
        <f>EXP(-LN(2)/25)*BQ32+(1-EXP(-LN(2)/25))/(LN(2)/25)*Calculateur!BL33*Calculateur!BN33*VLOOKUP('Données projet'!$B$11,Paramètres!$A$1:$I$89,3,0)*0.475*44/12</f>
        <v>9.427090477355943</v>
      </c>
      <c r="BR33" s="21">
        <f>EXP(-LN(2)/2)*BR32+(1-EXP(-LN(2)/2))/(LN(2)/2)*BL33*BO33*VLOOKUP('Données projet'!$B$11,Paramètres!$A$1:$I$89,3,0)*0.475*44/12</f>
        <v>4.528996416398531</v>
      </c>
      <c r="BS33" s="22">
        <f t="shared" si="9"/>
        <v>25.434676698958274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243</v>
      </c>
      <c r="BW33" s="12">
        <f>VLOOKUP(A33,'Données projet'!$A$113:$I$133,9,0)</f>
        <v>8.6</v>
      </c>
      <c r="BX33" s="12">
        <f t="array" ref="BX33">INDEX(BW:BW,MIN(IF(ISNUMBER(BW33:BW229),ROW(BW33:BW229),"")))</f>
        <v>8.6</v>
      </c>
      <c r="BY33" s="12">
        <f>IF('Données projet'!$A$114&gt;35,BY32+BX33-CG32,IF(A33&lt;'Données projet'!$A$114,$BV$205^A33,IF(A33='Données projet'!$A$114,'Données projet'!$B$114,BY32+BX33-CG32)))</f>
        <v>242.99999999999997</v>
      </c>
      <c r="BZ33" s="13">
        <f>BY33*VLOOKUP('Données projet'!$B$12,Paramètres!$A$1:$I$89,3,0)*VLOOKUP('Données projet'!$B$12,Paramètres!$A$1:$I$89,5,0)</f>
        <v>219.86639999999997</v>
      </c>
      <c r="CA33" s="13">
        <f t="shared" si="39"/>
        <v>54.085847394182416</v>
      </c>
      <c r="CB33" s="20">
        <f t="shared" si="10"/>
        <v>477.13349754486762</v>
      </c>
      <c r="CC33" s="59">
        <f t="shared" si="11"/>
        <v>770.46683087820088</v>
      </c>
      <c r="CD33" s="59">
        <f ca="1">AVERAGE(OFFSET($CC$3,0,0,'Données projet'!$E$12+1,1))-AVERAGE(OFFSET($H$3,0,0,'Données projet'!$E$12+1,1))</f>
        <v>366.86025470473652</v>
      </c>
      <c r="CE33" s="59">
        <f t="shared" si="40"/>
        <v>513.80016421153414</v>
      </c>
      <c r="CF33" s="15">
        <f>IF(ISNA(VLOOKUP(A33,'Données projet'!$A$113:$I$133,3,0)),0,VLOOKUP(A33,'Données projet'!$A$113:$I$133,3,0))</f>
        <v>6</v>
      </c>
      <c r="CG33" s="15">
        <f>IF(ISNA(VLOOKUP(A33,'Données projet'!$A$113:$I$133,4,0)),0,VLOOKUP(A33,'Données projet'!$A$113:$I$133,4,0))</f>
        <v>11</v>
      </c>
      <c r="CH33" s="16">
        <f>IF(ISNA(VLOOKUP(A33,'Données projet'!$A$113:$I$133,5,0)),0%,VLOOKUP(A33,'Données projet'!$A$113:$I$133,5,0)*VLOOKUP('Données projet'!$B$12,Paramètres!$A$1:$I$89,7,0))</f>
        <v>0.09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0.3</v>
      </c>
      <c r="CK33" s="21">
        <f>EXP(-LN(2)/35)*CK32+(1-EXP(-LN(2)/35))/(LN(2)/35)*CG33*CH33*VLOOKUP('Données projet'!$B$12,Paramètres!$A$1:$I$89,3,0)*0.475*44/12</f>
        <v>2.5747839423677243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3.7020495678067502</v>
      </c>
      <c r="CN33" s="22">
        <f t="shared" si="12"/>
        <v>6.276833510174475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255</v>
      </c>
      <c r="CR33" s="12">
        <f>VLOOKUP(A33,'Données projet'!$A$139:$I$159,9,0)</f>
        <v>16.666666666666668</v>
      </c>
      <c r="CS33" s="12">
        <f t="array" ref="CS33">INDEX(CR:CR,MIN(IF(ISNUMBER(CR33:CR229),ROW(CR33:CR229),"")))</f>
        <v>16.666666666666668</v>
      </c>
      <c r="CT33" s="12">
        <f>IF('Données projet'!$A$140&gt;35,CT32+CS33-DB32,IF(A33&lt;'Données projet'!$A$140,$CQ$205^A33,IF(A33='Données projet'!$A$140,'Données projet'!$B$140,CT32+CS33-DB32)))</f>
        <v>254.99999999999994</v>
      </c>
      <c r="CU33" s="17">
        <f>CT33*VLOOKUP('Données projet'!$B$13,Paramètres!$A$1:$I$89,3,0)*VLOOKUP('Données projet'!$B$13,Paramètres!$A$1:$I$89,5,0)</f>
        <v>139.22999999999996</v>
      </c>
      <c r="CV33" s="13">
        <f t="shared" si="41"/>
        <v>36.120552727378737</v>
      </c>
      <c r="CW33" s="20">
        <f t="shared" si="13"/>
        <v>305.4022126668512</v>
      </c>
      <c r="CX33" s="59">
        <f t="shared" si="14"/>
        <v>598.73554600018451</v>
      </c>
      <c r="CY33" s="59">
        <f ca="1">AVERAGE(OFFSET($CX$3,0,0,'Données projet'!$E$13+1,1))-AVERAGE(OFFSET($H$3,0,0,'Données projet'!$E$13+1,1))</f>
        <v>207.02306964567629</v>
      </c>
      <c r="CZ33" s="59">
        <f t="shared" si="42"/>
        <v>342.06887933351783</v>
      </c>
      <c r="DA33" s="15">
        <f>IF(ISNA(VLOOKUP(A33,'Données projet'!$A$139:$I$159,3,0)),0,VLOOKUP(A33,'Données projet'!$A$139:$I$159,3,0))</f>
        <v>5</v>
      </c>
      <c r="DB33" s="15">
        <f>IF(ISNA(VLOOKUP(A33,'Données projet'!$A$139:$I$159,4,0)),0,VLOOKUP(A33,'Données projet'!$A$139:$I$159,4,0))</f>
        <v>76</v>
      </c>
      <c r="DC33" s="16">
        <f>IF(ISNA(VLOOKUP(A33,'Données projet'!$A$139:$I$159,5,0)),0%,VLOOKUP(A33,'Données projet'!$A$139:$I$159,5,0)*VLOOKUP('Données projet'!$B$13,Paramètres!$A$1:$I$89,7,0))</f>
        <v>0.12</v>
      </c>
      <c r="DD33" s="16">
        <f>IF(ISNA(VLOOKUP(A33,'Données projet'!$A$139:$I$159,6,0)),0%,VLOOKUP(A33,'Données projet'!$A$139:$I$159,6,0)*VLOOKUP('Données projet'!$B$13,Paramètres!$A$1:$I$89,7,0))</f>
        <v>0.36</v>
      </c>
      <c r="DE33" s="16">
        <f>IF(ISNA(VLOOKUP(A33,'Données projet'!$A$139:$I$159,7,0)),0%,VLOOKUP(A33,'Données projet'!$A$139:$I$159,7,0))</f>
        <v>0.2</v>
      </c>
      <c r="DF33" s="21">
        <f>EXP(-LN(2)/35)*DF32+(1-EXP(-LN(2)/35))/(LN(2)/35)*DB33*DC33*VLOOKUP('Données projet'!$B$13,Paramètres!$A$1:$I$89,3,0)*0.475*44/12</f>
        <v>6.605654237150298</v>
      </c>
      <c r="DG33" s="21">
        <f>EXP(-LN(2)/25)*DG32+(1-EXP(-LN(2)/25))/(LN(2)/25)*Calculateur!DB33*Calculateur!DD33*VLOOKUP('Données projet'!$B$13,Paramètres!$A$1:$I$89,3,0)*0.475*44/12</f>
        <v>38.919653644438441</v>
      </c>
      <c r="DH33" s="21">
        <f>EXP(-LN(2)/2)*DH32+(1-EXP(-LN(2)/2))/(LN(2)/2)*DB33*DE33*VLOOKUP('Données projet'!$B$13,Paramètres!$A$1:$I$89,3,0)*0.475*44/12</f>
        <v>13.274052397900833</v>
      </c>
      <c r="DI33" s="22">
        <f t="shared" si="15"/>
        <v>58.799360279489569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7">
        <f t="shared" si="1"/>
        <v>256.66666666666669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10</v>
      </c>
      <c r="N34" s="13">
        <f>IF('Données projet'!$A$36&gt;35,N33+M34-V33,IF(A34&lt;'Données projet'!$A$36,$K$205^A34,IF(A34='Données projet'!$A$36,'Données projet'!$B$36,N33+M34-V33)))</f>
        <v>153.49999999999989</v>
      </c>
      <c r="O34" s="13">
        <f>N34*VLOOKUP('Données projet'!$B$9,Paramètres!$A$1:$I$89,3,0)*VLOOKUP('Données projet'!$B$9,Paramètres!$A$1:$I$89,5,0)</f>
        <v>71.837999999999951</v>
      </c>
      <c r="P34" s="13">
        <f t="shared" si="33"/>
        <v>20.129206956785634</v>
      </c>
      <c r="Q34" s="20">
        <f t="shared" si="2"/>
        <v>160.17621878306821</v>
      </c>
      <c r="R34" s="59">
        <f t="shared" si="0"/>
        <v>453.50955211640155</v>
      </c>
      <c r="S34" s="59">
        <f ca="1">AVERAGE(OFFSET($R$3,0,0,'Données projet'!$E$9+1,1))-AVERAGE(OFFSET($H$3,0,0,'Données projet'!$E$9+1,1))</f>
        <v>319.22903094674564</v>
      </c>
      <c r="T34" s="59">
        <f t="shared" si="34"/>
        <v>254.58690973142848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8.8981890333964007</v>
      </c>
      <c r="AA34" s="21">
        <f>EXP(-LN(2)/25)*AA33+(1-EXP(-LN(2)/25))/(LN(2)/25)*Calculateur!V34*Calculateur!X34*VLOOKUP('Données projet'!$B$9,Paramètres!$A$1:$I$89,3,0)*0.475*44/12</f>
        <v>10.846386778942103</v>
      </c>
      <c r="AB34" s="21">
        <f>EXP(-LN(2)/2)*AB33+(1-EXP(-LN(2)/2))/(LN(2)/2)*V34*Y34*VLOOKUP('Données projet'!$B$9,Paramètres!$A$1:$I$89,3,0)*0.475*44/12</f>
        <v>7.8086711494037937</v>
      </c>
      <c r="AC34" s="22">
        <f t="shared" si="3"/>
        <v>27.553246961742296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12.2</v>
      </c>
      <c r="AI34" s="13">
        <f>IF('Données projet'!$A$62&gt;35,AI33+AH34-AQ33,IF(A34&lt;'Données projet'!$A$62,$AF$205^A34,IF(A34='Données projet'!$A$62,'Données projet'!$B$62,AI33+AH34-AQ33)))</f>
        <v>152.20000000000002</v>
      </c>
      <c r="AJ34" s="13">
        <f>AI34*VLOOKUP('Données projet'!$B$10,Paramètres!$A$1:$I$89,3,0)*VLOOKUP('Données projet'!$B$10,Paramètres!$A$1:$I$89,5,0)</f>
        <v>132.96192000000002</v>
      </c>
      <c r="AK34" s="13">
        <f t="shared" si="35"/>
        <v>34.679872132599144</v>
      </c>
      <c r="AL34" s="20">
        <f t="shared" si="4"/>
        <v>291.97612129761018</v>
      </c>
      <c r="AM34" s="59">
        <f t="shared" si="5"/>
        <v>585.30945463094349</v>
      </c>
      <c r="AN34" s="59">
        <f ca="1">AVERAGE(OFFSET($AM$3,0,0,'Données projet'!$E$10+1,1))-AVERAGE(OFFSET($H$3,0,0,'Données projet'!$E$10+1,1))</f>
        <v>321.23599968992932</v>
      </c>
      <c r="AO34" s="59">
        <f t="shared" si="36"/>
        <v>388.05195847800502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6.6412712361381177</v>
      </c>
      <c r="AV34" s="21">
        <f>EXP(-LN(2)/25)*AV33+(1-EXP(-LN(2)/25))/(LN(2)/25)*Calculateur!AQ34*Calculateur!AS34*VLOOKUP('Données projet'!$B$10,Paramètres!$A$1:$I$89,3,0)*0.475*44/12</f>
        <v>14.883628551103047</v>
      </c>
      <c r="AW34" s="21">
        <f>EXP(-LN(2)/2)*AW33+(1-EXP(-LN(2)/2))/(LN(2)/2)*AQ34*AT34*VLOOKUP('Données projet'!$B$10,Paramètres!$A$1:$I$89,3,0)*0.475*44/12</f>
        <v>11.965168270067061</v>
      </c>
      <c r="AX34" s="21">
        <f t="shared" si="6"/>
        <v>33.490068057308221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14.833333333333334</v>
      </c>
      <c r="BD34" s="12">
        <f>IF('Données projet'!$A$88&gt;35,BD33+BC34-BL33,IF(A34&lt;'Données projet'!$A$88,$BA$205^A34,IF(A34='Données projet'!$A$88,'Données projet'!$B$88,BD33+BC34-BL33)))</f>
        <v>199.50000000000003</v>
      </c>
      <c r="BE34" s="13">
        <f>BD34*VLOOKUP('Données projet'!$B$11,Paramètres!$A$1:$I$89,3,0)*VLOOKUP('Données projet'!$B$11,Paramètres!$A$1:$I$89,5,0)</f>
        <v>119.30100000000002</v>
      </c>
      <c r="BF34" s="13">
        <f t="shared" si="37"/>
        <v>31.51191363312137</v>
      </c>
      <c r="BG34" s="20">
        <f t="shared" si="7"/>
        <v>262.66582457768635</v>
      </c>
      <c r="BH34" s="59">
        <f t="shared" si="8"/>
        <v>555.99915791101967</v>
      </c>
      <c r="BI34" s="59">
        <f ca="1">AVERAGE(OFFSET($BH$3,0,0,'Données projet'!$E$11+1,1))-AVERAGE(OFFSET($H$3,0,0,'Données projet'!$E$11+1,1))</f>
        <v>258.31845364515124</v>
      </c>
      <c r="BJ34" s="59">
        <f t="shared" si="38"/>
        <v>280.26155987300996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11.253501660372219</v>
      </c>
      <c r="BQ34" s="21">
        <f>EXP(-LN(2)/25)*BQ33+(1-EXP(-LN(2)/25))/(LN(2)/25)*Calculateur!BL34*Calculateur!BN34*VLOOKUP('Données projet'!$B$11,Paramètres!$A$1:$I$89,3,0)*0.475*44/12</f>
        <v>9.1693061925035018</v>
      </c>
      <c r="BR34" s="21">
        <f>EXP(-LN(2)/2)*BR33+(1-EXP(-LN(2)/2))/(LN(2)/2)*BL34*BO34*VLOOKUP('Données projet'!$B$11,Paramètres!$A$1:$I$89,3,0)*0.475*44/12</f>
        <v>3.2024840780049741</v>
      </c>
      <c r="BS34" s="22">
        <f t="shared" si="9"/>
        <v>23.625291930880696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7</v>
      </c>
      <c r="BY34" s="12">
        <f>IF('Données projet'!$A$114&gt;35,BY33+BX34-CG33,IF(A34&lt;'Données projet'!$A$114,$BV$205^A34,IF(A34='Données projet'!$A$114,'Données projet'!$B$114,BY33+BX34-CG33)))</f>
        <v>238.99999999999997</v>
      </c>
      <c r="BZ34" s="13">
        <f>BY34*VLOOKUP('Données projet'!$B$12,Paramètres!$A$1:$I$89,3,0)*VLOOKUP('Données projet'!$B$12,Paramètres!$A$1:$I$89,5,0)</f>
        <v>216.24719999999996</v>
      </c>
      <c r="CA34" s="13">
        <f t="shared" si="39"/>
        <v>53.298418226645332</v>
      </c>
      <c r="CB34" s="20">
        <f t="shared" si="10"/>
        <v>469.45861841140714</v>
      </c>
      <c r="CC34" s="59">
        <f t="shared" si="11"/>
        <v>762.79195174474046</v>
      </c>
      <c r="CD34" s="59">
        <f ca="1">AVERAGE(OFFSET($CC$3,0,0,'Données projet'!$E$12+1,1))-AVERAGE(OFFSET($H$3,0,0,'Données projet'!$E$12+1,1))</f>
        <v>366.86025470473652</v>
      </c>
      <c r="CE34" s="59">
        <f t="shared" si="40"/>
        <v>513.80016421153414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2.5242939997210279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2.6177443536848806</v>
      </c>
      <c r="CN34" s="22">
        <f t="shared" si="12"/>
        <v>5.1420383534059084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15</v>
      </c>
      <c r="CT34" s="12">
        <f>IF('Données projet'!$A$140&gt;35,CT33+CS34-DB33,IF(A34&lt;'Données projet'!$A$140,$CQ$205^A34,IF(A34='Données projet'!$A$140,'Données projet'!$B$140,CT33+CS34-DB33)))</f>
        <v>193.99999999999994</v>
      </c>
      <c r="CU34" s="17">
        <f>CT34*VLOOKUP('Données projet'!$B$13,Paramètres!$A$1:$I$89,3,0)*VLOOKUP('Données projet'!$B$13,Paramètres!$A$1:$I$89,5,0)</f>
        <v>105.92399999999998</v>
      </c>
      <c r="CV34" s="13">
        <f t="shared" si="41"/>
        <v>28.36854701055546</v>
      </c>
      <c r="CW34" s="20">
        <f t="shared" si="13"/>
        <v>233.89285271005073</v>
      </c>
      <c r="CX34" s="59">
        <f t="shared" si="14"/>
        <v>527.22618604338402</v>
      </c>
      <c r="CY34" s="59">
        <f ca="1">AVERAGE(OFFSET($CX$3,0,0,'Données projet'!$E$13+1,1))-AVERAGE(OFFSET($H$3,0,0,'Données projet'!$E$13+1,1))</f>
        <v>207.02306964567629</v>
      </c>
      <c r="CZ34" s="59">
        <f t="shared" si="42"/>
        <v>342.06887933351783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6.4761213866110294</v>
      </c>
      <c r="DG34" s="21">
        <f>EXP(-LN(2)/25)*DG33+(1-EXP(-LN(2)/25))/(LN(2)/25)*Calculateur!DB34*Calculateur!DD34*VLOOKUP('Données projet'!$B$13,Paramètres!$A$1:$I$89,3,0)*0.475*44/12</f>
        <v>37.855393668835639</v>
      </c>
      <c r="DH34" s="21">
        <f>EXP(-LN(2)/2)*DH33+(1-EXP(-LN(2)/2))/(LN(2)/2)*DB34*DE34*VLOOKUP('Données projet'!$B$13,Paramètres!$A$1:$I$89,3,0)*0.475*44/12</f>
        <v>9.3861724643812323</v>
      </c>
      <c r="DI34" s="22">
        <f t="shared" si="15"/>
        <v>53.717687519827898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7">
        <f t="shared" si="1"/>
        <v>256.66666666666669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10</v>
      </c>
      <c r="N35" s="13">
        <f>IF('Données projet'!$A$36&gt;35,N34+M35-V34,IF(A35&lt;'Données projet'!$A$36,$K$205^A35,IF(A35='Données projet'!$A$36,'Données projet'!$B$36,N34+M35-V34)))</f>
        <v>163.49999999999989</v>
      </c>
      <c r="O35" s="13">
        <f>N35*VLOOKUP('Données projet'!$B$9,Paramètres!$A$1:$I$89,3,0)*VLOOKUP('Données projet'!$B$9,Paramètres!$A$1:$I$89,5,0)</f>
        <v>76.517999999999944</v>
      </c>
      <c r="P35" s="13">
        <f t="shared" si="33"/>
        <v>21.283624623620089</v>
      </c>
      <c r="Q35" s="20">
        <f t="shared" ref="Q35:Q66" si="53">(O35+P35)*0.475*44/12</f>
        <v>170.33782955280489</v>
      </c>
      <c r="R35" s="59">
        <f t="shared" si="0"/>
        <v>463.67116288613818</v>
      </c>
      <c r="S35" s="59">
        <f ca="1">AVERAGE(OFFSET($R$3,0,0,'Données projet'!$E$9+1,1))-AVERAGE(OFFSET($H$3,0,0,'Données projet'!$E$9+1,1))</f>
        <v>319.22903094674564</v>
      </c>
      <c r="T35" s="59">
        <f t="shared" si="34"/>
        <v>254.58690973142848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8.7237009738109013</v>
      </c>
      <c r="AA35" s="21">
        <f>EXP(-LN(2)/25)*AA34+(1-EXP(-LN(2)/25))/(LN(2)/25)*Calculateur!V35*Calculateur!X35*VLOOKUP('Données projet'!$B$9,Paramètres!$A$1:$I$89,3,0)*0.475*44/12</f>
        <v>10.54979176208524</v>
      </c>
      <c r="AB35" s="21">
        <f>EXP(-LN(2)/2)*AB34+(1-EXP(-LN(2)/2))/(LN(2)/2)*V35*Y35*VLOOKUP('Données projet'!$B$9,Paramètres!$A$1:$I$89,3,0)*0.475*44/12</f>
        <v>5.5215643217991754</v>
      </c>
      <c r="AC35" s="22">
        <f t="shared" si="3"/>
        <v>24.795057057695317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12.2</v>
      </c>
      <c r="AI35" s="13">
        <f>IF('Données projet'!$A$62&gt;35,AI34+AH35-AQ34,IF(A35&lt;'Données projet'!$A$62,$AF$205^A35,IF(A35='Données projet'!$A$62,'Données projet'!$B$62,AI34+AH35-AQ34)))</f>
        <v>164.4</v>
      </c>
      <c r="AJ35" s="13">
        <f>AI35*VLOOKUP('Données projet'!$B$10,Paramètres!$A$1:$I$89,3,0)*VLOOKUP('Données projet'!$B$10,Paramètres!$A$1:$I$89,5,0)</f>
        <v>143.61984000000001</v>
      </c>
      <c r="AK35" s="13">
        <f t="shared" si="35"/>
        <v>37.125023974706046</v>
      </c>
      <c r="AL35" s="20">
        <f t="shared" si="4"/>
        <v>314.79730475594641</v>
      </c>
      <c r="AM35" s="59">
        <f t="shared" si="5"/>
        <v>608.13063808927973</v>
      </c>
      <c r="AN35" s="59">
        <f ca="1">AVERAGE(OFFSET($AM$3,0,0,'Données projet'!$E$10+1,1))-AVERAGE(OFFSET($H$3,0,0,'Données projet'!$E$10+1,1))</f>
        <v>321.23599968992932</v>
      </c>
      <c r="AO35" s="59">
        <f t="shared" si="36"/>
        <v>388.05195847800502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6.5110399579729226</v>
      </c>
      <c r="AV35" s="21">
        <f>EXP(-LN(2)/25)*AV34+(1-EXP(-LN(2)/25))/(LN(2)/25)*Calculateur!AQ35*Calculateur!AS35*VLOOKUP('Données projet'!$B$10,Paramètres!$A$1:$I$89,3,0)*0.475*44/12</f>
        <v>14.476634945677127</v>
      </c>
      <c r="AW35" s="21">
        <f>EXP(-LN(2)/2)*AW34+(1-EXP(-LN(2)/2))/(LN(2)/2)*AQ35*AT35*VLOOKUP('Données projet'!$B$10,Paramètres!$A$1:$I$89,3,0)*0.475*44/12</f>
        <v>8.4606516218025316</v>
      </c>
      <c r="AX35" s="21">
        <f t="shared" si="6"/>
        <v>29.448326525452579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14.833333333333334</v>
      </c>
      <c r="BD35" s="12">
        <f>IF('Données projet'!$A$88&gt;35,BD34+BC35-BL34,IF(A35&lt;'Données projet'!$A$88,$BA$205^A35,IF(A35='Données projet'!$A$88,'Données projet'!$B$88,BD34+BC35-BL34)))</f>
        <v>214.33333333333337</v>
      </c>
      <c r="BE35" s="13">
        <f>BD35*VLOOKUP('Données projet'!$B$11,Paramètres!$A$1:$I$89,3,0)*VLOOKUP('Données projet'!$B$11,Paramètres!$A$1:$I$89,5,0)</f>
        <v>128.17133333333337</v>
      </c>
      <c r="BF35" s="13">
        <f t="shared" si="37"/>
        <v>33.5734603980111</v>
      </c>
      <c r="BG35" s="20">
        <f t="shared" si="7"/>
        <v>281.70551574875822</v>
      </c>
      <c r="BH35" s="59">
        <f t="shared" si="8"/>
        <v>575.03884908209147</v>
      </c>
      <c r="BI35" s="59">
        <f ca="1">AVERAGE(OFFSET($BH$3,0,0,'Données projet'!$E$11+1,1))-AVERAGE(OFFSET($H$3,0,0,'Données projet'!$E$11+1,1))</f>
        <v>258.31845364515124</v>
      </c>
      <c r="BJ35" s="59">
        <f t="shared" si="38"/>
        <v>280.26155987300996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11.032827356770573</v>
      </c>
      <c r="BQ35" s="21">
        <f>EXP(-LN(2)/25)*BQ34+(1-EXP(-LN(2)/25))/(LN(2)/25)*Calculateur!BL35*Calculateur!BN35*VLOOKUP('Données projet'!$B$11,Paramètres!$A$1:$I$89,3,0)*0.475*44/12</f>
        <v>8.9185710324766383</v>
      </c>
      <c r="BR35" s="21">
        <f>EXP(-LN(2)/2)*BR34+(1-EXP(-LN(2)/2))/(LN(2)/2)*BL35*BO35*VLOOKUP('Données projet'!$B$11,Paramètres!$A$1:$I$89,3,0)*0.475*44/12</f>
        <v>2.2644982081992659</v>
      </c>
      <c r="BS35" s="22">
        <f t="shared" si="9"/>
        <v>22.215896597446477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7</v>
      </c>
      <c r="BY35" s="12">
        <f>IF('Données projet'!$A$114&gt;35,BY34+BX35-CG34,IF(A35&lt;'Données projet'!$A$114,$BV$205^A35,IF(A35='Données projet'!$A$114,'Données projet'!$B$114,BY34+BX35-CG34)))</f>
        <v>245.99999999999997</v>
      </c>
      <c r="BZ35" s="13">
        <f>BY35*VLOOKUP('Données projet'!$B$12,Paramètres!$A$1:$I$89,3,0)*VLOOKUP('Données projet'!$B$12,Paramètres!$A$1:$I$89,5,0)</f>
        <v>222.58079999999998</v>
      </c>
      <c r="CA35" s="13">
        <f t="shared" si="39"/>
        <v>54.675428546153199</v>
      </c>
      <c r="CB35" s="20">
        <f t="shared" si="10"/>
        <v>482.88793138455003</v>
      </c>
      <c r="CC35" s="59">
        <f t="shared" si="11"/>
        <v>776.22126471788329</v>
      </c>
      <c r="CD35" s="59">
        <f ca="1">AVERAGE(OFFSET($CC$3,0,0,'Données projet'!$E$12+1,1))-AVERAGE(OFFSET($H$3,0,0,'Données projet'!$E$12+1,1))</f>
        <v>366.86025470473652</v>
      </c>
      <c r="CE35" s="59">
        <f t="shared" si="40"/>
        <v>513.80016421153414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2.4747941340538087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1.8510247839033753</v>
      </c>
      <c r="CN35" s="22">
        <f t="shared" si="12"/>
        <v>4.325818917957184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15</v>
      </c>
      <c r="CT35" s="12">
        <f>IF('Données projet'!$A$140&gt;35,CT34+CS35-DB34,IF(A35&lt;'Données projet'!$A$140,$CQ$205^A35,IF(A35='Données projet'!$A$140,'Données projet'!$B$140,CT34+CS35-DB34)))</f>
        <v>208.99999999999994</v>
      </c>
      <c r="CU35" s="17">
        <f>CT35*VLOOKUP('Données projet'!$B$13,Paramètres!$A$1:$I$89,3,0)*VLOOKUP('Données projet'!$B$13,Paramètres!$A$1:$I$89,5,0)</f>
        <v>114.11399999999996</v>
      </c>
      <c r="CV35" s="13">
        <f t="shared" si="41"/>
        <v>30.298194021728271</v>
      </c>
      <c r="CW35" s="20">
        <f t="shared" si="13"/>
        <v>251.5179045878433</v>
      </c>
      <c r="CX35" s="59">
        <f t="shared" si="14"/>
        <v>544.85123792117656</v>
      </c>
      <c r="CY35" s="59">
        <f ca="1">AVERAGE(OFFSET($CX$3,0,0,'Données projet'!$E$13+1,1))-AVERAGE(OFFSET($H$3,0,0,'Données projet'!$E$13+1,1))</f>
        <v>207.02306964567629</v>
      </c>
      <c r="CZ35" s="59">
        <f t="shared" si="42"/>
        <v>342.06887933351783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6.3491285962635988</v>
      </c>
      <c r="DG35" s="21">
        <f>EXP(-LN(2)/25)*DG34+(1-EXP(-LN(2)/25))/(LN(2)/25)*Calculateur!DB35*Calculateur!DD35*VLOOKUP('Données projet'!$B$13,Paramètres!$A$1:$I$89,3,0)*0.475*44/12</f>
        <v>36.820235938232692</v>
      </c>
      <c r="DH35" s="21">
        <f>EXP(-LN(2)/2)*DH34+(1-EXP(-LN(2)/2))/(LN(2)/2)*DB35*DE35*VLOOKUP('Données projet'!$B$13,Paramètres!$A$1:$I$89,3,0)*0.475*44/12</f>
        <v>6.6370261989504185</v>
      </c>
      <c r="DI35" s="22">
        <f t="shared" si="15"/>
        <v>49.806390733446705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7">
        <f t="shared" si="1"/>
        <v>256.66666666666669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10</v>
      </c>
      <c r="N36" s="13">
        <f>IF('Données projet'!$A$36&gt;35,N35+M36-V35,IF(A36&lt;'Données projet'!$A$36,$K$205^A36,IF(A36='Données projet'!$A$36,'Données projet'!$B$36,N35+M36-V35)))</f>
        <v>173.49999999999989</v>
      </c>
      <c r="O36" s="13">
        <f>N36*VLOOKUP('Données projet'!$B$9,Paramètres!$A$1:$I$89,3,0)*VLOOKUP('Données projet'!$B$9,Paramètres!$A$1:$I$89,5,0)</f>
        <v>81.197999999999951</v>
      </c>
      <c r="P36" s="13">
        <f t="shared" si="33"/>
        <v>22.429847477648512</v>
      </c>
      <c r="Q36" s="20">
        <f t="shared" si="53"/>
        <v>180.48516769023772</v>
      </c>
      <c r="R36" s="59">
        <f t="shared" si="0"/>
        <v>473.818501023571</v>
      </c>
      <c r="S36" s="59">
        <f ca="1">AVERAGE(OFFSET($R$3,0,0,'Données projet'!$E$9+1,1))-AVERAGE(OFFSET($H$3,0,0,'Données projet'!$E$9+1,1))</f>
        <v>319.22903094674564</v>
      </c>
      <c r="T36" s="59">
        <f t="shared" si="34"/>
        <v>254.58690973142848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8.5526345186466646</v>
      </c>
      <c r="AA36" s="21">
        <f>EXP(-LN(2)/25)*AA35+(1-EXP(-LN(2)/25))/(LN(2)/25)*Calculateur!V36*Calculateur!X36*VLOOKUP('Données projet'!$B$9,Paramètres!$A$1:$I$89,3,0)*0.475*44/12</f>
        <v>10.261307151561583</v>
      </c>
      <c r="AB36" s="21">
        <f>EXP(-LN(2)/2)*AB35+(1-EXP(-LN(2)/2))/(LN(2)/2)*V36*Y36*VLOOKUP('Données projet'!$B$9,Paramètres!$A$1:$I$89,3,0)*0.475*44/12</f>
        <v>3.9043355747018973</v>
      </c>
      <c r="AC36" s="22">
        <f t="shared" si="3"/>
        <v>22.718277244910144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12.2</v>
      </c>
      <c r="AI36" s="13">
        <f>IF('Données projet'!$A$62&gt;35,AI35+AH36-AQ35,IF(A36&lt;'Données projet'!$A$62,$AF$205^A36,IF(A36='Données projet'!$A$62,'Données projet'!$B$62,AI35+AH36-AQ35)))</f>
        <v>176.6</v>
      </c>
      <c r="AJ36" s="13">
        <f>AI36*VLOOKUP('Données projet'!$B$10,Paramètres!$A$1:$I$89,3,0)*VLOOKUP('Données projet'!$B$10,Paramètres!$A$1:$I$89,5,0)</f>
        <v>154.27776</v>
      </c>
      <c r="AK36" s="13">
        <f t="shared" si="35"/>
        <v>39.549125277353333</v>
      </c>
      <c r="AL36" s="20">
        <f t="shared" si="4"/>
        <v>337.58182519139035</v>
      </c>
      <c r="AM36" s="59">
        <f t="shared" si="5"/>
        <v>630.91515852472367</v>
      </c>
      <c r="AN36" s="59">
        <f ca="1">AVERAGE(OFFSET($AM$3,0,0,'Données projet'!$E$10+1,1))-AVERAGE(OFFSET($H$3,0,0,'Données projet'!$E$10+1,1))</f>
        <v>321.23599968992932</v>
      </c>
      <c r="AO36" s="59">
        <f t="shared" si="36"/>
        <v>388.05195847800502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6.3833624357393104</v>
      </c>
      <c r="AV36" s="21">
        <f>EXP(-LN(2)/25)*AV35+(1-EXP(-LN(2)/25))/(LN(2)/25)*Calculateur!AQ36*Calculateur!AS36*VLOOKUP('Données projet'!$B$10,Paramètres!$A$1:$I$89,3,0)*0.475*44/12</f>
        <v>14.080770601794441</v>
      </c>
      <c r="AW36" s="21">
        <f>EXP(-LN(2)/2)*AW35+(1-EXP(-LN(2)/2))/(LN(2)/2)*AQ36*AT36*VLOOKUP('Données projet'!$B$10,Paramètres!$A$1:$I$89,3,0)*0.475*44/12</f>
        <v>5.9825841350335311</v>
      </c>
      <c r="AX36" s="21">
        <f t="shared" si="6"/>
        <v>26.446717172567283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14.833333333333334</v>
      </c>
      <c r="BD36" s="12">
        <f>IF('Données projet'!$A$88&gt;35,BD35+BC36-BL35,IF(A36&lt;'Données projet'!$A$88,$BA$205^A36,IF(A36='Données projet'!$A$88,'Données projet'!$B$88,BD35+BC36-BL35)))</f>
        <v>229.16666666666671</v>
      </c>
      <c r="BE36" s="13">
        <f>BD36*VLOOKUP('Données projet'!$B$11,Paramètres!$A$1:$I$89,3,0)*VLOOKUP('Données projet'!$B$11,Paramètres!$A$1:$I$89,5,0)</f>
        <v>137.04166666666671</v>
      </c>
      <c r="BF36" s="13">
        <f t="shared" si="37"/>
        <v>35.618452776877568</v>
      </c>
      <c r="BG36" s="20">
        <f t="shared" si="7"/>
        <v>300.7163746975063</v>
      </c>
      <c r="BH36" s="59">
        <f t="shared" si="8"/>
        <v>594.04970803083961</v>
      </c>
      <c r="BI36" s="59">
        <f ca="1">AVERAGE(OFFSET($BH$3,0,0,'Données projet'!$E$11+1,1))-AVERAGE(OFFSET($H$3,0,0,'Données projet'!$E$11+1,1))</f>
        <v>258.31845364515124</v>
      </c>
      <c r="BJ36" s="59">
        <f t="shared" si="38"/>
        <v>280.26155987300996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10.816480341664521</v>
      </c>
      <c r="BQ36" s="21">
        <f>EXP(-LN(2)/25)*BQ35+(1-EXP(-LN(2)/25))/(LN(2)/25)*Calculateur!BL36*Calculateur!BN36*VLOOKUP('Données projet'!$B$11,Paramètres!$A$1:$I$89,3,0)*0.475*44/12</f>
        <v>8.6746922385862977</v>
      </c>
      <c r="BR36" s="21">
        <f>EXP(-LN(2)/2)*BR35+(1-EXP(-LN(2)/2))/(LN(2)/2)*BL36*BO36*VLOOKUP('Données projet'!$B$11,Paramètres!$A$1:$I$89,3,0)*0.475*44/12</f>
        <v>1.6012420390024873</v>
      </c>
      <c r="BS36" s="22">
        <f t="shared" si="9"/>
        <v>21.092414619253304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7</v>
      </c>
      <c r="BY36" s="12">
        <f>IF('Données projet'!$A$114&gt;35,BY35+BX36-CG35,IF(A36&lt;'Données projet'!$A$114,$BV$205^A36,IF(A36='Données projet'!$A$114,'Données projet'!$B$114,BY35+BX36-CG35)))</f>
        <v>252.99999999999997</v>
      </c>
      <c r="BZ36" s="13">
        <f>BY36*VLOOKUP('Données projet'!$B$12,Paramètres!$A$1:$I$89,3,0)*VLOOKUP('Données projet'!$B$12,Paramètres!$A$1:$I$89,5,0)</f>
        <v>228.91439999999997</v>
      </c>
      <c r="CA36" s="13">
        <f t="shared" si="39"/>
        <v>56.047884834417424</v>
      </c>
      <c r="CB36" s="20">
        <f t="shared" si="10"/>
        <v>496.30931275327697</v>
      </c>
      <c r="CC36" s="59">
        <f t="shared" si="11"/>
        <v>789.64264608661028</v>
      </c>
      <c r="CD36" s="59">
        <f ca="1">AVERAGE(OFFSET($CC$3,0,0,'Données projet'!$E$12+1,1))-AVERAGE(OFFSET($H$3,0,0,'Données projet'!$E$12+1,1))</f>
        <v>366.86025470473652</v>
      </c>
      <c r="CE36" s="59">
        <f t="shared" si="40"/>
        <v>513.80016421153414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2.4262649305603867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1.3088721768424405</v>
      </c>
      <c r="CN36" s="22">
        <f t="shared" si="12"/>
        <v>3.735137107402827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15</v>
      </c>
      <c r="CT36" s="12">
        <f>IF('Données projet'!$A$140&gt;35,CT35+CS36-DB35,IF(A36&lt;'Données projet'!$A$140,$CQ$205^A36,IF(A36='Données projet'!$A$140,'Données projet'!$B$140,CT35+CS36-DB35)))</f>
        <v>223.99999999999994</v>
      </c>
      <c r="CU36" s="17">
        <f>CT36*VLOOKUP('Données projet'!$B$13,Paramètres!$A$1:$I$89,3,0)*VLOOKUP('Données projet'!$B$13,Paramètres!$A$1:$I$89,5,0)</f>
        <v>122.30399999999996</v>
      </c>
      <c r="CV36" s="13">
        <f t="shared" si="41"/>
        <v>32.211773226559373</v>
      </c>
      <c r="CW36" s="20">
        <f t="shared" si="13"/>
        <v>269.11497170292415</v>
      </c>
      <c r="CX36" s="59">
        <f t="shared" si="14"/>
        <v>562.44830503625747</v>
      </c>
      <c r="CY36" s="59">
        <f ca="1">AVERAGE(OFFSET($CX$3,0,0,'Données projet'!$E$13+1,1))-AVERAGE(OFFSET($H$3,0,0,'Données projet'!$E$13+1,1))</f>
        <v>207.02306964567629</v>
      </c>
      <c r="CZ36" s="59">
        <f t="shared" si="42"/>
        <v>342.06887933351783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6.224626057076927</v>
      </c>
      <c r="DG36" s="21">
        <f>EXP(-LN(2)/25)*DG35+(1-EXP(-LN(2)/25))/(LN(2)/25)*Calculateur!DB36*Calculateur!DD36*VLOOKUP('Données projet'!$B$13,Paramètres!$A$1:$I$89,3,0)*0.475*44/12</f>
        <v>35.813384650209663</v>
      </c>
      <c r="DH36" s="21">
        <f>EXP(-LN(2)/2)*DH35+(1-EXP(-LN(2)/2))/(LN(2)/2)*DB36*DE36*VLOOKUP('Données projet'!$B$13,Paramètres!$A$1:$I$89,3,0)*0.475*44/12</f>
        <v>4.693086232190617</v>
      </c>
      <c r="DI36" s="22">
        <f t="shared" si="15"/>
        <v>46.731096939477204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7">
        <f t="shared" si="1"/>
        <v>256.66666666666669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10</v>
      </c>
      <c r="N37" s="13">
        <f>IF('Données projet'!$A$36&gt;35,N36+M37-V36,IF(A37&lt;'Données projet'!$A$36,$K$205^A37,IF(A37='Données projet'!$A$36,'Données projet'!$B$36,N36+M37-V36)))</f>
        <v>183.49999999999989</v>
      </c>
      <c r="O37" s="13">
        <f>N37*VLOOKUP('Données projet'!$B$9,Paramètres!$A$1:$I$89,3,0)*VLOOKUP('Données projet'!$B$9,Paramètres!$A$1:$I$89,5,0)</f>
        <v>85.877999999999957</v>
      </c>
      <c r="P37" s="13">
        <f t="shared" si="33"/>
        <v>23.56840165498652</v>
      </c>
      <c r="Q37" s="20">
        <f t="shared" si="53"/>
        <v>190.61914954910142</v>
      </c>
      <c r="R37" s="59">
        <f t="shared" si="0"/>
        <v>483.95248288243477</v>
      </c>
      <c r="S37" s="59">
        <f ca="1">AVERAGE(OFFSET($R$3,0,0,'Données projet'!$E$9+1,1))-AVERAGE(OFFSET($H$3,0,0,'Données projet'!$E$9+1,1))</f>
        <v>319.22903094674564</v>
      </c>
      <c r="T37" s="59">
        <f t="shared" si="34"/>
        <v>254.58690973142848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8.3849225723279641</v>
      </c>
      <c r="AA37" s="21">
        <f>EXP(-LN(2)/25)*AA36+(1-EXP(-LN(2)/25))/(LN(2)/25)*Calculateur!V37*Calculateur!X37*VLOOKUP('Données projet'!$B$9,Paramètres!$A$1:$I$89,3,0)*0.475*44/12</f>
        <v>9.9807111678834417</v>
      </c>
      <c r="AB37" s="21">
        <f>EXP(-LN(2)/2)*AB36+(1-EXP(-LN(2)/2))/(LN(2)/2)*V37*Y37*VLOOKUP('Données projet'!$B$9,Paramètres!$A$1:$I$89,3,0)*0.475*44/12</f>
        <v>2.7607821608995882</v>
      </c>
      <c r="AC37" s="22">
        <f t="shared" si="3"/>
        <v>21.126415901110995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12.2</v>
      </c>
      <c r="AI37" s="13">
        <f>IF('Données projet'!$A$62&gt;35,AI36+AH37-AQ36,IF(A37&lt;'Données projet'!$A$62,$AF$205^A37,IF(A37='Données projet'!$A$62,'Données projet'!$B$62,AI36+AH37-AQ36)))</f>
        <v>188.79999999999998</v>
      </c>
      <c r="AJ37" s="13">
        <f>AI37*VLOOKUP('Données projet'!$B$10,Paramètres!$A$1:$I$89,3,0)*VLOOKUP('Données projet'!$B$10,Paramètres!$A$1:$I$89,5,0)</f>
        <v>164.93567999999999</v>
      </c>
      <c r="AK37" s="13">
        <f t="shared" si="35"/>
        <v>41.953795695589498</v>
      </c>
      <c r="AL37" s="20">
        <f t="shared" si="4"/>
        <v>360.33250350315166</v>
      </c>
      <c r="AM37" s="59">
        <f t="shared" si="5"/>
        <v>653.66583683648491</v>
      </c>
      <c r="AN37" s="59">
        <f ca="1">AVERAGE(OFFSET($AM$3,0,0,'Données projet'!$E$10+1,1))-AVERAGE(OFFSET($H$3,0,0,'Données projet'!$E$10+1,1))</f>
        <v>321.23599968992932</v>
      </c>
      <c r="AO37" s="59">
        <f t="shared" si="36"/>
        <v>388.05195847800502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6.2581885918411002</v>
      </c>
      <c r="AV37" s="21">
        <f>EXP(-LN(2)/25)*AV36+(1-EXP(-LN(2)/25))/(LN(2)/25)*Calculateur!AQ37*Calculateur!AS37*VLOOKUP('Données projet'!$B$10,Paramètres!$A$1:$I$89,3,0)*0.475*44/12</f>
        <v>13.695731189212829</v>
      </c>
      <c r="AW37" s="21">
        <f>EXP(-LN(2)/2)*AW36+(1-EXP(-LN(2)/2))/(LN(2)/2)*AQ37*AT37*VLOOKUP('Données projet'!$B$10,Paramètres!$A$1:$I$89,3,0)*0.475*44/12</f>
        <v>4.2303258109012658</v>
      </c>
      <c r="AX37" s="21">
        <f t="shared" si="6"/>
        <v>24.184245591955197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>
        <f>VLOOKUP(A37,'Données projet'!$A$87:$I$107,2,0)</f>
        <v>244</v>
      </c>
      <c r="BB37" s="12">
        <f>VLOOKUP(A37,'Données projet'!$A$87:$I$107,9,0)</f>
        <v>14.833333333333334</v>
      </c>
      <c r="BC37" s="12">
        <f t="array" ref="BC37">INDEX(BB:BB,MIN(IF(ISNUMBER(BB37:BB233),ROW(BB37:BB233),"")))</f>
        <v>14.833333333333334</v>
      </c>
      <c r="BD37" s="12">
        <f>IF('Données projet'!$A$88&gt;35,BD36+BC37-BL36,IF(A37&lt;'Données projet'!$A$88,$BA$205^A37,IF(A37='Données projet'!$A$88,'Données projet'!$B$88,BD36+BC37-BL36)))</f>
        <v>244.00000000000006</v>
      </c>
      <c r="BE37" s="13">
        <f>BD37*VLOOKUP('Données projet'!$B$11,Paramètres!$A$1:$I$89,3,0)*VLOOKUP('Données projet'!$B$11,Paramètres!$A$1:$I$89,5,0)</f>
        <v>145.91200000000006</v>
      </c>
      <c r="BF37" s="13">
        <f t="shared" si="37"/>
        <v>37.648084239987625</v>
      </c>
      <c r="BG37" s="20">
        <f t="shared" si="7"/>
        <v>319.7004800513119</v>
      </c>
      <c r="BH37" s="59">
        <f t="shared" si="8"/>
        <v>613.03381338464521</v>
      </c>
      <c r="BI37" s="59">
        <f ca="1">AVERAGE(OFFSET($BH$3,0,0,'Données projet'!$E$11+1,1))-AVERAGE(OFFSET($H$3,0,0,'Données projet'!$E$11+1,1))</f>
        <v>258.31845364515124</v>
      </c>
      <c r="BJ37" s="59">
        <f t="shared" si="38"/>
        <v>280.26155987300996</v>
      </c>
      <c r="BK37" s="15">
        <f>IF(ISNA(VLOOKUP(A37,'Données projet'!$A$87:$I$107,3,0)),0,VLOOKUP(A37,'Données projet'!$A$87:$I$107,3,0))</f>
        <v>6</v>
      </c>
      <c r="BL37" s="15">
        <f>IF(ISNA(VLOOKUP(A37,'Données projet'!$A$87:$I$107,4,0)),0,VLOOKUP(A37,'Données projet'!$A$87:$I$107,4,0))</f>
        <v>46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10.604375759566048</v>
      </c>
      <c r="BQ37" s="21">
        <f>EXP(-LN(2)/25)*BQ36+(1-EXP(-LN(2)/25))/(LN(2)/25)*Calculateur!BL37*Calculateur!BN37*VLOOKUP('Données projet'!$B$11,Paramètres!$A$1:$I$89,3,0)*0.475*44/12</f>
        <v>8.4374823231399176</v>
      </c>
      <c r="BR37" s="21">
        <f>EXP(-LN(2)/2)*BR36+(1-EXP(-LN(2)/2))/(LN(2)/2)*BL37*BO37*VLOOKUP('Données projet'!$B$11,Paramètres!$A$1:$I$89,3,0)*0.475*44/12</f>
        <v>1.132249104099633</v>
      </c>
      <c r="BS37" s="22">
        <f t="shared" si="9"/>
        <v>20.174107186805596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7</v>
      </c>
      <c r="BY37" s="12">
        <f>IF('Données projet'!$A$114&gt;35,BY36+BX37-CG36,IF(A37&lt;'Données projet'!$A$114,$BV$205^A37,IF(A37='Données projet'!$A$114,'Données projet'!$B$114,BY36+BX37-CG36)))</f>
        <v>260</v>
      </c>
      <c r="BZ37" s="13">
        <f>BY37*VLOOKUP('Données projet'!$B$12,Paramètres!$A$1:$I$89,3,0)*VLOOKUP('Données projet'!$B$12,Paramètres!$A$1:$I$89,5,0)</f>
        <v>235.24799999999999</v>
      </c>
      <c r="CA37" s="13">
        <f t="shared" si="39"/>
        <v>57.41592756883739</v>
      </c>
      <c r="CB37" s="20">
        <f t="shared" si="10"/>
        <v>509.72300718239177</v>
      </c>
      <c r="CC37" s="59">
        <f t="shared" si="11"/>
        <v>803.05634051572508</v>
      </c>
      <c r="CD37" s="59">
        <f ca="1">AVERAGE(OFFSET($CC$3,0,0,'Données projet'!$E$12+1,1))-AVERAGE(OFFSET($H$3,0,0,'Données projet'!$E$12+1,1))</f>
        <v>366.86025470473652</v>
      </c>
      <c r="CE37" s="59">
        <f t="shared" si="40"/>
        <v>513.80016421153414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2.3786873551475796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0.92551239195168777</v>
      </c>
      <c r="CN37" s="22">
        <f t="shared" si="12"/>
        <v>3.3041997470992674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15</v>
      </c>
      <c r="CT37" s="12">
        <f>IF('Données projet'!$A$140&gt;35,CT36+CS37-DB36,IF(A37&lt;'Données projet'!$A$140,$CQ$205^A37,IF(A37='Données projet'!$A$140,'Données projet'!$B$140,CT36+CS37-DB36)))</f>
        <v>238.99999999999994</v>
      </c>
      <c r="CU37" s="17">
        <f>CT37*VLOOKUP('Données projet'!$B$13,Paramètres!$A$1:$I$89,3,0)*VLOOKUP('Données projet'!$B$13,Paramètres!$A$1:$I$89,5,0)</f>
        <v>130.49399999999997</v>
      </c>
      <c r="CV37" s="13">
        <f t="shared" si="41"/>
        <v>34.110483018610772</v>
      </c>
      <c r="CW37" s="20">
        <f t="shared" si="13"/>
        <v>286.68614125741368</v>
      </c>
      <c r="CX37" s="59">
        <f t="shared" si="14"/>
        <v>580.019474590747</v>
      </c>
      <c r="CY37" s="59">
        <f ca="1">AVERAGE(OFFSET($CX$3,0,0,'Données projet'!$E$13+1,1))-AVERAGE(OFFSET($H$3,0,0,'Données projet'!$E$13+1,1))</f>
        <v>207.02306964567629</v>
      </c>
      <c r="CZ37" s="59">
        <f t="shared" si="42"/>
        <v>342.06887933351783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6.1025649367446553</v>
      </c>
      <c r="DG37" s="21">
        <f>EXP(-LN(2)/25)*DG36+(1-EXP(-LN(2)/25))/(LN(2)/25)*Calculateur!DB37*Calculateur!DD37*VLOOKUP('Données projet'!$B$13,Paramètres!$A$1:$I$89,3,0)*0.475*44/12</f>
        <v>34.834065763605636</v>
      </c>
      <c r="DH37" s="21">
        <f>EXP(-LN(2)/2)*DH36+(1-EXP(-LN(2)/2))/(LN(2)/2)*DB37*DE37*VLOOKUP('Données projet'!$B$13,Paramètres!$A$1:$I$89,3,0)*0.475*44/12</f>
        <v>3.3185130994752097</v>
      </c>
      <c r="DI37" s="22">
        <f t="shared" si="15"/>
        <v>44.255143799825504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7">
        <f t="shared" si="1"/>
        <v>256.66666666666669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10</v>
      </c>
      <c r="N38" s="13">
        <f>IF('Données projet'!$A$36&gt;35,N37+M38-V37,IF(A38&lt;'Données projet'!$A$36,$K$205^A38,IF(A38='Données projet'!$A$36,'Données projet'!$B$36,N37+M38-V37)))</f>
        <v>193.49999999999989</v>
      </c>
      <c r="O38" s="13">
        <f>N38*VLOOKUP('Données projet'!$B$9,Paramètres!$A$1:$I$89,3,0)*VLOOKUP('Données projet'!$B$9,Paramètres!$A$1:$I$89,5,0)</f>
        <v>90.55799999999995</v>
      </c>
      <c r="P38" s="13">
        <f t="shared" si="33"/>
        <v>24.699752708509138</v>
      </c>
      <c r="Q38" s="20">
        <f t="shared" si="53"/>
        <v>200.74058596732002</v>
      </c>
      <c r="R38" s="59">
        <f t="shared" si="0"/>
        <v>494.0739193006533</v>
      </c>
      <c r="S38" s="59">
        <f ca="1">AVERAGE(OFFSET($R$3,0,0,'Données projet'!$E$9+1,1))-AVERAGE(OFFSET($H$3,0,0,'Données projet'!$E$9+1,1))</f>
        <v>319.22903094674564</v>
      </c>
      <c r="T38" s="59">
        <f t="shared" si="34"/>
        <v>254.58690973142848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8.2204993549823868</v>
      </c>
      <c r="AA38" s="21">
        <f>EXP(-LN(2)/25)*AA37+(1-EXP(-LN(2)/25))/(LN(2)/25)*Calculateur!V38*Calculateur!X38*VLOOKUP('Données projet'!$B$9,Paramètres!$A$1:$I$89,3,0)*0.475*44/12</f>
        <v>9.7077880961348804</v>
      </c>
      <c r="AB38" s="21">
        <f>EXP(-LN(2)/2)*AB37+(1-EXP(-LN(2)/2))/(LN(2)/2)*V38*Y38*VLOOKUP('Données projet'!$B$9,Paramètres!$A$1:$I$89,3,0)*0.475*44/12</f>
        <v>1.9521677873509491</v>
      </c>
      <c r="AC38" s="22">
        <f t="shared" si="3"/>
        <v>19.880455238468215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201</v>
      </c>
      <c r="AG38" s="12">
        <f>VLOOKUP(A38,'Données projet'!$A$61:$I$81,9,0)</f>
        <v>12.2</v>
      </c>
      <c r="AH38" s="12">
        <f t="array" ref="AH38">INDEX(AG:AG,MIN(IF(ISNUMBER(AG38:AG234),ROW(AG38:AG234),"")))</f>
        <v>12.2</v>
      </c>
      <c r="AI38" s="13">
        <f>IF('Données projet'!$A$62&gt;35,AI37+AH38-AQ37,IF(A38&lt;'Données projet'!$A$62,$AF$205^A38,IF(A38='Données projet'!$A$62,'Données projet'!$B$62,AI37+AH38-AQ37)))</f>
        <v>200.99999999999997</v>
      </c>
      <c r="AJ38" s="13">
        <f>AI38*VLOOKUP('Données projet'!$B$10,Paramètres!$A$1:$I$89,3,0)*VLOOKUP('Données projet'!$B$10,Paramètres!$A$1:$I$89,5,0)</f>
        <v>175.59359999999998</v>
      </c>
      <c r="AK38" s="13">
        <f t="shared" si="35"/>
        <v>44.340433728638573</v>
      </c>
      <c r="AL38" s="20">
        <f t="shared" si="4"/>
        <v>383.05177541071208</v>
      </c>
      <c r="AM38" s="59">
        <f t="shared" si="5"/>
        <v>676.3851087440454</v>
      </c>
      <c r="AN38" s="59">
        <f ca="1">AVERAGE(OFFSET($AM$3,0,0,'Données projet'!$E$10+1,1))-AVERAGE(OFFSET($H$3,0,0,'Données projet'!$E$10+1,1))</f>
        <v>321.23599968992932</v>
      </c>
      <c r="AO38" s="59">
        <f t="shared" si="36"/>
        <v>388.05195847800502</v>
      </c>
      <c r="AP38" s="15">
        <f>IF(ISNA(VLOOKUP(A38,'Données projet'!$A$61:$I$81,3,0)),0,VLOOKUP(A38,'Données projet'!$A$61:$I$81,3,0))</f>
        <v>5</v>
      </c>
      <c r="AQ38" s="15">
        <f>IF(ISNA(VLOOKUP(A38,'Données projet'!$A$61:$I$81,4,0)),0,VLOOKUP(A38,'Données projet'!$A$61:$I$81,4,0))</f>
        <v>42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6.135469330673228</v>
      </c>
      <c r="AV38" s="21">
        <f>EXP(-LN(2)/25)*AV37+(1-EXP(-LN(2)/25))/(LN(2)/25)*Calculateur!AQ38*Calculateur!AS38*VLOOKUP('Données projet'!$B$10,Paramètres!$A$1:$I$89,3,0)*0.475*44/12</f>
        <v>13.321220699616603</v>
      </c>
      <c r="AW38" s="21">
        <f>EXP(-LN(2)/2)*AW37+(1-EXP(-LN(2)/2))/(LN(2)/2)*AQ38*AT38*VLOOKUP('Données projet'!$B$10,Paramètres!$A$1:$I$89,3,0)*0.475*44/12</f>
        <v>2.9912920675167656</v>
      </c>
      <c r="AX38" s="21">
        <f t="shared" si="6"/>
        <v>22.447982097806598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210.83333333333337</v>
      </c>
      <c r="BE38" s="13">
        <f>BD38*VLOOKUP('Données projet'!$B$11,Paramètres!$A$1:$I$89,3,0)*VLOOKUP('Données projet'!$B$11,Paramètres!$A$1:$I$89,5,0)</f>
        <v>126.07833333333336</v>
      </c>
      <c r="BF38" s="13">
        <f t="shared" si="37"/>
        <v>33.08856817390501</v>
      </c>
      <c r="BG38" s="20">
        <f t="shared" si="7"/>
        <v>277.21568679177352</v>
      </c>
      <c r="BH38" s="59">
        <f t="shared" si="8"/>
        <v>570.54902012510684</v>
      </c>
      <c r="BI38" s="59">
        <f ca="1">AVERAGE(OFFSET($BH$3,0,0,'Données projet'!$E$11+1,1))-AVERAGE(OFFSET($H$3,0,0,'Données projet'!$E$11+1,1))</f>
        <v>258.31845364515124</v>
      </c>
      <c r="BJ38" s="59">
        <f t="shared" si="38"/>
        <v>280.26155987300996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10.396430418951507</v>
      </c>
      <c r="BQ38" s="21">
        <f>EXP(-LN(2)/25)*BQ37+(1-EXP(-LN(2)/25))/(LN(2)/25)*Calculateur!BL38*Calculateur!BN38*VLOOKUP('Données projet'!$B$11,Paramètres!$A$1:$I$89,3,0)*0.475*44/12</f>
        <v>8.2067589253057456</v>
      </c>
      <c r="BR38" s="21">
        <f>EXP(-LN(2)/2)*BR37+(1-EXP(-LN(2)/2))/(LN(2)/2)*BL38*BO38*VLOOKUP('Données projet'!$B$11,Paramètres!$A$1:$I$89,3,0)*0.475*44/12</f>
        <v>0.80062101950124365</v>
      </c>
      <c r="BS38" s="22">
        <f t="shared" si="9"/>
        <v>19.403810363758495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267</v>
      </c>
      <c r="BW38" s="12">
        <f>VLOOKUP(A38,'Données projet'!$A$113:$I$133,9,0)</f>
        <v>7</v>
      </c>
      <c r="BX38" s="12">
        <f t="array" ref="BX38">INDEX(BW:BW,MIN(IF(ISNUMBER(BW38:BW234),ROW(BW38:BW234),"")))</f>
        <v>7</v>
      </c>
      <c r="BY38" s="12">
        <f>IF('Données projet'!$A$114&gt;35,BY37+BX38-CG37,IF(A38&lt;'Données projet'!$A$114,$BV$205^A38,IF(A38='Données projet'!$A$114,'Données projet'!$B$114,BY37+BX38-CG37)))</f>
        <v>267</v>
      </c>
      <c r="BZ38" s="13">
        <f>BY38*VLOOKUP('Données projet'!$B$12,Paramètres!$A$1:$I$89,3,0)*VLOOKUP('Données projet'!$B$12,Paramètres!$A$1:$I$89,5,0)</f>
        <v>241.58159999999998</v>
      </c>
      <c r="CA38" s="13">
        <f t="shared" si="39"/>
        <v>58.779689232021951</v>
      </c>
      <c r="CB38" s="20">
        <f t="shared" si="10"/>
        <v>523.12924541243819</v>
      </c>
      <c r="CC38" s="59">
        <f t="shared" si="11"/>
        <v>816.46257874577145</v>
      </c>
      <c r="CD38" s="59">
        <f ca="1">AVERAGE(OFFSET($CC$3,0,0,'Données projet'!$E$12+1,1))-AVERAGE(OFFSET($H$3,0,0,'Données projet'!$E$12+1,1))</f>
        <v>366.86025470473652</v>
      </c>
      <c r="CE38" s="59">
        <f t="shared" si="40"/>
        <v>513.80016421153414</v>
      </c>
      <c r="CF38" s="15">
        <f>IF(ISNA(VLOOKUP(A38,'Données projet'!$A$113:$I$133,3,0)),0,VLOOKUP(A38,'Données projet'!$A$113:$I$133,3,0))</f>
        <v>7</v>
      </c>
      <c r="CG38" s="15">
        <f>IF(ISNA(VLOOKUP(A38,'Données projet'!$A$113:$I$133,4,0)),0,VLOOKUP(A38,'Données projet'!$A$113:$I$133,4,0))</f>
        <v>9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2.332042746969162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0.65443608842122036</v>
      </c>
      <c r="CN38" s="22">
        <f t="shared" si="12"/>
        <v>2.9864788353903826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15</v>
      </c>
      <c r="CT38" s="12">
        <f>IF('Données projet'!$A$140&gt;35,CT37+CS38-DB37,IF(A38&lt;'Données projet'!$A$140,$CQ$205^A38,IF(A38='Données projet'!$A$140,'Données projet'!$B$140,CT37+CS38-DB37)))</f>
        <v>253.99999999999994</v>
      </c>
      <c r="CU38" s="17">
        <f>CT38*VLOOKUP('Données projet'!$B$13,Paramètres!$A$1:$I$89,3,0)*VLOOKUP('Données projet'!$B$13,Paramètres!$A$1:$I$89,5,0)</f>
        <v>138.68399999999997</v>
      </c>
      <c r="CV38" s="13">
        <f t="shared" si="41"/>
        <v>35.995362862956796</v>
      </c>
      <c r="CW38" s="20">
        <f t="shared" si="13"/>
        <v>304.23322365298299</v>
      </c>
      <c r="CX38" s="59">
        <f t="shared" si="14"/>
        <v>597.5665569863163</v>
      </c>
      <c r="CY38" s="59">
        <f ca="1">AVERAGE(OFFSET($CX$3,0,0,'Données projet'!$E$13+1,1))-AVERAGE(OFFSET($H$3,0,0,'Données projet'!$E$13+1,1))</f>
        <v>207.02306964567629</v>
      </c>
      <c r="CZ38" s="59">
        <f t="shared" si="42"/>
        <v>342.06887933351783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5.9828973605321671</v>
      </c>
      <c r="DG38" s="21">
        <f>EXP(-LN(2)/25)*DG37+(1-EXP(-LN(2)/25))/(LN(2)/25)*Calculateur!DB38*Calculateur!DD38*VLOOKUP('Données projet'!$B$13,Paramètres!$A$1:$I$89,3,0)*0.475*44/12</f>
        <v>33.881526403455936</v>
      </c>
      <c r="DH38" s="21">
        <f>EXP(-LN(2)/2)*DH37+(1-EXP(-LN(2)/2))/(LN(2)/2)*DB38*DE38*VLOOKUP('Données projet'!$B$13,Paramètres!$A$1:$I$89,3,0)*0.475*44/12</f>
        <v>2.346543116095309</v>
      </c>
      <c r="DI38" s="22">
        <f t="shared" si="15"/>
        <v>42.210966880083411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7">
        <f t="shared" si="1"/>
        <v>256.66666666666669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10</v>
      </c>
      <c r="N39" s="13">
        <f>IF('Données projet'!$A$36&gt;35,N38+M39-V38,IF(A39&lt;'Données projet'!$A$36,$K$205^A39,IF(A39='Données projet'!$A$36,'Données projet'!$B$36,N38+M39-V38)))</f>
        <v>203.49999999999989</v>
      </c>
      <c r="O39" s="13">
        <f>N39*VLOOKUP('Données projet'!$B$9,Paramètres!$A$1:$I$89,3,0)*VLOOKUP('Données projet'!$B$9,Paramètres!$A$1:$I$89,5,0)</f>
        <v>95.237999999999957</v>
      </c>
      <c r="P39" s="13">
        <f t="shared" si="33"/>
        <v>25.824315354051119</v>
      </c>
      <c r="Q39" s="20">
        <f t="shared" si="53"/>
        <v>210.85019924163896</v>
      </c>
      <c r="R39" s="59">
        <f t="shared" si="0"/>
        <v>504.18353257497228</v>
      </c>
      <c r="S39" s="59">
        <f ca="1">AVERAGE(OFFSET($R$3,0,0,'Données projet'!$E$9+1,1))-AVERAGE(OFFSET($H$3,0,0,'Données projet'!$E$9+1,1))</f>
        <v>319.22903094674564</v>
      </c>
      <c r="T39" s="59">
        <f t="shared" si="34"/>
        <v>254.58690973142848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8.0593003766406959</v>
      </c>
      <c r="AA39" s="21">
        <f>EXP(-LN(2)/25)*AA38+(1-EXP(-LN(2)/25))/(LN(2)/25)*Calculateur!V39*Calculateur!X39*VLOOKUP('Données projet'!$B$9,Paramètres!$A$1:$I$89,3,0)*0.475*44/12</f>
        <v>9.4423281201356843</v>
      </c>
      <c r="AB39" s="21">
        <f>EXP(-LN(2)/2)*AB38+(1-EXP(-LN(2)/2))/(LN(2)/2)*V39*Y39*VLOOKUP('Données projet'!$B$9,Paramètres!$A$1:$I$89,3,0)*0.475*44/12</f>
        <v>1.3803910804497943</v>
      </c>
      <c r="AC39" s="22">
        <f t="shared" si="3"/>
        <v>18.882019577226174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10.8</v>
      </c>
      <c r="AI39" s="13">
        <f>IF('Données projet'!$A$62&gt;35,AI38+AH39-AQ38,IF(A39&lt;'Données projet'!$A$62,$AF$205^A39,IF(A39='Données projet'!$A$62,'Données projet'!$B$62,AI38+AH39-AQ38)))</f>
        <v>169.79999999999998</v>
      </c>
      <c r="AJ39" s="13">
        <f>AI39*VLOOKUP('Données projet'!$B$10,Paramètres!$A$1:$I$89,3,0)*VLOOKUP('Données projet'!$B$10,Paramètres!$A$1:$I$89,5,0)</f>
        <v>148.33727999999999</v>
      </c>
      <c r="AK39" s="13">
        <f t="shared" si="35"/>
        <v>38.200481752654802</v>
      </c>
      <c r="AL39" s="20">
        <f t="shared" si="4"/>
        <v>324.88660171920714</v>
      </c>
      <c r="AM39" s="59">
        <f t="shared" si="5"/>
        <v>618.21993505254045</v>
      </c>
      <c r="AN39" s="59">
        <f ca="1">AVERAGE(OFFSET($AM$3,0,0,'Données projet'!$E$10+1,1))-AVERAGE(OFFSET($H$3,0,0,'Données projet'!$E$10+1,1))</f>
        <v>321.23599968992932</v>
      </c>
      <c r="AO39" s="59">
        <f t="shared" si="36"/>
        <v>388.05195847800502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6.0151565193654992</v>
      </c>
      <c r="AV39" s="21">
        <f>EXP(-LN(2)/25)*AV38+(1-EXP(-LN(2)/25))/(LN(2)/25)*Calculateur!AQ39*Calculateur!AS39*VLOOKUP('Données projet'!$B$10,Paramètres!$A$1:$I$89,3,0)*0.475*44/12</f>
        <v>12.956951219053037</v>
      </c>
      <c r="AW39" s="21">
        <f>EXP(-LN(2)/2)*AW38+(1-EXP(-LN(2)/2))/(LN(2)/2)*AQ39*AT39*VLOOKUP('Données projet'!$B$10,Paramètres!$A$1:$I$89,3,0)*0.475*44/12</f>
        <v>2.1151629054506329</v>
      </c>
      <c r="AX39" s="21">
        <f t="shared" si="6"/>
        <v>21.087270643869168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223.66666666666671</v>
      </c>
      <c r="BE39" s="13">
        <f>BD39*VLOOKUP('Données projet'!$B$11,Paramètres!$A$1:$I$89,3,0)*VLOOKUP('Données projet'!$B$11,Paramètres!$A$1:$I$89,5,0)</f>
        <v>133.75266666666673</v>
      </c>
      <c r="BF39" s="13">
        <f t="shared" si="37"/>
        <v>34.86204901776788</v>
      </c>
      <c r="BG39" s="20">
        <f t="shared" si="7"/>
        <v>293.67062981705698</v>
      </c>
      <c r="BH39" s="59">
        <f t="shared" si="8"/>
        <v>587.00396315039029</v>
      </c>
      <c r="BI39" s="59">
        <f ca="1">AVERAGE(OFFSET($BH$3,0,0,'Données projet'!$E$11+1,1))-AVERAGE(OFFSET($H$3,0,0,'Données projet'!$E$11+1,1))</f>
        <v>258.31845364515124</v>
      </c>
      <c r="BJ39" s="59">
        <f t="shared" si="38"/>
        <v>280.26155987300996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10.192562759632283</v>
      </c>
      <c r="BQ39" s="21">
        <f>EXP(-LN(2)/25)*BQ38+(1-EXP(-LN(2)/25))/(LN(2)/25)*Calculateur!BL39*Calculateur!BN39*VLOOKUP('Données projet'!$B$11,Paramètres!$A$1:$I$89,3,0)*0.475*44/12</f>
        <v>7.9823446709185646</v>
      </c>
      <c r="BR39" s="21">
        <f>EXP(-LN(2)/2)*BR38+(1-EXP(-LN(2)/2))/(LN(2)/2)*BL39*BO39*VLOOKUP('Données projet'!$B$11,Paramètres!$A$1:$I$89,3,0)*0.475*44/12</f>
        <v>0.56612455204981649</v>
      </c>
      <c r="BS39" s="22">
        <f t="shared" si="9"/>
        <v>18.741031982600663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6.2</v>
      </c>
      <c r="BY39" s="12">
        <f>IF('Données projet'!$A$114&gt;35,BY38+BX39-CG38,IF(A39&lt;'Données projet'!$A$114,$BV$205^A39,IF(A39='Données projet'!$A$114,'Données projet'!$B$114,BY38+BX39-CG38)))</f>
        <v>264.2</v>
      </c>
      <c r="BZ39" s="13">
        <f>BY39*VLOOKUP('Données projet'!$B$12,Paramètres!$A$1:$I$89,3,0)*VLOOKUP('Données projet'!$B$12,Paramètres!$A$1:$I$89,5,0)</f>
        <v>239.04816</v>
      </c>
      <c r="CA39" s="13">
        <f t="shared" si="39"/>
        <v>58.234690128947292</v>
      </c>
      <c r="CB39" s="20">
        <f t="shared" si="10"/>
        <v>517.76763064124987</v>
      </c>
      <c r="CC39" s="59">
        <f t="shared" si="11"/>
        <v>811.10096397458324</v>
      </c>
      <c r="CD39" s="59">
        <f ca="1">AVERAGE(OFFSET($CC$3,0,0,'Données projet'!$E$12+1,1))-AVERAGE(OFFSET($H$3,0,0,'Données projet'!$E$12+1,1))</f>
        <v>366.86025470473652</v>
      </c>
      <c r="CE39" s="59">
        <f t="shared" si="40"/>
        <v>513.80016421153414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2.2863128111067215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0.46275619597584394</v>
      </c>
      <c r="CN39" s="22">
        <f t="shared" si="12"/>
        <v>2.7490690070825652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>
        <f>VLOOKUP(A39,'Données projet'!$A$139:$I$159,2,0)</f>
        <v>269</v>
      </c>
      <c r="CR39" s="12">
        <f>VLOOKUP(A39,'Données projet'!$A$139:$I$159,9,0)</f>
        <v>15</v>
      </c>
      <c r="CS39" s="12">
        <f t="array" ref="CS39">INDEX(CR:CR,MIN(IF(ISNUMBER(CR39:CR235),ROW(CR39:CR235),"")))</f>
        <v>15</v>
      </c>
      <c r="CT39" s="12">
        <f>IF('Données projet'!$A$140&gt;35,CT38+CS39-DB38,IF(A39&lt;'Données projet'!$A$140,$CQ$205^A39,IF(A39='Données projet'!$A$140,'Données projet'!$B$140,CT38+CS39-DB38)))</f>
        <v>268.99999999999994</v>
      </c>
      <c r="CU39" s="17">
        <f>CT39*VLOOKUP('Données projet'!$B$13,Paramètres!$A$1:$I$89,3,0)*VLOOKUP('Données projet'!$B$13,Paramètres!$A$1:$I$89,5,0)</f>
        <v>146.87399999999997</v>
      </c>
      <c r="CV39" s="13">
        <f t="shared" si="41"/>
        <v>37.867322517591383</v>
      </c>
      <c r="CW39" s="20">
        <f t="shared" si="13"/>
        <v>321.75780338480496</v>
      </c>
      <c r="CX39" s="59">
        <f t="shared" si="14"/>
        <v>615.09113671813827</v>
      </c>
      <c r="CY39" s="59">
        <f ca="1">AVERAGE(OFFSET($CX$3,0,0,'Données projet'!$E$13+1,1))-AVERAGE(OFFSET($H$3,0,0,'Données projet'!$E$13+1,1))</f>
        <v>207.02306964567629</v>
      </c>
      <c r="CZ39" s="59">
        <f t="shared" si="42"/>
        <v>342.06887933351783</v>
      </c>
      <c r="DA39" s="15">
        <f>IF(ISNA(VLOOKUP(A39,'Données projet'!$A$139:$I$159,3,0)),0,VLOOKUP(A39,'Données projet'!$A$139:$I$159,3,0))</f>
        <v>6</v>
      </c>
      <c r="DB39" s="15">
        <f>IF(ISNA(VLOOKUP(A39,'Données projet'!$A$139:$I$159,4,0)),0,VLOOKUP(A39,'Données projet'!$A$139:$I$159,4,0))</f>
        <v>75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5.8655763924991922</v>
      </c>
      <c r="DG39" s="21">
        <f>EXP(-LN(2)/25)*DG38+(1-EXP(-LN(2)/25))/(LN(2)/25)*Calculateur!DB39*Calculateur!DD39*VLOOKUP('Données projet'!$B$13,Paramètres!$A$1:$I$89,3,0)*0.475*44/12</f>
        <v>32.955034282201396</v>
      </c>
      <c r="DH39" s="21">
        <f>EXP(-LN(2)/2)*DH38+(1-EXP(-LN(2)/2))/(LN(2)/2)*DB39*DE39*VLOOKUP('Données projet'!$B$13,Paramètres!$A$1:$I$89,3,0)*0.475*44/12</f>
        <v>1.6592565497376051</v>
      </c>
      <c r="DI39" s="22">
        <f t="shared" si="15"/>
        <v>40.479867224438195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7">
        <f t="shared" si="1"/>
        <v>256.66666666666669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10</v>
      </c>
      <c r="N40" s="13">
        <f>IF('Données projet'!$A$36&gt;35,N39+M40-V39,IF(A40&lt;'Données projet'!$A$36,$K$205^A40,IF(A40='Données projet'!$A$36,'Données projet'!$B$36,N39+M40-V39)))</f>
        <v>213.49999999999989</v>
      </c>
      <c r="O40" s="13">
        <f>N40*VLOOKUP('Données projet'!$B$9,Paramètres!$A$1:$I$89,3,0)*VLOOKUP('Données projet'!$B$9,Paramètres!$A$1:$I$89,5,0)</f>
        <v>99.91799999999995</v>
      </c>
      <c r="P40" s="13">
        <f t="shared" si="33"/>
        <v>26.942461246512746</v>
      </c>
      <c r="Q40" s="20">
        <f t="shared" si="53"/>
        <v>220.94863667100961</v>
      </c>
      <c r="R40" s="59">
        <f t="shared" si="0"/>
        <v>514.28197000434295</v>
      </c>
      <c r="S40" s="59">
        <f ca="1">AVERAGE(OFFSET($R$3,0,0,'Données projet'!$E$9+1,1))-AVERAGE(OFFSET($H$3,0,0,'Données projet'!$E$9+1,1))</f>
        <v>319.22903094674564</v>
      </c>
      <c r="T40" s="59">
        <f t="shared" si="34"/>
        <v>254.58690973142848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7.9012624119426178</v>
      </c>
      <c r="AA40" s="21">
        <f>EXP(-LN(2)/25)*AA39+(1-EXP(-LN(2)/25))/(LN(2)/25)*Calculateur!V40*Calculateur!X40*VLOOKUP('Données projet'!$B$9,Paramètres!$A$1:$I$89,3,0)*0.475*44/12</f>
        <v>9.1841271611401183</v>
      </c>
      <c r="AB40" s="21">
        <f>EXP(-LN(2)/2)*AB39+(1-EXP(-LN(2)/2))/(LN(2)/2)*V40*Y40*VLOOKUP('Données projet'!$B$9,Paramètres!$A$1:$I$89,3,0)*0.475*44/12</f>
        <v>0.97608389367547466</v>
      </c>
      <c r="AC40" s="22">
        <f t="shared" si="3"/>
        <v>18.061473466758212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10.8</v>
      </c>
      <c r="AI40" s="13">
        <f>IF('Données projet'!$A$62&gt;35,AI39+AH40-AQ39,IF(A40&lt;'Données projet'!$A$62,$AF$205^A40,IF(A40='Données projet'!$A$62,'Données projet'!$B$62,AI39+AH40-AQ39)))</f>
        <v>180.6</v>
      </c>
      <c r="AJ40" s="13">
        <f>AI40*VLOOKUP('Données projet'!$B$10,Paramètres!$A$1:$I$89,3,0)*VLOOKUP('Données projet'!$B$10,Paramètres!$A$1:$I$89,5,0)</f>
        <v>157.77216000000001</v>
      </c>
      <c r="AK40" s="13">
        <f t="shared" si="35"/>
        <v>40.339610539653599</v>
      </c>
      <c r="AL40" s="20">
        <f t="shared" si="4"/>
        <v>345.04466702323003</v>
      </c>
      <c r="AM40" s="59">
        <f t="shared" si="5"/>
        <v>638.37800035656335</v>
      </c>
      <c r="AN40" s="59">
        <f ca="1">AVERAGE(OFFSET($AM$3,0,0,'Données projet'!$E$10+1,1))-AVERAGE(OFFSET($H$3,0,0,'Données projet'!$E$10+1,1))</f>
        <v>321.23599968992932</v>
      </c>
      <c r="AO40" s="59">
        <f t="shared" si="36"/>
        <v>388.05195847800502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5.8972029689039465</v>
      </c>
      <c r="AV40" s="21">
        <f>EXP(-LN(2)/25)*AV39+(1-EXP(-LN(2)/25))/(LN(2)/25)*Calculateur!AQ40*Calculateur!AS40*VLOOKUP('Données projet'!$B$10,Paramètres!$A$1:$I$89,3,0)*0.475*44/12</f>
        <v>12.602642706591581</v>
      </c>
      <c r="AW40" s="21">
        <f>EXP(-LN(2)/2)*AW39+(1-EXP(-LN(2)/2))/(LN(2)/2)*AQ40*AT40*VLOOKUP('Données projet'!$B$10,Paramètres!$A$1:$I$89,3,0)*0.475*44/12</f>
        <v>1.4956460337583828</v>
      </c>
      <c r="AX40" s="21">
        <f t="shared" si="6"/>
        <v>19.995491709253912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12.833333333333334</v>
      </c>
      <c r="BD40" s="12">
        <f>IF('Données projet'!$A$88&gt;35,BD39+BC40-BL39,IF(A40&lt;'Données projet'!$A$88,$BA$205^A40,IF(A40='Données projet'!$A$88,'Données projet'!$B$88,BD39+BC40-BL39)))</f>
        <v>236.50000000000006</v>
      </c>
      <c r="BE40" s="13">
        <f>BD40*VLOOKUP('Données projet'!$B$11,Paramètres!$A$1:$I$89,3,0)*VLOOKUP('Données projet'!$B$11,Paramètres!$A$1:$I$89,5,0)</f>
        <v>141.42700000000005</v>
      </c>
      <c r="BF40" s="13">
        <f t="shared" si="37"/>
        <v>36.623717959686019</v>
      </c>
      <c r="BG40" s="20">
        <f t="shared" si="7"/>
        <v>310.10500044645323</v>
      </c>
      <c r="BH40" s="59">
        <f t="shared" si="8"/>
        <v>603.43833377978649</v>
      </c>
      <c r="BI40" s="59">
        <f ca="1">AVERAGE(OFFSET($BH$3,0,0,'Données projet'!$E$11+1,1))-AVERAGE(OFFSET($H$3,0,0,'Données projet'!$E$11+1,1))</f>
        <v>258.31845364515124</v>
      </c>
      <c r="BJ40" s="59">
        <f t="shared" si="38"/>
        <v>280.26155987300996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9.9926928207653152</v>
      </c>
      <c r="BQ40" s="21">
        <f>EXP(-LN(2)/25)*BQ39+(1-EXP(-LN(2)/25))/(LN(2)/25)*Calculateur!BL40*Calculateur!BN40*VLOOKUP('Données projet'!$B$11,Paramètres!$A$1:$I$89,3,0)*0.475*44/12</f>
        <v>7.7640670361190338</v>
      </c>
      <c r="BR40" s="21">
        <f>EXP(-LN(2)/2)*BR39+(1-EXP(-LN(2)/2))/(LN(2)/2)*BL40*BO40*VLOOKUP('Données projet'!$B$11,Paramètres!$A$1:$I$89,3,0)*0.475*44/12</f>
        <v>0.40031050975062182</v>
      </c>
      <c r="BS40" s="22">
        <f t="shared" si="9"/>
        <v>18.157070366634972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6.2</v>
      </c>
      <c r="BY40" s="12">
        <f>IF('Données projet'!$A$114&gt;35,BY39+BX40-CG39,IF(A40&lt;'Données projet'!$A$114,$BV$205^A40,IF(A40='Données projet'!$A$114,'Données projet'!$B$114,BY39+BX40-CG39)))</f>
        <v>270.39999999999998</v>
      </c>
      <c r="BZ40" s="13">
        <f>BY40*VLOOKUP('Données projet'!$B$12,Paramètres!$A$1:$I$89,3,0)*VLOOKUP('Données projet'!$B$12,Paramètres!$A$1:$I$89,5,0)</f>
        <v>244.65791999999996</v>
      </c>
      <c r="CA40" s="13">
        <f t="shared" si="39"/>
        <v>59.44058075210868</v>
      </c>
      <c r="CB40" s="20">
        <f t="shared" si="10"/>
        <v>529.6382221432558</v>
      </c>
      <c r="CC40" s="59">
        <f t="shared" si="11"/>
        <v>822.97155547658917</v>
      </c>
      <c r="CD40" s="59">
        <f ca="1">AVERAGE(OFFSET($CC$3,0,0,'Données projet'!$E$12+1,1))-AVERAGE(OFFSET($H$3,0,0,'Données projet'!$E$12+1,1))</f>
        <v>366.86025470473652</v>
      </c>
      <c r="CE40" s="59">
        <f t="shared" si="40"/>
        <v>513.80016421153414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2.2414796113940367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0.32721804421061018</v>
      </c>
      <c r="CN40" s="22">
        <f t="shared" si="12"/>
        <v>2.5686976556046468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14</v>
      </c>
      <c r="CT40" s="12">
        <f>IF('Données projet'!$A$140&gt;35,CT39+CS40-DB39,IF(A40&lt;'Données projet'!$A$140,$CQ$205^A40,IF(A40='Données projet'!$A$140,'Données projet'!$B$140,CT39+CS40-DB39)))</f>
        <v>207.99999999999994</v>
      </c>
      <c r="CU40" s="17">
        <f>CT40*VLOOKUP('Données projet'!$B$13,Paramètres!$A$1:$I$89,3,0)*VLOOKUP('Données projet'!$B$13,Paramètres!$A$1:$I$89,5,0)</f>
        <v>113.56799999999997</v>
      </c>
      <c r="CV40" s="13">
        <f t="shared" si="41"/>
        <v>30.170065062058185</v>
      </c>
      <c r="CW40" s="20">
        <f t="shared" si="13"/>
        <v>250.34379664975128</v>
      </c>
      <c r="CX40" s="59">
        <f t="shared" si="14"/>
        <v>543.67712998308457</v>
      </c>
      <c r="CY40" s="59">
        <f ca="1">AVERAGE(OFFSET($CX$3,0,0,'Données projet'!$E$13+1,1))-AVERAGE(OFFSET($H$3,0,0,'Données projet'!$E$13+1,1))</f>
        <v>207.02306964567629</v>
      </c>
      <c r="CZ40" s="59">
        <f t="shared" si="42"/>
        <v>342.06887933351783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5.7505560170906191</v>
      </c>
      <c r="DG40" s="21">
        <f>EXP(-LN(2)/25)*DG39+(1-EXP(-LN(2)/25))/(LN(2)/25)*Calculateur!DB40*Calculateur!DD40*VLOOKUP('Données projet'!$B$13,Paramètres!$A$1:$I$89,3,0)*0.475*44/12</f>
        <v>32.053877136724665</v>
      </c>
      <c r="DH40" s="21">
        <f>EXP(-LN(2)/2)*DH39+(1-EXP(-LN(2)/2))/(LN(2)/2)*DB40*DE40*VLOOKUP('Données projet'!$B$13,Paramètres!$A$1:$I$89,3,0)*0.475*44/12</f>
        <v>1.1732715580476545</v>
      </c>
      <c r="DI40" s="22">
        <f t="shared" si="15"/>
        <v>38.977704711862934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7">
        <f t="shared" si="1"/>
        <v>256.66666666666669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10</v>
      </c>
      <c r="N41" s="13">
        <f>IF('Données projet'!$A$36&gt;35,N40+M41-V40,IF(A41&lt;'Données projet'!$A$36,$K$205^A41,IF(A41='Données projet'!$A$36,'Données projet'!$B$36,N40+M41-V40)))</f>
        <v>223.49999999999989</v>
      </c>
      <c r="O41" s="13">
        <f>N41*VLOOKUP('Données projet'!$B$9,Paramètres!$A$1:$I$89,3,0)*VLOOKUP('Données projet'!$B$9,Paramètres!$A$1:$I$89,5,0)</f>
        <v>104.59799999999994</v>
      </c>
      <c r="P41" s="13">
        <f t="shared" si="33"/>
        <v>28.054525257841597</v>
      </c>
      <c r="Q41" s="20">
        <f t="shared" si="53"/>
        <v>231.03648149074067</v>
      </c>
      <c r="R41" s="59">
        <f t="shared" si="0"/>
        <v>524.36981482407396</v>
      </c>
      <c r="S41" s="59">
        <f ca="1">AVERAGE(OFFSET($R$3,0,0,'Données projet'!$E$9+1,1))-AVERAGE(OFFSET($H$3,0,0,'Données projet'!$E$9+1,1))</f>
        <v>319.22903094674564</v>
      </c>
      <c r="T41" s="59">
        <f t="shared" si="34"/>
        <v>254.58690973142848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7.7463234753386283</v>
      </c>
      <c r="AA41" s="21">
        <f>EXP(-LN(2)/25)*AA40+(1-EXP(-LN(2)/25))/(LN(2)/25)*Calculateur!V41*Calculateur!X41*VLOOKUP('Données projet'!$B$9,Paramètres!$A$1:$I$89,3,0)*0.475*44/12</f>
        <v>8.9329867209464844</v>
      </c>
      <c r="AB41" s="21">
        <f>EXP(-LN(2)/2)*AB40+(1-EXP(-LN(2)/2))/(LN(2)/2)*V41*Y41*VLOOKUP('Données projet'!$B$9,Paramètres!$A$1:$I$89,3,0)*0.475*44/12</f>
        <v>0.69019554022489726</v>
      </c>
      <c r="AC41" s="22">
        <f t="shared" si="3"/>
        <v>17.369505736510011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10.8</v>
      </c>
      <c r="AI41" s="13">
        <f>IF('Données projet'!$A$62&gt;35,AI40+AH41-AQ40,IF(A41&lt;'Données projet'!$A$62,$AF$205^A41,IF(A41='Données projet'!$A$62,'Données projet'!$B$62,AI40+AH41-AQ40)))</f>
        <v>191.4</v>
      </c>
      <c r="AJ41" s="13">
        <f>AI41*VLOOKUP('Données projet'!$B$10,Paramètres!$A$1:$I$89,3,0)*VLOOKUP('Données projet'!$B$10,Paramètres!$A$1:$I$89,5,0)</f>
        <v>167.20704000000003</v>
      </c>
      <c r="AK41" s="13">
        <f t="shared" si="35"/>
        <v>42.463891647822834</v>
      </c>
      <c r="AL41" s="20">
        <f t="shared" si="4"/>
        <v>365.17687261995815</v>
      </c>
      <c r="AM41" s="59">
        <f t="shared" si="5"/>
        <v>658.51020595329146</v>
      </c>
      <c r="AN41" s="59">
        <f ca="1">AVERAGE(OFFSET($AM$3,0,0,'Données projet'!$E$10+1,1))-AVERAGE(OFFSET($H$3,0,0,'Données projet'!$E$10+1,1))</f>
        <v>321.23599968992932</v>
      </c>
      <c r="AO41" s="59">
        <f t="shared" si="36"/>
        <v>388.05195847800502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5.7815624156223828</v>
      </c>
      <c r="AV41" s="21">
        <f>EXP(-LN(2)/25)*AV40+(1-EXP(-LN(2)/25))/(LN(2)/25)*Calculateur!AQ41*Calculateur!AS41*VLOOKUP('Données projet'!$B$10,Paramètres!$A$1:$I$89,3,0)*0.475*44/12</f>
        <v>12.258022779035658</v>
      </c>
      <c r="AW41" s="21">
        <f>EXP(-LN(2)/2)*AW40+(1-EXP(-LN(2)/2))/(LN(2)/2)*AQ41*AT41*VLOOKUP('Données projet'!$B$10,Paramètres!$A$1:$I$89,3,0)*0.475*44/12</f>
        <v>1.0575814527253165</v>
      </c>
      <c r="AX41" s="21">
        <f t="shared" si="6"/>
        <v>19.097166647383357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12.833333333333334</v>
      </c>
      <c r="BD41" s="12">
        <f>IF('Données projet'!$A$88&gt;35,BD40+BC41-BL40,IF(A41&lt;'Données projet'!$A$88,$BA$205^A41,IF(A41='Données projet'!$A$88,'Données projet'!$B$88,BD40+BC41-BL40)))</f>
        <v>249.3333333333334</v>
      </c>
      <c r="BE41" s="13">
        <f>BD41*VLOOKUP('Données projet'!$B$11,Paramètres!$A$1:$I$89,3,0)*VLOOKUP('Données projet'!$B$11,Paramètres!$A$1:$I$89,5,0)</f>
        <v>149.1013333333334</v>
      </c>
      <c r="BF41" s="13">
        <f t="shared" si="37"/>
        <v>38.37428902704788</v>
      </c>
      <c r="BG41" s="20">
        <f t="shared" si="7"/>
        <v>326.52004227766406</v>
      </c>
      <c r="BH41" s="59">
        <f t="shared" si="8"/>
        <v>619.85337561099732</v>
      </c>
      <c r="BI41" s="59">
        <f ca="1">AVERAGE(OFFSET($BH$3,0,0,'Données projet'!$E$11+1,1))-AVERAGE(OFFSET($H$3,0,0,'Données projet'!$E$11+1,1))</f>
        <v>258.31845364515124</v>
      </c>
      <c r="BJ41" s="59">
        <f t="shared" si="38"/>
        <v>280.26155987300996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9.7967422094909029</v>
      </c>
      <c r="BQ41" s="21">
        <f>EXP(-LN(2)/25)*BQ40+(1-EXP(-LN(2)/25))/(LN(2)/25)*Calculateur!BL41*Calculateur!BN41*VLOOKUP('Données projet'!$B$11,Paramètres!$A$1:$I$89,3,0)*0.475*44/12</f>
        <v>7.5517582147218185</v>
      </c>
      <c r="BR41" s="21">
        <f>EXP(-LN(2)/2)*BR40+(1-EXP(-LN(2)/2))/(LN(2)/2)*BL41*BO41*VLOOKUP('Données projet'!$B$11,Paramètres!$A$1:$I$89,3,0)*0.475*44/12</f>
        <v>0.28306227602490824</v>
      </c>
      <c r="BS41" s="22">
        <f t="shared" si="9"/>
        <v>17.63156270023763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6.2</v>
      </c>
      <c r="BY41" s="12">
        <f>IF('Données projet'!$A$114&gt;35,BY40+BX41-CG40,IF(A41&lt;'Données projet'!$A$114,$BV$205^A41,IF(A41='Données projet'!$A$114,'Données projet'!$B$114,BY40+BX41-CG40)))</f>
        <v>276.59999999999997</v>
      </c>
      <c r="BZ41" s="13">
        <f>BY41*VLOOKUP('Données projet'!$B$12,Paramètres!$A$1:$I$89,3,0)*VLOOKUP('Données projet'!$B$12,Paramètres!$A$1:$I$89,5,0)</f>
        <v>250.26767999999996</v>
      </c>
      <c r="CA41" s="13">
        <f t="shared" si="39"/>
        <v>60.643256925083442</v>
      </c>
      <c r="CB41" s="20">
        <f t="shared" si="10"/>
        <v>541.50321514452014</v>
      </c>
      <c r="CC41" s="59">
        <f t="shared" si="11"/>
        <v>834.83654847785351</v>
      </c>
      <c r="CD41" s="59">
        <f ca="1">AVERAGE(OFFSET($CC$3,0,0,'Données projet'!$E$12+1,1))-AVERAGE(OFFSET($H$3,0,0,'Données projet'!$E$12+1,1))</f>
        <v>366.86025470473652</v>
      </c>
      <c r="CE41" s="59">
        <f t="shared" si="40"/>
        <v>513.80016421153414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2.197525563382166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0.23137809798792197</v>
      </c>
      <c r="CN41" s="22">
        <f t="shared" si="12"/>
        <v>2.4289036613700881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14</v>
      </c>
      <c r="CT41" s="12">
        <f>IF('Données projet'!$A$140&gt;35,CT40+CS41-DB40,IF(A41&lt;'Données projet'!$A$140,$CQ$205^A41,IF(A41='Données projet'!$A$140,'Données projet'!$B$140,CT40+CS41-DB40)))</f>
        <v>221.99999999999994</v>
      </c>
      <c r="CU41" s="17">
        <f>CT41*VLOOKUP('Données projet'!$B$13,Paramètres!$A$1:$I$89,3,0)*VLOOKUP('Données projet'!$B$13,Paramètres!$A$1:$I$89,5,0)</f>
        <v>121.21199999999996</v>
      </c>
      <c r="CV41" s="13">
        <f t="shared" si="41"/>
        <v>31.95751284761706</v>
      </c>
      <c r="CW41" s="20">
        <f t="shared" si="13"/>
        <v>266.77023487626633</v>
      </c>
      <c r="CX41" s="59">
        <f t="shared" si="14"/>
        <v>560.10356820959964</v>
      </c>
      <c r="CY41" s="59">
        <f ca="1">AVERAGE(OFFSET($CX$3,0,0,'Données projet'!$E$13+1,1))-AVERAGE(OFFSET($H$3,0,0,'Données projet'!$E$13+1,1))</f>
        <v>207.02306964567629</v>
      </c>
      <c r="CZ41" s="59">
        <f t="shared" si="42"/>
        <v>342.06887933351783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5.6377911210883065</v>
      </c>
      <c r="DG41" s="21">
        <f>EXP(-LN(2)/25)*DG40+(1-EXP(-LN(2)/25))/(LN(2)/25)*Calculateur!DB41*Calculateur!DD41*VLOOKUP('Données projet'!$B$13,Paramètres!$A$1:$I$89,3,0)*0.475*44/12</f>
        <v>31.17736218078079</v>
      </c>
      <c r="DH41" s="21">
        <f>EXP(-LN(2)/2)*DH40+(1-EXP(-LN(2)/2))/(LN(2)/2)*DB41*DE41*VLOOKUP('Données projet'!$B$13,Paramètres!$A$1:$I$89,3,0)*0.475*44/12</f>
        <v>0.82962827486880253</v>
      </c>
      <c r="DI41" s="22">
        <f t="shared" si="15"/>
        <v>37.644781576737898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7">
        <f t="shared" si="1"/>
        <v>256.66666666666669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10</v>
      </c>
      <c r="N42" s="13">
        <f>IF('Données projet'!$A$36&gt;35,N41+M42-V41,IF(A42&lt;'Données projet'!$A$36,$K$205^A42,IF(A42='Données projet'!$A$36,'Données projet'!$B$36,N41+M42-V41)))</f>
        <v>233.49999999999989</v>
      </c>
      <c r="O42" s="13">
        <f>N42*VLOOKUP('Données projet'!$B$9,Paramètres!$A$1:$I$89,3,0)*VLOOKUP('Données projet'!$B$9,Paramètres!$A$1:$I$89,5,0)</f>
        <v>109.27799999999995</v>
      </c>
      <c r="P42" s="13">
        <f t="shared" si="33"/>
        <v>29.160810599699261</v>
      </c>
      <c r="Q42" s="20">
        <f t="shared" si="53"/>
        <v>241.11426179447608</v>
      </c>
      <c r="R42" s="59">
        <f t="shared" si="0"/>
        <v>534.44759512780934</v>
      </c>
      <c r="S42" s="59">
        <f ca="1">AVERAGE(OFFSET($R$3,0,0,'Données projet'!$E$9+1,1))-AVERAGE(OFFSET($H$3,0,0,'Données projet'!$E$9+1,1))</f>
        <v>319.22903094674564</v>
      </c>
      <c r="T42" s="59">
        <f t="shared" si="34"/>
        <v>254.58690973142848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7.5944227967780238</v>
      </c>
      <c r="AA42" s="21">
        <f>EXP(-LN(2)/25)*AA41+(1-EXP(-LN(2)/25))/(LN(2)/25)*Calculateur!V42*Calculateur!X42*VLOOKUP('Données projet'!$B$9,Paramètres!$A$1:$I$89,3,0)*0.475*44/12</f>
        <v>8.6887137292968486</v>
      </c>
      <c r="AB42" s="21">
        <f>EXP(-LN(2)/2)*AB41+(1-EXP(-LN(2)/2))/(LN(2)/2)*V42*Y42*VLOOKUP('Données projet'!$B$9,Paramètres!$A$1:$I$89,3,0)*0.475*44/12</f>
        <v>0.48804194683773744</v>
      </c>
      <c r="AC42" s="22">
        <f t="shared" si="3"/>
        <v>16.771178472912609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10.8</v>
      </c>
      <c r="AI42" s="13">
        <f>IF('Données projet'!$A$62&gt;35,AI41+AH42-AQ41,IF(A42&lt;'Données projet'!$A$62,$AF$205^A42,IF(A42='Données projet'!$A$62,'Données projet'!$B$62,AI41+AH42-AQ41)))</f>
        <v>202.20000000000002</v>
      </c>
      <c r="AJ42" s="13">
        <f>AI42*VLOOKUP('Données projet'!$B$10,Paramètres!$A$1:$I$89,3,0)*VLOOKUP('Données projet'!$B$10,Paramètres!$A$1:$I$89,5,0)</f>
        <v>176.64192000000003</v>
      </c>
      <c r="AK42" s="13">
        <f t="shared" si="35"/>
        <v>44.574258350008236</v>
      </c>
      <c r="AL42" s="20">
        <f t="shared" si="4"/>
        <v>385.28484395959771</v>
      </c>
      <c r="AM42" s="59">
        <f t="shared" si="5"/>
        <v>678.61817729293102</v>
      </c>
      <c r="AN42" s="59">
        <f ca="1">AVERAGE(OFFSET($AM$3,0,0,'Données projet'!$E$10+1,1))-AVERAGE(OFFSET($H$3,0,0,'Données projet'!$E$10+1,1))</f>
        <v>321.23599968992932</v>
      </c>
      <c r="AO42" s="59">
        <f t="shared" si="36"/>
        <v>388.05195847800502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5.6681895030568983</v>
      </c>
      <c r="AV42" s="21">
        <f>EXP(-LN(2)/25)*AV41+(1-EXP(-LN(2)/25))/(LN(2)/25)*Calculateur!AQ42*Calculateur!AS42*VLOOKUP('Données projet'!$B$10,Paramètres!$A$1:$I$89,3,0)*0.475*44/12</f>
        <v>11.922826501521525</v>
      </c>
      <c r="AW42" s="21">
        <f>EXP(-LN(2)/2)*AW41+(1-EXP(-LN(2)/2))/(LN(2)/2)*AQ42*AT42*VLOOKUP('Données projet'!$B$10,Paramètres!$A$1:$I$89,3,0)*0.475*44/12</f>
        <v>0.74782301687919139</v>
      </c>
      <c r="AX42" s="21">
        <f t="shared" si="6"/>
        <v>18.338839021457616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12.833333333333334</v>
      </c>
      <c r="BD42" s="12">
        <f>IF('Données projet'!$A$88&gt;35,BD41+BC42-BL41,IF(A42&lt;'Données projet'!$A$88,$BA$205^A42,IF(A42='Données projet'!$A$88,'Données projet'!$B$88,BD41+BC42-BL41)))</f>
        <v>262.16666666666674</v>
      </c>
      <c r="BE42" s="13">
        <f>BD42*VLOOKUP('Données projet'!$B$11,Paramètres!$A$1:$I$89,3,0)*VLOOKUP('Données projet'!$B$11,Paramètres!$A$1:$I$89,5,0)</f>
        <v>156.77566666666672</v>
      </c>
      <c r="BF42" s="13">
        <f t="shared" si="37"/>
        <v>40.114398592763365</v>
      </c>
      <c r="BG42" s="20">
        <f t="shared" si="7"/>
        <v>342.9168636601741</v>
      </c>
      <c r="BH42" s="59">
        <f t="shared" si="8"/>
        <v>636.25019699350742</v>
      </c>
      <c r="BI42" s="59">
        <f ca="1">AVERAGE(OFFSET($BH$3,0,0,'Données projet'!$E$11+1,1))-AVERAGE(OFFSET($H$3,0,0,'Données projet'!$E$11+1,1))</f>
        <v>258.31845364515124</v>
      </c>
      <c r="BJ42" s="59">
        <f t="shared" si="38"/>
        <v>280.26155987300996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9.6046340701855097</v>
      </c>
      <c r="BQ42" s="21">
        <f>EXP(-LN(2)/25)*BQ41+(1-EXP(-LN(2)/25))/(LN(2)/25)*Calculateur!BL42*Calculateur!BN42*VLOOKUP('Données projet'!$B$11,Paramètres!$A$1:$I$89,3,0)*0.475*44/12</f>
        <v>7.3452549892105461</v>
      </c>
      <c r="BR42" s="21">
        <f>EXP(-LN(2)/2)*BR41+(1-EXP(-LN(2)/2))/(LN(2)/2)*BL42*BO42*VLOOKUP('Données projet'!$B$11,Paramètres!$A$1:$I$89,3,0)*0.475*44/12</f>
        <v>0.20015525487531091</v>
      </c>
      <c r="BS42" s="22">
        <f t="shared" si="9"/>
        <v>17.150044314271369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6.2</v>
      </c>
      <c r="BY42" s="12">
        <f>IF('Données projet'!$A$114&gt;35,BY41+BX42-CG41,IF(A42&lt;'Données projet'!$A$114,$BV$205^A42,IF(A42='Données projet'!$A$114,'Données projet'!$B$114,BY41+BX42-CG41)))</f>
        <v>282.79999999999995</v>
      </c>
      <c r="BZ42" s="13">
        <f>BY42*VLOOKUP('Données projet'!$B$12,Paramètres!$A$1:$I$89,3,0)*VLOOKUP('Données projet'!$B$12,Paramètres!$A$1:$I$89,5,0)</f>
        <v>255.87743999999998</v>
      </c>
      <c r="CA42" s="13">
        <f t="shared" si="39"/>
        <v>61.842798995505326</v>
      </c>
      <c r="CB42" s="20">
        <f t="shared" si="10"/>
        <v>553.36274958383854</v>
      </c>
      <c r="CC42" s="59">
        <f t="shared" si="11"/>
        <v>846.69608291717191</v>
      </c>
      <c r="CD42" s="59">
        <f ca="1">AVERAGE(OFFSET($CC$3,0,0,'Données projet'!$E$12+1,1))-AVERAGE(OFFSET($H$3,0,0,'Données projet'!$E$12+1,1))</f>
        <v>366.86025470473652</v>
      </c>
      <c r="CE42" s="59">
        <f t="shared" si="40"/>
        <v>513.80016421153414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2.1544334274424859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0.16360902210530509</v>
      </c>
      <c r="CN42" s="22">
        <f t="shared" si="12"/>
        <v>2.3180424495477912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14</v>
      </c>
      <c r="CT42" s="12">
        <f>IF('Données projet'!$A$140&gt;35,CT41+CS42-DB41,IF(A42&lt;'Données projet'!$A$140,$CQ$205^A42,IF(A42='Données projet'!$A$140,'Données projet'!$B$140,CT41+CS42-DB41)))</f>
        <v>235.99999999999994</v>
      </c>
      <c r="CU42" s="17">
        <f>CT42*VLOOKUP('Données projet'!$B$13,Paramètres!$A$1:$I$89,3,0)*VLOOKUP('Données projet'!$B$13,Paramètres!$A$1:$I$89,5,0)</f>
        <v>128.85599999999997</v>
      </c>
      <c r="CV42" s="13">
        <f t="shared" si="41"/>
        <v>33.731878688740906</v>
      </c>
      <c r="CW42" s="20">
        <f t="shared" si="13"/>
        <v>283.1738887162237</v>
      </c>
      <c r="CX42" s="59">
        <f t="shared" si="14"/>
        <v>576.50722204955696</v>
      </c>
      <c r="CY42" s="59">
        <f ca="1">AVERAGE(OFFSET($CX$3,0,0,'Données projet'!$E$13+1,1))-AVERAGE(OFFSET($H$3,0,0,'Données projet'!$E$13+1,1))</f>
        <v>207.02306964567629</v>
      </c>
      <c r="CZ42" s="59">
        <f t="shared" si="42"/>
        <v>342.06887933351783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5.5272374759168041</v>
      </c>
      <c r="DG42" s="21">
        <f>EXP(-LN(2)/25)*DG41+(1-EXP(-LN(2)/25))/(LN(2)/25)*Calculateur!DB42*Calculateur!DD42*VLOOKUP('Données projet'!$B$13,Paramètres!$A$1:$I$89,3,0)*0.475*44/12</f>
        <v>30.324815572401118</v>
      </c>
      <c r="DH42" s="21">
        <f>EXP(-LN(2)/2)*DH41+(1-EXP(-LN(2)/2))/(LN(2)/2)*DB42*DE42*VLOOKUP('Données projet'!$B$13,Paramètres!$A$1:$I$89,3,0)*0.475*44/12</f>
        <v>0.58663577902382724</v>
      </c>
      <c r="DI42" s="22">
        <f t="shared" si="15"/>
        <v>36.43868882734175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7">
        <f t="shared" si="1"/>
        <v>256.66666666666669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243.5</v>
      </c>
      <c r="L43" s="12">
        <f>VLOOKUP(A43,'Données projet'!$A$35:$I$55,9,0)</f>
        <v>10</v>
      </c>
      <c r="M43" s="12">
        <f t="array" ref="M43">INDEX(L:L,MIN(IF(ISNUMBER(L43:L239),ROW(L43:L239),"")))</f>
        <v>10</v>
      </c>
      <c r="N43" s="13">
        <f>IF('Données projet'!$A$36&gt;35,N42+M43-V42,IF(A43&lt;'Données projet'!$A$36,$K$205^A43,IF(A43='Données projet'!$A$36,'Données projet'!$B$36,N42+M43-V42)))</f>
        <v>243.49999999999989</v>
      </c>
      <c r="O43" s="13">
        <f>N43*VLOOKUP('Données projet'!$B$9,Paramètres!$A$1:$I$89,3,0)*VLOOKUP('Données projet'!$B$9,Paramètres!$A$1:$I$89,5,0)</f>
        <v>113.95799999999994</v>
      </c>
      <c r="P43" s="13">
        <f t="shared" si="33"/>
        <v>30.261593043834445</v>
      </c>
      <c r="Q43" s="20">
        <f t="shared" si="53"/>
        <v>251.1824578846782</v>
      </c>
      <c r="R43" s="59">
        <f t="shared" si="0"/>
        <v>544.51579121801149</v>
      </c>
      <c r="S43" s="59">
        <f ca="1">AVERAGE(OFFSET($R$3,0,0,'Données projet'!$E$9+1,1))-AVERAGE(OFFSET($H$3,0,0,'Données projet'!$E$9+1,1))</f>
        <v>319.22903094674564</v>
      </c>
      <c r="T43" s="59">
        <f t="shared" si="34"/>
        <v>254.58690973142848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70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7.4455007978737271</v>
      </c>
      <c r="AA43" s="21">
        <f>EXP(-LN(2)/25)*AA42+(1-EXP(-LN(2)/25))/(LN(2)/25)*Calculateur!V43*Calculateur!X43*VLOOKUP('Données projet'!$B$9,Paramètres!$A$1:$I$89,3,0)*0.475*44/12</f>
        <v>8.4511203954496299</v>
      </c>
      <c r="AB43" s="21">
        <f>EXP(-LN(2)/2)*AB42+(1-EXP(-LN(2)/2))/(LN(2)/2)*V43*Y43*VLOOKUP('Données projet'!$B$9,Paramètres!$A$1:$I$89,3,0)*0.475*44/12</f>
        <v>0.34509777011244869</v>
      </c>
      <c r="AC43" s="22">
        <f t="shared" si="3"/>
        <v>16.241718963435805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213</v>
      </c>
      <c r="AG43" s="12">
        <f>VLOOKUP(A43,'Données projet'!$A$61:$I$81,9,0)</f>
        <v>10.8</v>
      </c>
      <c r="AH43" s="12">
        <f t="array" ref="AH43">INDEX(AG:AG,MIN(IF(ISNUMBER(AG43:AG239),ROW(AG43:AG239),"")))</f>
        <v>10.8</v>
      </c>
      <c r="AI43" s="13">
        <f>IF('Données projet'!$A$62&gt;35,AI42+AH43-AQ42,IF(A43&lt;'Données projet'!$A$62,$AF$205^A43,IF(A43='Données projet'!$A$62,'Données projet'!$B$62,AI42+AH43-AQ42)))</f>
        <v>213.00000000000003</v>
      </c>
      <c r="AJ43" s="13">
        <f>AI43*VLOOKUP('Données projet'!$B$10,Paramètres!$A$1:$I$89,3,0)*VLOOKUP('Données projet'!$B$10,Paramètres!$A$1:$I$89,5,0)</f>
        <v>186.07680000000005</v>
      </c>
      <c r="AK43" s="13">
        <f t="shared" si="35"/>
        <v>46.671538591528673</v>
      </c>
      <c r="AL43" s="20">
        <f t="shared" si="4"/>
        <v>405.37002304691242</v>
      </c>
      <c r="AM43" s="59">
        <f t="shared" si="5"/>
        <v>698.70335638024574</v>
      </c>
      <c r="AN43" s="59">
        <f ca="1">AVERAGE(OFFSET($AM$3,0,0,'Données projet'!$E$10+1,1))-AVERAGE(OFFSET($H$3,0,0,'Données projet'!$E$10+1,1))</f>
        <v>321.23599968992932</v>
      </c>
      <c r="AO43" s="59">
        <f t="shared" si="36"/>
        <v>388.05195847800502</v>
      </c>
      <c r="AP43" s="15">
        <f>IF(ISNA(VLOOKUP(A43,'Données projet'!$A$61:$I$81,3,0)),0,VLOOKUP(A43,'Données projet'!$A$61:$I$81,3,0))</f>
        <v>6</v>
      </c>
      <c r="AQ43" s="15">
        <f>IF(ISNA(VLOOKUP(A43,'Données projet'!$A$61:$I$81,4,0)),0,VLOOKUP(A43,'Données projet'!$A$61:$I$81,4,0))</f>
        <v>39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5.5570397641561735</v>
      </c>
      <c r="AV43" s="21">
        <f>EXP(-LN(2)/25)*AV42+(1-EXP(-LN(2)/25))/(LN(2)/25)*Calculateur!AQ43*Calculateur!AS43*VLOOKUP('Données projet'!$B$10,Paramètres!$A$1:$I$89,3,0)*0.475*44/12</f>
        <v>11.596796183843223</v>
      </c>
      <c r="AW43" s="21">
        <f>EXP(-LN(2)/2)*AW42+(1-EXP(-LN(2)/2))/(LN(2)/2)*AQ43*AT43*VLOOKUP('Données projet'!$B$10,Paramètres!$A$1:$I$89,3,0)*0.475*44/12</f>
        <v>0.52879072636265823</v>
      </c>
      <c r="AX43" s="21">
        <f t="shared" si="6"/>
        <v>17.682626674362055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275</v>
      </c>
      <c r="BB43" s="12">
        <f>VLOOKUP(A43,'Données projet'!$A$87:$I$107,9,0)</f>
        <v>12.833333333333334</v>
      </c>
      <c r="BC43" s="12">
        <f t="array" ref="BC43">INDEX(BB:BB,MIN(IF(ISNUMBER(BB43:BB239),ROW(BB43:BB239),"")))</f>
        <v>12.833333333333334</v>
      </c>
      <c r="BD43" s="12">
        <f>IF('Données projet'!$A$88&gt;35,BD42+BC43-BL42,IF(A43&lt;'Données projet'!$A$88,$BA$205^A43,IF(A43='Données projet'!$A$88,'Données projet'!$B$88,BD42+BC43-BL42)))</f>
        <v>275.00000000000006</v>
      </c>
      <c r="BE43" s="13">
        <f>BD43*VLOOKUP('Données projet'!$B$11,Paramètres!$A$1:$I$89,3,0)*VLOOKUP('Données projet'!$B$11,Paramètres!$A$1:$I$89,5,0)</f>
        <v>164.45000000000005</v>
      </c>
      <c r="BF43" s="13">
        <f t="shared" si="37"/>
        <v>41.844617207687371</v>
      </c>
      <c r="BG43" s="20">
        <f t="shared" si="7"/>
        <v>359.29645830338887</v>
      </c>
      <c r="BH43" s="59">
        <f t="shared" si="8"/>
        <v>652.62979163672219</v>
      </c>
      <c r="BI43" s="59">
        <f ca="1">AVERAGE(OFFSET($BH$3,0,0,'Données projet'!$E$11+1,1))-AVERAGE(OFFSET($H$3,0,0,'Données projet'!$E$11+1,1))</f>
        <v>258.31845364515124</v>
      </c>
      <c r="BJ43" s="59">
        <f t="shared" si="38"/>
        <v>280.26155987300996</v>
      </c>
      <c r="BK43" s="15">
        <f>IF(ISNA(VLOOKUP(A43,'Données projet'!$A$87:$I$107,3,0)),0,VLOOKUP(A43,'Données projet'!$A$87:$I$107,3,0))</f>
        <v>7</v>
      </c>
      <c r="BL43" s="15">
        <f>IF(ISNA(VLOOKUP(A43,'Données projet'!$A$87:$I$107,4,0)),0,VLOOKUP(A43,'Données projet'!$A$87:$I$107,4,0))</f>
        <v>41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9.4162930543175012</v>
      </c>
      <c r="BQ43" s="21">
        <f>EXP(-LN(2)/25)*BQ42+(1-EXP(-LN(2)/25))/(LN(2)/25)*Calculateur!BL43*Calculateur!BN43*VLOOKUP('Données projet'!$B$11,Paramètres!$A$1:$I$89,3,0)*0.475*44/12</f>
        <v>7.1443986052604114</v>
      </c>
      <c r="BR43" s="21">
        <f>EXP(-LN(2)/2)*BR42+(1-EXP(-LN(2)/2))/(LN(2)/2)*BL43*BO43*VLOOKUP('Données projet'!$B$11,Paramètres!$A$1:$I$89,3,0)*0.475*44/12</f>
        <v>0.14153113801245412</v>
      </c>
      <c r="BS43" s="22">
        <f t="shared" si="9"/>
        <v>16.702222797590366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289</v>
      </c>
      <c r="BW43" s="12">
        <f>VLOOKUP(A43,'Données projet'!$A$113:$I$133,9,0)</f>
        <v>6.2</v>
      </c>
      <c r="BX43" s="12">
        <f t="array" ref="BX43">INDEX(BW:BW,MIN(IF(ISNUMBER(BW43:BW239),ROW(BW43:BW239),"")))</f>
        <v>6.2</v>
      </c>
      <c r="BY43" s="12">
        <f>IF('Données projet'!$A$114&gt;35,BY42+BX43-CG42,IF(A43&lt;'Données projet'!$A$114,$BV$205^A43,IF(A43='Données projet'!$A$114,'Données projet'!$B$114,BY42+BX43-CG42)))</f>
        <v>288.99999999999994</v>
      </c>
      <c r="BZ43" s="13">
        <f>BY43*VLOOKUP('Données projet'!$B$12,Paramètres!$A$1:$I$89,3,0)*VLOOKUP('Données projet'!$B$12,Paramètres!$A$1:$I$89,5,0)</f>
        <v>261.48719999999992</v>
      </c>
      <c r="CA43" s="13">
        <f t="shared" si="39"/>
        <v>63.039283586802391</v>
      </c>
      <c r="CB43" s="20">
        <f t="shared" si="10"/>
        <v>565.21695891368074</v>
      </c>
      <c r="CC43" s="59">
        <f t="shared" si="11"/>
        <v>858.55029224701411</v>
      </c>
      <c r="CD43" s="59">
        <f ca="1">AVERAGE(OFFSET($CC$3,0,0,'Données projet'!$E$12+1,1))-AVERAGE(OFFSET($H$3,0,0,'Données projet'!$E$12+1,1))</f>
        <v>366.86025470473652</v>
      </c>
      <c r="CE43" s="59">
        <f t="shared" si="40"/>
        <v>513.80016421153414</v>
      </c>
      <c r="CF43" s="15">
        <f>IF(ISNA(VLOOKUP(A43,'Données projet'!$A$113:$I$133,3,0)),0,VLOOKUP(A43,'Données projet'!$A$113:$I$133,3,0))</f>
        <v>8</v>
      </c>
      <c r="CG43" s="15">
        <f>IF(ISNA(VLOOKUP(A43,'Données projet'!$A$113:$I$133,4,0)),0,VLOOKUP(A43,'Données projet'!$A$113:$I$133,4,0))</f>
        <v>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2.1121863020049756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0.11568904899396099</v>
      </c>
      <c r="CN43" s="22">
        <f t="shared" si="12"/>
        <v>2.2278753509989366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14</v>
      </c>
      <c r="CT43" s="12">
        <f>IF('Données projet'!$A$140&gt;35,CT42+CS43-DB42,IF(A43&lt;'Données projet'!$A$140,$CQ$205^A43,IF(A43='Données projet'!$A$140,'Données projet'!$B$140,CT42+CS43-DB42)))</f>
        <v>249.99999999999994</v>
      </c>
      <c r="CU43" s="17">
        <f>CT43*VLOOKUP('Données projet'!$B$13,Paramètres!$A$1:$I$89,3,0)*VLOOKUP('Données projet'!$B$13,Paramètres!$A$1:$I$89,5,0)</f>
        <v>136.49999999999997</v>
      </c>
      <c r="CV43" s="13">
        <f t="shared" si="41"/>
        <v>35.494027024087352</v>
      </c>
      <c r="CW43" s="20">
        <f t="shared" si="13"/>
        <v>299.55626373361878</v>
      </c>
      <c r="CX43" s="59">
        <f t="shared" si="14"/>
        <v>592.88959706695209</v>
      </c>
      <c r="CY43" s="59">
        <f ca="1">AVERAGE(OFFSET($CX$3,0,0,'Données projet'!$E$13+1,1))-AVERAGE(OFFSET($H$3,0,0,'Données projet'!$E$13+1,1))</f>
        <v>207.02306964567629</v>
      </c>
      <c r="CZ43" s="59">
        <f t="shared" si="42"/>
        <v>342.06887933351783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5.4188517202960496</v>
      </c>
      <c r="DG43" s="21">
        <f>EXP(-LN(2)/25)*DG42+(1-EXP(-LN(2)/25))/(LN(2)/25)*Calculateur!DB43*Calculateur!DD43*VLOOKUP('Données projet'!$B$13,Paramètres!$A$1:$I$89,3,0)*0.475*44/12</f>
        <v>29.495581895861065</v>
      </c>
      <c r="DH43" s="21">
        <f>EXP(-LN(2)/2)*DH42+(1-EXP(-LN(2)/2))/(LN(2)/2)*DB43*DE43*VLOOKUP('Données projet'!$B$13,Paramètres!$A$1:$I$89,3,0)*0.475*44/12</f>
        <v>0.41481413743440126</v>
      </c>
      <c r="DI43" s="22">
        <f t="shared" si="15"/>
        <v>35.32924775359151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7">
        <f t="shared" si="1"/>
        <v>256.66666666666669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11.5</v>
      </c>
      <c r="N44" s="13">
        <f>IF('Données projet'!$A$36&gt;35,N43+M44-V43,IF(A44&lt;'Données projet'!$A$36,$K$205^A44,IF(A44='Données projet'!$A$36,'Données projet'!$B$36,N43+M44-V43)))</f>
        <v>184.99999999999989</v>
      </c>
      <c r="O44" s="13">
        <f>N44*VLOOKUP('Données projet'!$B$9,Paramètres!$A$1:$I$89,3,0)*VLOOKUP('Données projet'!$B$9,Paramètres!$A$1:$I$89,5,0)</f>
        <v>86.579999999999941</v>
      </c>
      <c r="P44" s="13">
        <f t="shared" si="33"/>
        <v>23.738552844733956</v>
      </c>
      <c r="Q44" s="20">
        <f t="shared" si="53"/>
        <v>192.13814620457819</v>
      </c>
      <c r="R44" s="59">
        <f t="shared" si="0"/>
        <v>485.47147953791148</v>
      </c>
      <c r="S44" s="59">
        <f ca="1">AVERAGE(OFFSET($R$3,0,0,'Données projet'!$E$9+1,1))-AVERAGE(OFFSET($H$3,0,0,'Données projet'!$E$9+1,1))</f>
        <v>319.22903094674564</v>
      </c>
      <c r="T44" s="59">
        <f t="shared" si="34"/>
        <v>254.58690973142848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7.2994990685344936</v>
      </c>
      <c r="AA44" s="21">
        <f>EXP(-LN(2)/25)*AA43+(1-EXP(-LN(2)/25))/(LN(2)/25)*Calculateur!V44*Calculateur!X44*VLOOKUP('Données projet'!$B$9,Paramètres!$A$1:$I$89,3,0)*0.475*44/12</f>
        <v>8.2200240638109534</v>
      </c>
      <c r="AB44" s="21">
        <f>EXP(-LN(2)/2)*AB43+(1-EXP(-LN(2)/2))/(LN(2)/2)*V44*Y44*VLOOKUP('Données projet'!$B$9,Paramètres!$A$1:$I$89,3,0)*0.475*44/12</f>
        <v>0.24402097341886875</v>
      </c>
      <c r="AC44" s="22">
        <f t="shared" si="3"/>
        <v>15.763544105764316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9.8000000000000007</v>
      </c>
      <c r="AI44" s="13">
        <f>IF('Données projet'!$A$62&gt;35,AI43+AH44-AQ43,IF(A44&lt;'Données projet'!$A$62,$AF$205^A44,IF(A44='Données projet'!$A$62,'Données projet'!$B$62,AI43+AH44-AQ43)))</f>
        <v>183.80000000000004</v>
      </c>
      <c r="AJ44" s="13">
        <f>AI44*VLOOKUP('Données projet'!$B$10,Paramètres!$A$1:$I$89,3,0)*VLOOKUP('Données projet'!$B$10,Paramètres!$A$1:$I$89,5,0)</f>
        <v>160.56768000000005</v>
      </c>
      <c r="AK44" s="13">
        <f t="shared" si="35"/>
        <v>40.970530810309882</v>
      </c>
      <c r="AL44" s="20">
        <f t="shared" si="4"/>
        <v>351.0123838279564</v>
      </c>
      <c r="AM44" s="59">
        <f t="shared" si="5"/>
        <v>644.34571716128971</v>
      </c>
      <c r="AN44" s="59">
        <f ca="1">AVERAGE(OFFSET($AM$3,0,0,'Données projet'!$E$10+1,1))-AVERAGE(OFFSET($H$3,0,0,'Données projet'!$E$10+1,1))</f>
        <v>321.23599968992932</v>
      </c>
      <c r="AO44" s="59">
        <f t="shared" si="36"/>
        <v>388.05195847800502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5.4480696038406453</v>
      </c>
      <c r="AV44" s="21">
        <f>EXP(-LN(2)/25)*AV43+(1-EXP(-LN(2)/25))/(LN(2)/25)*Calculateur!AQ44*Calculateur!AS44*VLOOKUP('Données projet'!$B$10,Paramètres!$A$1:$I$89,3,0)*0.475*44/12</f>
        <v>11.279681182347023</v>
      </c>
      <c r="AW44" s="21">
        <f>EXP(-LN(2)/2)*AW43+(1-EXP(-LN(2)/2))/(LN(2)/2)*AQ44*AT44*VLOOKUP('Données projet'!$B$10,Paramètres!$A$1:$I$89,3,0)*0.475*44/12</f>
        <v>0.3739115084395957</v>
      </c>
      <c r="AX44" s="21">
        <f t="shared" si="6"/>
        <v>17.101662294627264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9.6666666666666661</v>
      </c>
      <c r="BD44" s="12">
        <f>IF('Données projet'!$A$88&gt;35,BD43+BC44-BL43,IF(A44&lt;'Données projet'!$A$88,$BA$205^A44,IF(A44='Données projet'!$A$88,'Données projet'!$B$88,BD43+BC44-BL43)))</f>
        <v>243.66666666666674</v>
      </c>
      <c r="BE44" s="13">
        <f>BD44*VLOOKUP('Données projet'!$B$11,Paramètres!$A$1:$I$89,3,0)*VLOOKUP('Données projet'!$B$11,Paramètres!$A$1:$I$89,5,0)</f>
        <v>145.71266666666671</v>
      </c>
      <c r="BF44" s="13">
        <f t="shared" si="37"/>
        <v>37.602635478392592</v>
      </c>
      <c r="BG44" s="20">
        <f t="shared" si="7"/>
        <v>319.27415123597825</v>
      </c>
      <c r="BH44" s="59">
        <f t="shared" si="8"/>
        <v>612.60748456931151</v>
      </c>
      <c r="BI44" s="59">
        <f ca="1">AVERAGE(OFFSET($BH$3,0,0,'Données projet'!$E$11+1,1))-AVERAGE(OFFSET($H$3,0,0,'Données projet'!$E$11+1,1))</f>
        <v>258.31845364515124</v>
      </c>
      <c r="BJ44" s="59">
        <f t="shared" si="38"/>
        <v>280.26155987300996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9.2316452908939866</v>
      </c>
      <c r="BQ44" s="21">
        <f>EXP(-LN(2)/25)*BQ43+(1-EXP(-LN(2)/25))/(LN(2)/25)*Calculateur!BL44*Calculateur!BN44*VLOOKUP('Données projet'!$B$11,Paramètres!$A$1:$I$89,3,0)*0.475*44/12</f>
        <v>6.9490346496919715</v>
      </c>
      <c r="BR44" s="21">
        <f>EXP(-LN(2)/2)*BR43+(1-EXP(-LN(2)/2))/(LN(2)/2)*BL44*BO44*VLOOKUP('Données projet'!$B$11,Paramètres!$A$1:$I$89,3,0)*0.475*44/12</f>
        <v>0.10007762743765546</v>
      </c>
      <c r="BS44" s="22">
        <f t="shared" si="9"/>
        <v>16.280757568023613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6</v>
      </c>
      <c r="BY44" s="12">
        <f>IF('Données projet'!$A$114&gt;35,BY43+BX44-CG43,IF(A44&lt;'Données projet'!$A$114,$BV$205^A44,IF(A44='Données projet'!$A$114,'Données projet'!$B$114,BY43+BX44-CG43)))</f>
        <v>287.99999999999994</v>
      </c>
      <c r="BZ44" s="13">
        <f>BY44*VLOOKUP('Données projet'!$B$12,Paramètres!$A$1:$I$89,3,0)*VLOOKUP('Données projet'!$B$12,Paramètres!$A$1:$I$89,5,0)</f>
        <v>260.58239999999995</v>
      </c>
      <c r="CA44" s="13">
        <f t="shared" si="39"/>
        <v>62.846505929896907</v>
      </c>
      <c r="CB44" s="20">
        <f t="shared" si="10"/>
        <v>563.30534449457025</v>
      </c>
      <c r="CC44" s="59">
        <f t="shared" si="11"/>
        <v>856.63867782790362</v>
      </c>
      <c r="CD44" s="59">
        <f ca="1">AVERAGE(OFFSET($CC$3,0,0,'Données projet'!$E$12+1,1))-AVERAGE(OFFSET($H$3,0,0,'Données projet'!$E$12+1,1))</f>
        <v>366.86025470473652</v>
      </c>
      <c r="CE44" s="59">
        <f t="shared" si="40"/>
        <v>513.80016421153414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2.0707676169290927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8.1804511052652545E-2</v>
      </c>
      <c r="CN44" s="22">
        <f t="shared" si="12"/>
        <v>2.1525721279817454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14</v>
      </c>
      <c r="CT44" s="12">
        <f>IF('Données projet'!$A$140&gt;35,CT43+CS44-DB43,IF(A44&lt;'Données projet'!$A$140,$CQ$205^A44,IF(A44='Données projet'!$A$140,'Données projet'!$B$140,CT43+CS44-DB43)))</f>
        <v>263.99999999999994</v>
      </c>
      <c r="CU44" s="17">
        <f>CT44*VLOOKUP('Données projet'!$B$13,Paramètres!$A$1:$I$89,3,0)*VLOOKUP('Données projet'!$B$13,Paramètres!$A$1:$I$89,5,0)</f>
        <v>144.14399999999995</v>
      </c>
      <c r="CV44" s="13">
        <f t="shared" si="41"/>
        <v>37.244720006976216</v>
      </c>
      <c r="CW44" s="20">
        <f t="shared" si="13"/>
        <v>315.91868734548348</v>
      </c>
      <c r="CX44" s="59">
        <f t="shared" si="14"/>
        <v>609.25202067881673</v>
      </c>
      <c r="CY44" s="59">
        <f ca="1">AVERAGE(OFFSET($CX$3,0,0,'Données projet'!$E$13+1,1))-AVERAGE(OFFSET($H$3,0,0,'Données projet'!$E$13+1,1))</f>
        <v>207.02306964567629</v>
      </c>
      <c r="CZ44" s="59">
        <f t="shared" si="42"/>
        <v>342.06887933351783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5.3125913432342351</v>
      </c>
      <c r="DG44" s="21">
        <f>EXP(-LN(2)/25)*DG43+(1-EXP(-LN(2)/25))/(LN(2)/25)*Calculateur!DB44*Calculateur!DD44*VLOOKUP('Données projet'!$B$13,Paramètres!$A$1:$I$89,3,0)*0.475*44/12</f>
        <v>28.689023657813504</v>
      </c>
      <c r="DH44" s="21">
        <f>EXP(-LN(2)/2)*DH43+(1-EXP(-LN(2)/2))/(LN(2)/2)*DB44*DE44*VLOOKUP('Données projet'!$B$13,Paramètres!$A$1:$I$89,3,0)*0.475*44/12</f>
        <v>0.29331788951191362</v>
      </c>
      <c r="DI44" s="22">
        <f t="shared" si="15"/>
        <v>34.29493289055965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7">
        <f t="shared" si="1"/>
        <v>256.66666666666669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11.5</v>
      </c>
      <c r="N45" s="13">
        <f>IF('Données projet'!$A$36&gt;35,N44+M45-V44,IF(A45&lt;'Données projet'!$A$36,$K$205^A45,IF(A45='Données projet'!$A$36,'Données projet'!$B$36,N44+M45-V44)))</f>
        <v>196.49999999999989</v>
      </c>
      <c r="O45" s="13">
        <f>N45*VLOOKUP('Données projet'!$B$9,Paramètres!$A$1:$I$89,3,0)*VLOOKUP('Données projet'!$B$9,Paramètres!$A$1:$I$89,5,0)</f>
        <v>91.961999999999946</v>
      </c>
      <c r="P45" s="13">
        <f t="shared" si="33"/>
        <v>25.037816603121904</v>
      </c>
      <c r="Q45" s="20">
        <f t="shared" si="53"/>
        <v>203.77468058377053</v>
      </c>
      <c r="R45" s="59">
        <f t="shared" si="0"/>
        <v>497.10801391710385</v>
      </c>
      <c r="S45" s="59">
        <f ca="1">AVERAGE(OFFSET($R$3,0,0,'Données projet'!$E$9+1,1))-AVERAGE(OFFSET($H$3,0,0,'Données projet'!$E$9+1,1))</f>
        <v>319.22903094674564</v>
      </c>
      <c r="T45" s="59">
        <f t="shared" si="34"/>
        <v>254.58690973142848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7.1563603440553401</v>
      </c>
      <c r="AA45" s="21">
        <f>EXP(-LN(2)/25)*AA44+(1-EXP(-LN(2)/25))/(LN(2)/25)*Calculateur!V45*Calculateur!X45*VLOOKUP('Données projet'!$B$9,Paramètres!$A$1:$I$89,3,0)*0.475*44/12</f>
        <v>7.9952470735137648</v>
      </c>
      <c r="AB45" s="21">
        <f>EXP(-LN(2)/2)*AB44+(1-EXP(-LN(2)/2))/(LN(2)/2)*V45*Y45*VLOOKUP('Données projet'!$B$9,Paramètres!$A$1:$I$89,3,0)*0.475*44/12</f>
        <v>0.17254888505622437</v>
      </c>
      <c r="AC45" s="22">
        <f t="shared" si="3"/>
        <v>15.32415630262533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9.8000000000000007</v>
      </c>
      <c r="AI45" s="13">
        <f>IF('Données projet'!$A$62&gt;35,AI44+AH45-AQ44,IF(A45&lt;'Données projet'!$A$62,$AF$205^A45,IF(A45='Données projet'!$A$62,'Données projet'!$B$62,AI44+AH45-AQ44)))</f>
        <v>193.60000000000005</v>
      </c>
      <c r="AJ45" s="13">
        <f>AI45*VLOOKUP('Données projet'!$B$10,Paramètres!$A$1:$I$89,3,0)*VLOOKUP('Données projet'!$B$10,Paramètres!$A$1:$I$89,5,0)</f>
        <v>169.12896000000006</v>
      </c>
      <c r="AK45" s="13">
        <f t="shared" si="35"/>
        <v>42.894881315146776</v>
      </c>
      <c r="AL45" s="20">
        <f t="shared" si="4"/>
        <v>369.27485695721407</v>
      </c>
      <c r="AM45" s="59">
        <f t="shared" si="5"/>
        <v>662.60819029054733</v>
      </c>
      <c r="AN45" s="59">
        <f ca="1">AVERAGE(OFFSET($AM$3,0,0,'Données projet'!$E$10+1,1))-AVERAGE(OFFSET($H$3,0,0,'Données projet'!$E$10+1,1))</f>
        <v>321.23599968992932</v>
      </c>
      <c r="AO45" s="59">
        <f t="shared" si="36"/>
        <v>388.05195847800502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5.3412362819036705</v>
      </c>
      <c r="AV45" s="21">
        <f>EXP(-LN(2)/25)*AV44+(1-EXP(-LN(2)/25))/(LN(2)/25)*Calculateur!AQ45*Calculateur!AS45*VLOOKUP('Données projet'!$B$10,Paramètres!$A$1:$I$89,3,0)*0.475*44/12</f>
        <v>10.971237707243091</v>
      </c>
      <c r="AW45" s="21">
        <f>EXP(-LN(2)/2)*AW44+(1-EXP(-LN(2)/2))/(LN(2)/2)*AQ45*AT45*VLOOKUP('Données projet'!$B$10,Paramètres!$A$1:$I$89,3,0)*0.475*44/12</f>
        <v>0.26439536318132911</v>
      </c>
      <c r="AX45" s="21">
        <f t="shared" si="6"/>
        <v>16.576869352328089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9.6666666666666661</v>
      </c>
      <c r="BD45" s="12">
        <f>IF('Données projet'!$A$88&gt;35,BD44+BC45-BL44,IF(A45&lt;'Données projet'!$A$88,$BA$205^A45,IF(A45='Données projet'!$A$88,'Données projet'!$B$88,BD44+BC45-BL44)))</f>
        <v>253.3333333333334</v>
      </c>
      <c r="BE45" s="13">
        <f>BD45*VLOOKUP('Données projet'!$B$11,Paramètres!$A$1:$I$89,3,0)*VLOOKUP('Données projet'!$B$11,Paramètres!$A$1:$I$89,5,0)</f>
        <v>151.4933333333334</v>
      </c>
      <c r="BF45" s="13">
        <f t="shared" si="37"/>
        <v>38.917755071333922</v>
      </c>
      <c r="BG45" s="20">
        <f t="shared" si="7"/>
        <v>331.63264563812891</v>
      </c>
      <c r="BH45" s="59">
        <f t="shared" si="8"/>
        <v>624.96597897146216</v>
      </c>
      <c r="BI45" s="59">
        <f ca="1">AVERAGE(OFFSET($BH$3,0,0,'Données projet'!$E$11+1,1))-AVERAGE(OFFSET($H$3,0,0,'Données projet'!$E$11+1,1))</f>
        <v>258.31845364515124</v>
      </c>
      <c r="BJ45" s="59">
        <f t="shared" si="38"/>
        <v>280.26155987300996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9.0506183574871919</v>
      </c>
      <c r="BQ45" s="21">
        <f>EXP(-LN(2)/25)*BQ44+(1-EXP(-LN(2)/25))/(LN(2)/25)*Calculateur!BL45*Calculateur!BN45*VLOOKUP('Données projet'!$B$11,Paramètres!$A$1:$I$89,3,0)*0.475*44/12</f>
        <v>6.7590129317622942</v>
      </c>
      <c r="BR45" s="21">
        <f>EXP(-LN(2)/2)*BR44+(1-EXP(-LN(2)/2))/(LN(2)/2)*BL45*BO45*VLOOKUP('Données projet'!$B$11,Paramètres!$A$1:$I$89,3,0)*0.475*44/12</f>
        <v>7.0765569006227061E-2</v>
      </c>
      <c r="BS45" s="22">
        <f t="shared" si="9"/>
        <v>15.880396858255713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6</v>
      </c>
      <c r="BY45" s="12">
        <f>IF('Données projet'!$A$114&gt;35,BY44+BX45-CG44,IF(A45&lt;'Données projet'!$A$114,$BV$205^A45,IF(A45='Données projet'!$A$114,'Données projet'!$B$114,BY44+BX45-CG44)))</f>
        <v>293.99999999999994</v>
      </c>
      <c r="BZ45" s="13">
        <f>BY45*VLOOKUP('Données projet'!$B$12,Paramètres!$A$1:$I$89,3,0)*VLOOKUP('Données projet'!$B$12,Paramètres!$A$1:$I$89,5,0)</f>
        <v>266.01119999999992</v>
      </c>
      <c r="CA45" s="13">
        <f t="shared" si="39"/>
        <v>64.00201337612566</v>
      </c>
      <c r="CB45" s="20">
        <f t="shared" si="10"/>
        <v>574.77301329675208</v>
      </c>
      <c r="CC45" s="59">
        <f t="shared" si="11"/>
        <v>868.10634663008545</v>
      </c>
      <c r="CD45" s="59">
        <f ca="1">AVERAGE(OFFSET($CC$3,0,0,'Données projet'!$E$12+1,1))-AVERAGE(OFFSET($H$3,0,0,'Données projet'!$E$12+1,1))</f>
        <v>366.86025470473652</v>
      </c>
      <c r="CE45" s="59">
        <f t="shared" si="40"/>
        <v>513.80016421153414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2.0301611270046442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5.7844524496980493E-2</v>
      </c>
      <c r="CN45" s="22">
        <f t="shared" si="12"/>
        <v>2.0880056515016245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>
        <f>VLOOKUP(A45,'Données projet'!$A$139:$I$159,2,0)</f>
        <v>278</v>
      </c>
      <c r="CR45" s="12">
        <f>VLOOKUP(A45,'Données projet'!$A$139:$I$159,9,0)</f>
        <v>14</v>
      </c>
      <c r="CS45" s="12">
        <f t="array" ref="CS45">INDEX(CR:CR,MIN(IF(ISNUMBER(CR45:CR241),ROW(CR45:CR241),"")))</f>
        <v>14</v>
      </c>
      <c r="CT45" s="12">
        <f>IF('Données projet'!$A$140&gt;35,CT44+CS45-DB44,IF(A45&lt;'Données projet'!$A$140,$CQ$205^A45,IF(A45='Données projet'!$A$140,'Données projet'!$B$140,CT44+CS45-DB44)))</f>
        <v>277.99999999999994</v>
      </c>
      <c r="CU45" s="17">
        <f>CT45*VLOOKUP('Données projet'!$B$13,Paramètres!$A$1:$I$89,3,0)*VLOOKUP('Données projet'!$B$13,Paramètres!$A$1:$I$89,5,0)</f>
        <v>151.78799999999998</v>
      </c>
      <c r="CV45" s="13">
        <f t="shared" si="41"/>
        <v>38.984634390835623</v>
      </c>
      <c r="CW45" s="20">
        <f t="shared" si="13"/>
        <v>332.26233823070532</v>
      </c>
      <c r="CX45" s="59">
        <f t="shared" si="14"/>
        <v>625.59567156403864</v>
      </c>
      <c r="CY45" s="59">
        <f ca="1">AVERAGE(OFFSET($CX$3,0,0,'Données projet'!$E$13+1,1))-AVERAGE(OFFSET($H$3,0,0,'Données projet'!$E$13+1,1))</f>
        <v>207.02306964567629</v>
      </c>
      <c r="CZ45" s="59">
        <f t="shared" si="42"/>
        <v>342.06887933351783</v>
      </c>
      <c r="DA45" s="15">
        <f>IF(ISNA(VLOOKUP(A45,'Données projet'!$A$139:$I$159,3,0)),0,VLOOKUP(A45,'Données projet'!$A$139:$I$159,3,0))</f>
        <v>7</v>
      </c>
      <c r="DB45" s="15">
        <f>IF(ISNA(VLOOKUP(A45,'Données projet'!$A$139:$I$159,4,0)),0,VLOOKUP(A45,'Données projet'!$A$139:$I$159,4,0))</f>
        <v>278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5.2084146673541722</v>
      </c>
      <c r="DG45" s="21">
        <f>EXP(-LN(2)/25)*DG44+(1-EXP(-LN(2)/25))/(LN(2)/25)*Calculateur!DB45*Calculateur!DD45*VLOOKUP('Données projet'!$B$13,Paramètres!$A$1:$I$89,3,0)*0.475*44/12</f>
        <v>27.904520797200409</v>
      </c>
      <c r="DH45" s="21">
        <f>EXP(-LN(2)/2)*DH44+(1-EXP(-LN(2)/2))/(LN(2)/2)*DB45*DE45*VLOOKUP('Données projet'!$B$13,Paramètres!$A$1:$I$89,3,0)*0.475*44/12</f>
        <v>0.20740706871720063</v>
      </c>
      <c r="DI45" s="22">
        <f t="shared" si="15"/>
        <v>33.320342533271784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7">
        <f t="shared" si="1"/>
        <v>256.66666666666669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11.5</v>
      </c>
      <c r="N46" s="13">
        <f>IF('Données projet'!$A$36&gt;35,N45+M46-V45,IF(A46&lt;'Données projet'!$A$36,$K$205^A46,IF(A46='Données projet'!$A$36,'Données projet'!$B$36,N45+M46-V45)))</f>
        <v>207.99999999999989</v>
      </c>
      <c r="O46" s="13">
        <f>N46*VLOOKUP('Données projet'!$B$9,Paramètres!$A$1:$I$89,3,0)*VLOOKUP('Données projet'!$B$9,Paramètres!$A$1:$I$89,5,0)</f>
        <v>97.343999999999937</v>
      </c>
      <c r="P46" s="13">
        <f t="shared" si="33"/>
        <v>26.328254259866451</v>
      </c>
      <c r="Q46" s="20">
        <f t="shared" si="53"/>
        <v>215.39584283593396</v>
      </c>
      <c r="R46" s="59">
        <f t="shared" si="0"/>
        <v>508.72917616926725</v>
      </c>
      <c r="S46" s="59">
        <f ca="1">AVERAGE(OFFSET($R$3,0,0,'Données projet'!$E$9+1,1))-AVERAGE(OFFSET($H$3,0,0,'Données projet'!$E$9+1,1))</f>
        <v>319.22903094674564</v>
      </c>
      <c r="T46" s="59">
        <f t="shared" si="34"/>
        <v>254.58690973142848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7.0160284826572221</v>
      </c>
      <c r="AA46" s="21">
        <f>EXP(-LN(2)/25)*AA45+(1-EXP(-LN(2)/25))/(LN(2)/25)*Calculateur!V46*Calculateur!X46*VLOOKUP('Données projet'!$B$9,Paramètres!$A$1:$I$89,3,0)*0.475*44/12</f>
        <v>7.7766166218367605</v>
      </c>
      <c r="AB46" s="21">
        <f>EXP(-LN(2)/2)*AB45+(1-EXP(-LN(2)/2))/(LN(2)/2)*V46*Y46*VLOOKUP('Données projet'!$B$9,Paramètres!$A$1:$I$89,3,0)*0.475*44/12</f>
        <v>0.1220104867094344</v>
      </c>
      <c r="AC46" s="22">
        <f t="shared" si="3"/>
        <v>14.914655591203417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9.8000000000000007</v>
      </c>
      <c r="AI46" s="13">
        <f>IF('Données projet'!$A$62&gt;35,AI45+AH46-AQ45,IF(A46&lt;'Données projet'!$A$62,$AF$205^A46,IF(A46='Données projet'!$A$62,'Données projet'!$B$62,AI45+AH46-AQ45)))</f>
        <v>203.40000000000006</v>
      </c>
      <c r="AJ46" s="13">
        <f>AI46*VLOOKUP('Données projet'!$B$10,Paramètres!$A$1:$I$89,3,0)*VLOOKUP('Données projet'!$B$10,Paramètres!$A$1:$I$89,5,0)</f>
        <v>177.69024000000007</v>
      </c>
      <c r="AK46" s="13">
        <f t="shared" si="35"/>
        <v>44.807921499827692</v>
      </c>
      <c r="AL46" s="20">
        <f t="shared" si="4"/>
        <v>387.5176312788667</v>
      </c>
      <c r="AM46" s="59">
        <f t="shared" si="5"/>
        <v>680.85096461219996</v>
      </c>
      <c r="AN46" s="59">
        <f ca="1">AVERAGE(OFFSET($AM$3,0,0,'Données projet'!$E$10+1,1))-AVERAGE(OFFSET($H$3,0,0,'Données projet'!$E$10+1,1))</f>
        <v>321.23599968992932</v>
      </c>
      <c r="AO46" s="59">
        <f t="shared" si="36"/>
        <v>388.05195847800502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5.2364978962479869</v>
      </c>
      <c r="AV46" s="21">
        <f>EXP(-LN(2)/25)*AV45+(1-EXP(-LN(2)/25))/(LN(2)/25)*Calculateur!AQ46*Calculateur!AS46*VLOOKUP('Données projet'!$B$10,Paramètres!$A$1:$I$89,3,0)*0.475*44/12</f>
        <v>10.671228635186212</v>
      </c>
      <c r="AW46" s="21">
        <f>EXP(-LN(2)/2)*AW45+(1-EXP(-LN(2)/2))/(LN(2)/2)*AQ46*AT46*VLOOKUP('Données projet'!$B$10,Paramètres!$A$1:$I$89,3,0)*0.475*44/12</f>
        <v>0.18695575421979785</v>
      </c>
      <c r="AX46" s="21">
        <f t="shared" si="6"/>
        <v>16.094682285653999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9.6666666666666661</v>
      </c>
      <c r="BD46" s="12">
        <f>IF('Données projet'!$A$88&gt;35,BD45+BC46-BL45,IF(A46&lt;'Données projet'!$A$88,$BA$205^A46,IF(A46='Données projet'!$A$88,'Données projet'!$B$88,BD45+BC46-BL45)))</f>
        <v>263.00000000000006</v>
      </c>
      <c r="BE46" s="13">
        <f>BD46*VLOOKUP('Données projet'!$B$11,Paramètres!$A$1:$I$89,3,0)*VLOOKUP('Données projet'!$B$11,Paramètres!$A$1:$I$89,5,0)</f>
        <v>157.27400000000006</v>
      </c>
      <c r="BF46" s="13">
        <f t="shared" si="37"/>
        <v>40.227044915434455</v>
      </c>
      <c r="BG46" s="20">
        <f t="shared" si="7"/>
        <v>343.98098656104838</v>
      </c>
      <c r="BH46" s="59">
        <f t="shared" si="8"/>
        <v>637.3143198943817</v>
      </c>
      <c r="BI46" s="59">
        <f ca="1">AVERAGE(OFFSET($BH$3,0,0,'Données projet'!$E$11+1,1))-AVERAGE(OFFSET($H$3,0,0,'Données projet'!$E$11+1,1))</f>
        <v>258.31845364515124</v>
      </c>
      <c r="BJ46" s="59">
        <f t="shared" si="38"/>
        <v>280.26155987300996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8.8731412518289794</v>
      </c>
      <c r="BQ46" s="21">
        <f>EXP(-LN(2)/25)*BQ45+(1-EXP(-LN(2)/25))/(LN(2)/25)*Calculateur!BL46*Calculateur!BN46*VLOOKUP('Données projet'!$B$11,Paramètres!$A$1:$I$89,3,0)*0.475*44/12</f>
        <v>6.574187367702212</v>
      </c>
      <c r="BR46" s="21">
        <f>EXP(-LN(2)/2)*BR45+(1-EXP(-LN(2)/2))/(LN(2)/2)*BL46*BO46*VLOOKUP('Données projet'!$B$11,Paramètres!$A$1:$I$89,3,0)*0.475*44/12</f>
        <v>5.0038813718827728E-2</v>
      </c>
      <c r="BS46" s="22">
        <f t="shared" si="9"/>
        <v>15.49736743325002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6</v>
      </c>
      <c r="BY46" s="12">
        <f>IF('Données projet'!$A$114&gt;35,BY45+BX46-CG45,IF(A46&lt;'Données projet'!$A$114,$BV$205^A46,IF(A46='Données projet'!$A$114,'Données projet'!$B$114,BY45+BX46-CG45)))</f>
        <v>299.99999999999994</v>
      </c>
      <c r="BZ46" s="13">
        <f>BY46*VLOOKUP('Données projet'!$B$12,Paramètres!$A$1:$I$89,3,0)*VLOOKUP('Données projet'!$B$12,Paramètres!$A$1:$I$89,5,0)</f>
        <v>271.43999999999994</v>
      </c>
      <c r="CA46" s="13">
        <f t="shared" si="39"/>
        <v>65.154778959151173</v>
      </c>
      <c r="CB46" s="20">
        <f t="shared" si="10"/>
        <v>586.23590668718805</v>
      </c>
      <c r="CC46" s="59">
        <f t="shared" si="11"/>
        <v>879.56924002052142</v>
      </c>
      <c r="CD46" s="59">
        <f ca="1">AVERAGE(OFFSET($CC$3,0,0,'Données projet'!$E$12+1,1))-AVERAGE(OFFSET($H$3,0,0,'Données projet'!$E$12+1,1))</f>
        <v>366.86025470473652</v>
      </c>
      <c r="CE46" s="59">
        <f t="shared" si="40"/>
        <v>513.80016421153414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1.990350905580101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4.0902255526326273E-2</v>
      </c>
      <c r="CN46" s="22">
        <f t="shared" si="12"/>
        <v>2.0312531611064273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-5.6843418860808015E-14</v>
      </c>
      <c r="CU46" s="17">
        <f>CT46*VLOOKUP('Données projet'!$B$13,Paramètres!$A$1:$I$89,3,0)*VLOOKUP('Données projet'!$B$13,Paramètres!$A$1:$I$89,5,0)</f>
        <v>-3.1036506698001178E-14</v>
      </c>
      <c r="CV46" s="13" t="e">
        <f t="shared" si="41"/>
        <v>#NUM!</v>
      </c>
      <c r="CW46" s="20" t="e">
        <f t="shared" si="13"/>
        <v>#NUM!</v>
      </c>
      <c r="CX46" s="59" t="e">
        <f t="shared" si="14"/>
        <v>#NUM!</v>
      </c>
      <c r="CY46" s="59">
        <f ca="1">AVERAGE(OFFSET($CX$3,0,0,'Données projet'!$E$13+1,1))-AVERAGE(OFFSET($H$3,0,0,'Données projet'!$E$13+1,1))</f>
        <v>207.02306964567629</v>
      </c>
      <c r="CZ46" s="59">
        <f t="shared" si="42"/>
        <v>342.06887933351783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5.1062808325466191</v>
      </c>
      <c r="DG46" s="21">
        <f>EXP(-LN(2)/25)*DG45+(1-EXP(-LN(2)/25))/(LN(2)/25)*Calculateur!DB46*Calculateur!DD46*VLOOKUP('Données projet'!$B$13,Paramètres!$A$1:$I$89,3,0)*0.475*44/12</f>
        <v>27.141470208565991</v>
      </c>
      <c r="DH46" s="21">
        <f>EXP(-LN(2)/2)*DH45+(1-EXP(-LN(2)/2))/(LN(2)/2)*DB46*DE46*VLOOKUP('Données projet'!$B$13,Paramètres!$A$1:$I$89,3,0)*0.475*44/12</f>
        <v>0.14665894475595681</v>
      </c>
      <c r="DI46" s="22">
        <f t="shared" si="15"/>
        <v>32.394409985868563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7">
        <f t="shared" si="1"/>
        <v>256.66666666666669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11.5</v>
      </c>
      <c r="N47" s="13">
        <f>IF('Données projet'!$A$36&gt;35,N46+M47-V46,IF(A47&lt;'Données projet'!$A$36,$K$205^A47,IF(A47='Données projet'!$A$36,'Données projet'!$B$36,N46+M47-V46)))</f>
        <v>219.49999999999989</v>
      </c>
      <c r="O47" s="13">
        <f>N47*VLOOKUP('Données projet'!$B$9,Paramètres!$A$1:$I$89,3,0)*VLOOKUP('Données projet'!$B$9,Paramètres!$A$1:$I$89,5,0)</f>
        <v>102.72599999999994</v>
      </c>
      <c r="P47" s="13">
        <f t="shared" si="33"/>
        <v>27.610409417164195</v>
      </c>
      <c r="Q47" s="20">
        <f t="shared" si="53"/>
        <v>227.0025797348942</v>
      </c>
      <c r="R47" s="59">
        <f t="shared" si="0"/>
        <v>520.33591306822746</v>
      </c>
      <c r="S47" s="59">
        <f ca="1">AVERAGE(OFFSET($R$3,0,0,'Données projet'!$E$9+1,1))-AVERAGE(OFFSET($H$3,0,0,'Données projet'!$E$9+1,1))</f>
        <v>319.22903094674564</v>
      </c>
      <c r="T47" s="59">
        <f t="shared" si="34"/>
        <v>254.58690973142848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6.8784484434671374</v>
      </c>
      <c r="AA47" s="21">
        <f>EXP(-LN(2)/25)*AA46+(1-EXP(-LN(2)/25))/(LN(2)/25)*Calculateur!V47*Calculateur!X47*VLOOKUP('Données projet'!$B$9,Paramètres!$A$1:$I$89,3,0)*0.475*44/12</f>
        <v>7.5639646313581395</v>
      </c>
      <c r="AB47" s="21">
        <f>EXP(-LN(2)/2)*AB46+(1-EXP(-LN(2)/2))/(LN(2)/2)*V47*Y47*VLOOKUP('Données projet'!$B$9,Paramètres!$A$1:$I$89,3,0)*0.475*44/12</f>
        <v>8.62744425281122E-2</v>
      </c>
      <c r="AC47" s="22">
        <f t="shared" si="3"/>
        <v>14.528687517353388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9.8000000000000007</v>
      </c>
      <c r="AI47" s="13">
        <f>IF('Données projet'!$A$62&gt;35,AI46+AH47-AQ46,IF(A47&lt;'Données projet'!$A$62,$AF$205^A47,IF(A47='Données projet'!$A$62,'Données projet'!$B$62,AI46+AH47-AQ46)))</f>
        <v>213.20000000000007</v>
      </c>
      <c r="AJ47" s="13">
        <f>AI47*VLOOKUP('Données projet'!$B$10,Paramètres!$A$1:$I$89,3,0)*VLOOKUP('Données projet'!$B$10,Paramètres!$A$1:$I$89,5,0)</f>
        <v>186.25152000000008</v>
      </c>
      <c r="AK47" s="13">
        <f t="shared" si="35"/>
        <v>46.71025851515671</v>
      </c>
      <c r="AL47" s="20">
        <f t="shared" si="4"/>
        <v>405.7417642472314</v>
      </c>
      <c r="AM47" s="59">
        <f t="shared" si="5"/>
        <v>699.07509758056472</v>
      </c>
      <c r="AN47" s="59">
        <f ca="1">AVERAGE(OFFSET($AM$3,0,0,'Données projet'!$E$10+1,1))-AVERAGE(OFFSET($H$3,0,0,'Données projet'!$E$10+1,1))</f>
        <v>321.23599968992932</v>
      </c>
      <c r="AO47" s="59">
        <f t="shared" si="36"/>
        <v>388.05195847800502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5.1338133664509042</v>
      </c>
      <c r="AV47" s="21">
        <f>EXP(-LN(2)/25)*AV46+(1-EXP(-LN(2)/25))/(LN(2)/25)*Calculateur!AQ47*Calculateur!AS47*VLOOKUP('Données projet'!$B$10,Paramètres!$A$1:$I$89,3,0)*0.475*44/12</f>
        <v>10.37942332698152</v>
      </c>
      <c r="AW47" s="21">
        <f>EXP(-LN(2)/2)*AW46+(1-EXP(-LN(2)/2))/(LN(2)/2)*AQ47*AT47*VLOOKUP('Données projet'!$B$10,Paramètres!$A$1:$I$89,3,0)*0.475*44/12</f>
        <v>0.13219768159066456</v>
      </c>
      <c r="AX47" s="21">
        <f t="shared" si="6"/>
        <v>15.64543437502309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9.6666666666666661</v>
      </c>
      <c r="BD47" s="12">
        <f>IF('Données projet'!$A$88&gt;35,BD46+BC47-BL46,IF(A47&lt;'Données projet'!$A$88,$BA$205^A47,IF(A47='Données projet'!$A$88,'Données projet'!$B$88,BD46+BC47-BL46)))</f>
        <v>272.66666666666674</v>
      </c>
      <c r="BE47" s="13">
        <f>BD47*VLOOKUP('Données projet'!$B$11,Paramètres!$A$1:$I$89,3,0)*VLOOKUP('Données projet'!$B$11,Paramètres!$A$1:$I$89,5,0)</f>
        <v>163.05466666666672</v>
      </c>
      <c r="BF47" s="13">
        <f t="shared" si="37"/>
        <v>41.530743825346562</v>
      </c>
      <c r="BG47" s="20">
        <f t="shared" si="7"/>
        <v>356.31958994025649</v>
      </c>
      <c r="BH47" s="59">
        <f t="shared" si="8"/>
        <v>649.65292327358975</v>
      </c>
      <c r="BI47" s="59">
        <f ca="1">AVERAGE(OFFSET($BH$3,0,0,'Données projet'!$E$11+1,1))-AVERAGE(OFFSET($H$3,0,0,'Données projet'!$E$11+1,1))</f>
        <v>258.31845364515124</v>
      </c>
      <c r="BJ47" s="59">
        <f t="shared" si="38"/>
        <v>280.26155987300996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8.6991443639623789</v>
      </c>
      <c r="BQ47" s="21">
        <f>EXP(-LN(2)/25)*BQ46+(1-EXP(-LN(2)/25))/(LN(2)/25)*Calculateur!BL47*Calculateur!BN47*VLOOKUP('Données projet'!$B$11,Paramètres!$A$1:$I$89,3,0)*0.475*44/12</f>
        <v>6.3944158684109071</v>
      </c>
      <c r="BR47" s="21">
        <f>EXP(-LN(2)/2)*BR46+(1-EXP(-LN(2)/2))/(LN(2)/2)*BL47*BO47*VLOOKUP('Données projet'!$B$11,Paramètres!$A$1:$I$89,3,0)*0.475*44/12</f>
        <v>3.538278450311353E-2</v>
      </c>
      <c r="BS47" s="22">
        <f t="shared" si="9"/>
        <v>15.128943016876399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6</v>
      </c>
      <c r="BY47" s="12">
        <f>IF('Données projet'!$A$114&gt;35,BY46+BX47-CG46,IF(A47&lt;'Données projet'!$A$114,$BV$205^A47,IF(A47='Données projet'!$A$114,'Données projet'!$B$114,BY46+BX47-CG46)))</f>
        <v>305.99999999999994</v>
      </c>
      <c r="BZ47" s="13">
        <f>BY47*VLOOKUP('Données projet'!$B$12,Paramètres!$A$1:$I$89,3,0)*VLOOKUP('Données projet'!$B$12,Paramètres!$A$1:$I$89,5,0)</f>
        <v>276.86879999999996</v>
      </c>
      <c r="CA47" s="13">
        <f t="shared" si="39"/>
        <v>66.30486383631866</v>
      </c>
      <c r="CB47" s="20">
        <f t="shared" si="10"/>
        <v>597.6941311815882</v>
      </c>
      <c r="CC47" s="59">
        <f t="shared" si="11"/>
        <v>891.02746451492158</v>
      </c>
      <c r="CD47" s="59">
        <f ca="1">AVERAGE(OFFSET($CC$3,0,0,'Données projet'!$E$12+1,1))-AVERAGE(OFFSET($H$3,0,0,'Données projet'!$E$12+1,1))</f>
        <v>366.86025470473652</v>
      </c>
      <c r="CE47" s="59">
        <f t="shared" si="40"/>
        <v>513.80016421153414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1.9513213383158556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2.8922262248490246E-2</v>
      </c>
      <c r="CN47" s="22">
        <f t="shared" si="12"/>
        <v>1.9802436005643458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-5.6843418860808015E-14</v>
      </c>
      <c r="CU47" s="17">
        <f>CT47*VLOOKUP('Données projet'!$B$13,Paramètres!$A$1:$I$89,3,0)*VLOOKUP('Données projet'!$B$13,Paramètres!$A$1:$I$89,5,0)</f>
        <v>-3.1036506698001178E-14</v>
      </c>
      <c r="CV47" s="13" t="e">
        <f t="shared" si="41"/>
        <v>#NUM!</v>
      </c>
      <c r="CW47" s="20" t="e">
        <f t="shared" si="13"/>
        <v>#NUM!</v>
      </c>
      <c r="CX47" s="59" t="e">
        <f t="shared" si="14"/>
        <v>#NUM!</v>
      </c>
      <c r="CY47" s="59">
        <f ca="1">AVERAGE(OFFSET($CX$3,0,0,'Données projet'!$E$13+1,1))-AVERAGE(OFFSET($H$3,0,0,'Données projet'!$E$13+1,1))</f>
        <v>207.02306964567629</v>
      </c>
      <c r="CZ47" s="59">
        <f t="shared" si="42"/>
        <v>342.06887933351783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5.0061497799441543</v>
      </c>
      <c r="DG47" s="21">
        <f>EXP(-LN(2)/25)*DG46+(1-EXP(-LN(2)/25))/(LN(2)/25)*Calculateur!DB47*Calculateur!DD47*VLOOKUP('Données projet'!$B$13,Paramètres!$A$1:$I$89,3,0)*0.475*44/12</f>
        <v>26.399285278404868</v>
      </c>
      <c r="DH47" s="21">
        <f>EXP(-LN(2)/2)*DH46+(1-EXP(-LN(2)/2))/(LN(2)/2)*DB47*DE47*VLOOKUP('Données projet'!$B$13,Paramètres!$A$1:$I$89,3,0)*0.475*44/12</f>
        <v>0.10370353435860032</v>
      </c>
      <c r="DI47" s="22">
        <f t="shared" si="15"/>
        <v>31.509138592707622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7">
        <f t="shared" si="1"/>
        <v>256.66666666666669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11.5</v>
      </c>
      <c r="N48" s="13">
        <f>IF('Données projet'!$A$36&gt;35,N47+M48-V47,IF(A48&lt;'Données projet'!$A$36,$K$205^A48,IF(A48='Données projet'!$A$36,'Données projet'!$B$36,N47+M48-V47)))</f>
        <v>230.99999999999989</v>
      </c>
      <c r="O48" s="13">
        <f>N48*VLOOKUP('Données projet'!$B$9,Paramètres!$A$1:$I$89,3,0)*VLOOKUP('Données projet'!$B$9,Paramètres!$A$1:$I$89,5,0)</f>
        <v>108.10799999999995</v>
      </c>
      <c r="P48" s="13">
        <f t="shared" si="33"/>
        <v>28.884765499467136</v>
      </c>
      <c r="Q48" s="20">
        <f t="shared" si="53"/>
        <v>238.59573324490518</v>
      </c>
      <c r="R48" s="59">
        <f t="shared" si="0"/>
        <v>531.92906657823846</v>
      </c>
      <c r="S48" s="59">
        <f ca="1">AVERAGE(OFFSET($R$3,0,0,'Données projet'!$E$9+1,1))-AVERAGE(OFFSET($H$3,0,0,'Données projet'!$E$9+1,1))</f>
        <v>319.22903094674564</v>
      </c>
      <c r="T48" s="59">
        <f t="shared" si="34"/>
        <v>254.58690973142848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6.7435662649300321</v>
      </c>
      <c r="AA48" s="21">
        <f>EXP(-LN(2)/25)*AA47+(1-EXP(-LN(2)/25))/(LN(2)/25)*Calculateur!V48*Calculateur!X48*VLOOKUP('Données projet'!$B$9,Paramètres!$A$1:$I$89,3,0)*0.475*44/12</f>
        <v>7.3571276207420384</v>
      </c>
      <c r="AB48" s="21">
        <f>EXP(-LN(2)/2)*AB47+(1-EXP(-LN(2)/2))/(LN(2)/2)*V48*Y48*VLOOKUP('Données projet'!$B$9,Paramètres!$A$1:$I$89,3,0)*0.475*44/12</f>
        <v>6.1005243354717208E-2</v>
      </c>
      <c r="AC48" s="22">
        <f t="shared" si="3"/>
        <v>14.161699129026788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223</v>
      </c>
      <c r="AG48" s="12">
        <f>VLOOKUP(A48,'Données projet'!$A$61:$I$81,9,0)</f>
        <v>9.8000000000000007</v>
      </c>
      <c r="AH48" s="12">
        <f t="array" ref="AH48">INDEX(AG:AG,MIN(IF(ISNUMBER(AG48:AG244),ROW(AG48:AG244),"")))</f>
        <v>9.8000000000000007</v>
      </c>
      <c r="AI48" s="13">
        <f>IF('Données projet'!$A$62&gt;35,AI47+AH48-AQ47,IF(A48&lt;'Données projet'!$A$62,$AF$205^A48,IF(A48='Données projet'!$A$62,'Données projet'!$B$62,AI47+AH48-AQ47)))</f>
        <v>223.00000000000009</v>
      </c>
      <c r="AJ48" s="13">
        <f>AI48*VLOOKUP('Données projet'!$B$10,Paramètres!$A$1:$I$89,3,0)*VLOOKUP('Données projet'!$B$10,Paramètres!$A$1:$I$89,5,0)</f>
        <v>194.81280000000012</v>
      </c>
      <c r="AK48" s="13">
        <f t="shared" si="35"/>
        <v>48.602440540253902</v>
      </c>
      <c r="AL48" s="20">
        <f t="shared" si="4"/>
        <v>423.9482106076091</v>
      </c>
      <c r="AM48" s="59">
        <f t="shared" si="5"/>
        <v>717.28154394094236</v>
      </c>
      <c r="AN48" s="59">
        <f ca="1">AVERAGE(OFFSET($AM$3,0,0,'Données projet'!$E$10+1,1))-AVERAGE(OFFSET($H$3,0,0,'Données projet'!$E$10+1,1))</f>
        <v>321.23599968992932</v>
      </c>
      <c r="AO48" s="59">
        <f t="shared" si="36"/>
        <v>388.05195847800502</v>
      </c>
      <c r="AP48" s="15">
        <f>IF(ISNA(VLOOKUP(A48,'Données projet'!$A$61:$I$81,3,0)),0,VLOOKUP(A48,'Données projet'!$A$61:$I$81,3,0))</f>
        <v>7</v>
      </c>
      <c r="AQ48" s="15">
        <f>IF(ISNA(VLOOKUP(A48,'Données projet'!$A$61:$I$81,4,0)),0,VLOOKUP(A48,'Données projet'!$A$61:$I$81,4,0))</f>
        <v>36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5.0331424176517636</v>
      </c>
      <c r="AV48" s="21">
        <f>EXP(-LN(2)/25)*AV47+(1-EXP(-LN(2)/25))/(LN(2)/25)*Calculateur!AQ48*Calculateur!AS48*VLOOKUP('Données projet'!$B$10,Paramètres!$A$1:$I$89,3,0)*0.475*44/12</f>
        <v>10.09559745027506</v>
      </c>
      <c r="AW48" s="21">
        <f>EXP(-LN(2)/2)*AW47+(1-EXP(-LN(2)/2))/(LN(2)/2)*AQ48*AT48*VLOOKUP('Données projet'!$B$10,Paramètres!$A$1:$I$89,3,0)*0.475*44/12</f>
        <v>9.3477877109898924E-2</v>
      </c>
      <c r="AX48" s="21">
        <f t="shared" si="6"/>
        <v>15.222217745036723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9.6666666666666661</v>
      </c>
      <c r="BD48" s="12">
        <f>IF('Données projet'!$A$88&gt;35,BD47+BC48-BL47,IF(A48&lt;'Données projet'!$A$88,$BA$205^A48,IF(A48='Données projet'!$A$88,'Données projet'!$B$88,BD47+BC48-BL47)))</f>
        <v>282.33333333333343</v>
      </c>
      <c r="BE48" s="13">
        <f>BD48*VLOOKUP('Données projet'!$B$11,Paramètres!$A$1:$I$89,3,0)*VLOOKUP('Données projet'!$B$11,Paramètres!$A$1:$I$89,5,0)</f>
        <v>168.83533333333341</v>
      </c>
      <c r="BF48" s="13">
        <f t="shared" si="37"/>
        <v>42.829072722647773</v>
      </c>
      <c r="BG48" s="20">
        <f t="shared" si="7"/>
        <v>368.64884054750047</v>
      </c>
      <c r="BH48" s="59">
        <f t="shared" si="8"/>
        <v>661.98217388083378</v>
      </c>
      <c r="BI48" s="59">
        <f ca="1">AVERAGE(OFFSET($BH$3,0,0,'Données projet'!$E$11+1,1))-AVERAGE(OFFSET($H$3,0,0,'Données projet'!$E$11+1,1))</f>
        <v>258.31845364515124</v>
      </c>
      <c r="BJ48" s="59">
        <f t="shared" si="38"/>
        <v>280.26155987300996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8.5285594489392196</v>
      </c>
      <c r="BQ48" s="21">
        <f>EXP(-LN(2)/25)*BQ47+(1-EXP(-LN(2)/25))/(LN(2)/25)*Calculateur!BL48*Calculateur!BN48*VLOOKUP('Données projet'!$B$11,Paramètres!$A$1:$I$89,3,0)*0.475*44/12</f>
        <v>6.2195602302214947</v>
      </c>
      <c r="BR48" s="21">
        <f>EXP(-LN(2)/2)*BR47+(1-EXP(-LN(2)/2))/(LN(2)/2)*BL48*BO48*VLOOKUP('Données projet'!$B$11,Paramètres!$A$1:$I$89,3,0)*0.475*44/12</f>
        <v>2.5019406859413864E-2</v>
      </c>
      <c r="BS48" s="22">
        <f t="shared" si="9"/>
        <v>14.773139086020128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312</v>
      </c>
      <c r="BW48" s="12">
        <f>VLOOKUP(A48,'Données projet'!$A$113:$I$133,9,0)</f>
        <v>6</v>
      </c>
      <c r="BX48" s="12">
        <f t="array" ref="BX48">INDEX(BW:BW,MIN(IF(ISNUMBER(BW48:BW244),ROW(BW48:BW244),"")))</f>
        <v>6</v>
      </c>
      <c r="BY48" s="12">
        <f>IF('Données projet'!$A$114&gt;35,BY47+BX48-CG47,IF(A48&lt;'Données projet'!$A$114,$BV$205^A48,IF(A48='Données projet'!$A$114,'Données projet'!$B$114,BY47+BX48-CG47)))</f>
        <v>311.99999999999994</v>
      </c>
      <c r="BZ48" s="13">
        <f>BY48*VLOOKUP('Données projet'!$B$12,Paramètres!$A$1:$I$89,3,0)*VLOOKUP('Données projet'!$B$12,Paramètres!$A$1:$I$89,5,0)</f>
        <v>282.29759999999993</v>
      </c>
      <c r="CA48" s="13">
        <f t="shared" si="39"/>
        <v>67.452326629470178</v>
      </c>
      <c r="CB48" s="20">
        <f t="shared" si="10"/>
        <v>609.14778887966042</v>
      </c>
      <c r="CC48" s="59">
        <f t="shared" si="11"/>
        <v>902.4811222129938</v>
      </c>
      <c r="CD48" s="59">
        <f ca="1">AVERAGE(OFFSET($CC$3,0,0,'Données projet'!$E$12+1,1))-AVERAGE(OFFSET($H$3,0,0,'Données projet'!$E$12+1,1))</f>
        <v>366.86025470473652</v>
      </c>
      <c r="CE48" s="59">
        <f t="shared" si="40"/>
        <v>513.80016421153414</v>
      </c>
      <c r="CF48" s="15">
        <f>IF(ISNA(VLOOKUP(A48,'Données projet'!$A$113:$I$133,3,0)),0,VLOOKUP(A48,'Données projet'!$A$113:$I$133,3,0))</f>
        <v>9</v>
      </c>
      <c r="CG48" s="15">
        <f>IF(ISNA(VLOOKUP(A48,'Données projet'!$A$113:$I$133,4,0)),0,VLOOKUP(A48,'Données projet'!$A$113:$I$133,4,0))</f>
        <v>312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1.9130571170599768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2.0451127763163136E-2</v>
      </c>
      <c r="CN48" s="22">
        <f t="shared" si="12"/>
        <v>1.93350824482314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-5.6843418860808015E-14</v>
      </c>
      <c r="CU48" s="17">
        <f>CT48*VLOOKUP('Données projet'!$B$13,Paramètres!$A$1:$I$89,3,0)*VLOOKUP('Données projet'!$B$13,Paramètres!$A$1:$I$89,5,0)</f>
        <v>-3.1036506698001178E-14</v>
      </c>
      <c r="CV48" s="13" t="e">
        <f t="shared" si="41"/>
        <v>#NUM!</v>
      </c>
      <c r="CW48" s="20" t="e">
        <f t="shared" si="13"/>
        <v>#NUM!</v>
      </c>
      <c r="CX48" s="59" t="e">
        <f t="shared" si="14"/>
        <v>#NUM!</v>
      </c>
      <c r="CY48" s="59">
        <f ca="1">AVERAGE(OFFSET($CX$3,0,0,'Données projet'!$E$13+1,1))-AVERAGE(OFFSET($H$3,0,0,'Données projet'!$E$13+1,1))</f>
        <v>207.02306964567629</v>
      </c>
      <c r="CZ48" s="59">
        <f t="shared" si="42"/>
        <v>342.06887933351783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4.9079822362093122</v>
      </c>
      <c r="DG48" s="21">
        <f>EXP(-LN(2)/25)*DG47+(1-EXP(-LN(2)/25))/(LN(2)/25)*Calculateur!DB48*Calculateur!DD48*VLOOKUP('Données projet'!$B$13,Paramètres!$A$1:$I$89,3,0)*0.475*44/12</f>
        <v>25.67739543418881</v>
      </c>
      <c r="DH48" s="21">
        <f>EXP(-LN(2)/2)*DH47+(1-EXP(-LN(2)/2))/(LN(2)/2)*DB48*DE48*VLOOKUP('Données projet'!$B$13,Paramètres!$A$1:$I$89,3,0)*0.475*44/12</f>
        <v>7.3329472377978405E-2</v>
      </c>
      <c r="DI48" s="22">
        <f t="shared" si="15"/>
        <v>30.658707142776102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7">
        <f t="shared" si="1"/>
        <v>256.66666666666669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11.5</v>
      </c>
      <c r="N49" s="13">
        <f>IF('Données projet'!$A$36&gt;35,N48+M49-V48,IF(A49&lt;'Données projet'!$A$36,$K$205^A49,IF(A49='Données projet'!$A$36,'Données projet'!$B$36,N48+M49-V48)))</f>
        <v>242.49999999999989</v>
      </c>
      <c r="O49" s="13">
        <f>N49*VLOOKUP('Données projet'!$B$9,Paramètres!$A$1:$I$89,3,0)*VLOOKUP('Données projet'!$B$9,Paramètres!$A$1:$I$89,5,0)</f>
        <v>113.48999999999994</v>
      </c>
      <c r="P49" s="13">
        <f t="shared" si="33"/>
        <v>30.151755078981495</v>
      </c>
      <c r="Q49" s="20">
        <f t="shared" si="53"/>
        <v>250.17605676255928</v>
      </c>
      <c r="R49" s="59">
        <f t="shared" si="0"/>
        <v>543.50939009589263</v>
      </c>
      <c r="S49" s="59">
        <f ca="1">AVERAGE(OFFSET($R$3,0,0,'Données projet'!$E$9+1,1))-AVERAGE(OFFSET($H$3,0,0,'Données projet'!$E$9+1,1))</f>
        <v>319.22903094674564</v>
      </c>
      <c r="T49" s="59">
        <f t="shared" si="34"/>
        <v>254.58690973142848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6.6113290436440337</v>
      </c>
      <c r="AA49" s="21">
        <f>EXP(-LN(2)/25)*AA48+(1-EXP(-LN(2)/25))/(LN(2)/25)*Calculateur!V49*Calculateur!X49*VLOOKUP('Données projet'!$B$9,Paramètres!$A$1:$I$89,3,0)*0.475*44/12</f>
        <v>7.1559465790583205</v>
      </c>
      <c r="AB49" s="21">
        <f>EXP(-LN(2)/2)*AB48+(1-EXP(-LN(2)/2))/(LN(2)/2)*V49*Y49*VLOOKUP('Données projet'!$B$9,Paramètres!$A$1:$I$89,3,0)*0.475*44/12</f>
        <v>4.3137221264056107E-2</v>
      </c>
      <c r="AC49" s="22">
        <f t="shared" si="3"/>
        <v>13.810412843966409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8.8000000000000007</v>
      </c>
      <c r="AI49" s="13">
        <f>IF('Données projet'!$A$62&gt;35,AI48+AH49-AQ48,IF(A49&lt;'Données projet'!$A$62,$AF$205^A49,IF(A49='Données projet'!$A$62,'Données projet'!$B$62,AI48+AH49-AQ48)))</f>
        <v>195.8000000000001</v>
      </c>
      <c r="AJ49" s="13">
        <f>AI49*VLOOKUP('Données projet'!$B$10,Paramètres!$A$1:$I$89,3,0)*VLOOKUP('Données projet'!$B$10,Paramètres!$A$1:$I$89,5,0)</f>
        <v>171.05088000000012</v>
      </c>
      <c r="AK49" s="13">
        <f t="shared" si="35"/>
        <v>43.325301264581704</v>
      </c>
      <c r="AL49" s="20">
        <f t="shared" si="4"/>
        <v>373.37184903581334</v>
      </c>
      <c r="AM49" s="59">
        <f t="shared" si="5"/>
        <v>666.70518236914666</v>
      </c>
      <c r="AN49" s="59">
        <f ca="1">AVERAGE(OFFSET($AM$3,0,0,'Données projet'!$E$10+1,1))-AVERAGE(OFFSET($H$3,0,0,'Données projet'!$E$10+1,1))</f>
        <v>321.23599968992932</v>
      </c>
      <c r="AO49" s="59">
        <f t="shared" si="36"/>
        <v>388.05195847800502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4.9344455647553582</v>
      </c>
      <c r="AV49" s="21">
        <f>EXP(-LN(2)/25)*AV48+(1-EXP(-LN(2)/25))/(LN(2)/25)*Calculateur!AQ49*Calculateur!AS49*VLOOKUP('Données projet'!$B$10,Paramètres!$A$1:$I$89,3,0)*0.475*44/12</f>
        <v>9.8195328070928927</v>
      </c>
      <c r="AW49" s="21">
        <f>EXP(-LN(2)/2)*AW48+(1-EXP(-LN(2)/2))/(LN(2)/2)*AQ49*AT49*VLOOKUP('Données projet'!$B$10,Paramètres!$A$1:$I$89,3,0)*0.475*44/12</f>
        <v>6.6098840795332278E-2</v>
      </c>
      <c r="AX49" s="21">
        <f t="shared" si="6"/>
        <v>14.820077212643584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>
        <f>VLOOKUP(A49,'Données projet'!$A$87:$I$107,2,0)</f>
        <v>292</v>
      </c>
      <c r="BB49" s="12">
        <f>VLOOKUP(A49,'Données projet'!$A$87:$I$107,9,0)</f>
        <v>9.6666666666666661</v>
      </c>
      <c r="BC49" s="12">
        <f t="array" ref="BC49">INDEX(BB:BB,MIN(IF(ISNUMBER(BB49:BB245),ROW(BB49:BB245),"")))</f>
        <v>9.6666666666666661</v>
      </c>
      <c r="BD49" s="12">
        <f>IF('Données projet'!$A$88&gt;35,BD48+BC49-BL48,IF(A49&lt;'Données projet'!$A$88,$BA$205^A49,IF(A49='Données projet'!$A$88,'Données projet'!$B$88,BD48+BC49-BL48)))</f>
        <v>292.00000000000011</v>
      </c>
      <c r="BE49" s="13">
        <f>BD49*VLOOKUP('Données projet'!$B$11,Paramètres!$A$1:$I$89,3,0)*VLOOKUP('Données projet'!$B$11,Paramètres!$A$1:$I$89,5,0)</f>
        <v>174.61600000000007</v>
      </c>
      <c r="BF49" s="13">
        <f t="shared" si="37"/>
        <v>44.12223654277259</v>
      </c>
      <c r="BG49" s="20">
        <f t="shared" si="7"/>
        <v>380.96909531199572</v>
      </c>
      <c r="BH49" s="59">
        <f t="shared" si="8"/>
        <v>674.30242864532897</v>
      </c>
      <c r="BI49" s="59">
        <f ca="1">AVERAGE(OFFSET($BH$3,0,0,'Données projet'!$E$11+1,1))-AVERAGE(OFFSET($H$3,0,0,'Données projet'!$E$11+1,1))</f>
        <v>258.31845364515124</v>
      </c>
      <c r="BJ49" s="59">
        <f t="shared" si="38"/>
        <v>280.26155987300996</v>
      </c>
      <c r="BK49" s="15">
        <f>IF(ISNA(VLOOKUP(A49,'Données projet'!$A$87:$I$107,3,0)),0,VLOOKUP(A49,'Données projet'!$A$87:$I$107,3,0))</f>
        <v>8</v>
      </c>
      <c r="BL49" s="15">
        <f>IF(ISNA(VLOOKUP(A49,'Données projet'!$A$87:$I$107,4,0)),0,VLOOKUP(A49,'Données projet'!$A$87:$I$107,4,0))</f>
        <v>29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8.3613196000531396</v>
      </c>
      <c r="BQ49" s="21">
        <f>EXP(-LN(2)/25)*BQ48+(1-EXP(-LN(2)/25))/(LN(2)/25)*Calculateur!BL49*Calculateur!BN49*VLOOKUP('Données projet'!$B$11,Paramètres!$A$1:$I$89,3,0)*0.475*44/12</f>
        <v>6.0494860286536305</v>
      </c>
      <c r="BR49" s="21">
        <f>EXP(-LN(2)/2)*BR48+(1-EXP(-LN(2)/2))/(LN(2)/2)*BL49*BO49*VLOOKUP('Données projet'!$B$11,Paramètres!$A$1:$I$89,3,0)*0.475*44/12</f>
        <v>1.7691392251556765E-2</v>
      </c>
      <c r="BS49" s="22">
        <f t="shared" si="9"/>
        <v>14.428497020958327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-5.6843418860808015E-14</v>
      </c>
      <c r="BZ49" s="13">
        <f>BY49*VLOOKUP('Données projet'!$B$12,Paramètres!$A$1:$I$89,3,0)*VLOOKUP('Données projet'!$B$12,Paramètres!$A$1:$I$89,5,0)</f>
        <v>-5.1431925385259088E-14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366.86025470473652</v>
      </c>
      <c r="CE49" s="59">
        <f t="shared" si="40"/>
        <v>513.80016421153414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1.8755432338440552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1.4461131124245123E-2</v>
      </c>
      <c r="CN49" s="22">
        <f t="shared" si="12"/>
        <v>1.8900043649683003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-5.6843418860808015E-14</v>
      </c>
      <c r="CU49" s="17">
        <f>CT49*VLOOKUP('Données projet'!$B$13,Paramètres!$A$1:$I$89,3,0)*VLOOKUP('Données projet'!$B$13,Paramètres!$A$1:$I$89,5,0)</f>
        <v>-3.1036506698001178E-14</v>
      </c>
      <c r="CV49" s="13" t="e">
        <f t="shared" si="41"/>
        <v>#NUM!</v>
      </c>
      <c r="CW49" s="20" t="e">
        <f t="shared" si="13"/>
        <v>#NUM!</v>
      </c>
      <c r="CX49" s="59" t="e">
        <f t="shared" si="14"/>
        <v>#NUM!</v>
      </c>
      <c r="CY49" s="59">
        <f ca="1">AVERAGE(OFFSET($CX$3,0,0,'Données projet'!$E$13+1,1))-AVERAGE(OFFSET($H$3,0,0,'Données projet'!$E$13+1,1))</f>
        <v>207.02306964567629</v>
      </c>
      <c r="CZ49" s="59">
        <f t="shared" si="42"/>
        <v>342.06887933351783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4.8117396981308209</v>
      </c>
      <c r="DG49" s="21">
        <f>EXP(-LN(2)/25)*DG48+(1-EXP(-LN(2)/25))/(LN(2)/25)*Calculateur!DB49*Calculateur!DD49*VLOOKUP('Données projet'!$B$13,Paramètres!$A$1:$I$89,3,0)*0.475*44/12</f>
        <v>24.975245705725378</v>
      </c>
      <c r="DH49" s="21">
        <f>EXP(-LN(2)/2)*DH48+(1-EXP(-LN(2)/2))/(LN(2)/2)*DB49*DE49*VLOOKUP('Données projet'!$B$13,Paramètres!$A$1:$I$89,3,0)*0.475*44/12</f>
        <v>5.1851767179300158E-2</v>
      </c>
      <c r="DI49" s="22">
        <f t="shared" si="15"/>
        <v>29.8388371710355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7">
        <f t="shared" si="1"/>
        <v>256.66666666666669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11.5</v>
      </c>
      <c r="N50" s="13">
        <f>IF('Données projet'!$A$36&gt;35,N49+M50-V49,IF(A50&lt;'Données projet'!$A$36,$K$205^A50,IF(A50='Données projet'!$A$36,'Données projet'!$B$36,N49+M50-V49)))</f>
        <v>253.99999999999989</v>
      </c>
      <c r="O50" s="13">
        <f>N50*VLOOKUP('Données projet'!$B$9,Paramètres!$A$1:$I$89,3,0)*VLOOKUP('Données projet'!$B$9,Paramètres!$A$1:$I$89,5,0)</f>
        <v>118.87199999999994</v>
      </c>
      <c r="P50" s="13">
        <f t="shared" si="33"/>
        <v>31.411767382096219</v>
      </c>
      <c r="Q50" s="20">
        <f t="shared" si="53"/>
        <v>261.74422819048414</v>
      </c>
      <c r="R50" s="59">
        <f t="shared" si="0"/>
        <v>555.07756152381739</v>
      </c>
      <c r="S50" s="59">
        <f ca="1">AVERAGE(OFFSET($R$3,0,0,'Données projet'!$E$9+1,1))-AVERAGE(OFFSET($H$3,0,0,'Données projet'!$E$9+1,1))</f>
        <v>319.22903094674564</v>
      </c>
      <c r="T50" s="59">
        <f t="shared" si="34"/>
        <v>254.58690973142848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6.4816849136107137</v>
      </c>
      <c r="AA50" s="21">
        <f>EXP(-LN(2)/25)*AA49+(1-EXP(-LN(2)/25))/(LN(2)/25)*Calculateur!V50*Calculateur!X50*VLOOKUP('Données projet'!$B$9,Paramètres!$A$1:$I$89,3,0)*0.475*44/12</f>
        <v>6.9602668435390953</v>
      </c>
      <c r="AB50" s="21">
        <f>EXP(-LN(2)/2)*AB49+(1-EXP(-LN(2)/2))/(LN(2)/2)*V50*Y50*VLOOKUP('Données projet'!$B$9,Paramètres!$A$1:$I$89,3,0)*0.475*44/12</f>
        <v>3.0502621677358607E-2</v>
      </c>
      <c r="AC50" s="22">
        <f t="shared" si="3"/>
        <v>13.472454378827168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8.8000000000000007</v>
      </c>
      <c r="AI50" s="13">
        <f>IF('Données projet'!$A$62&gt;35,AI49+AH50-AQ49,IF(A50&lt;'Données projet'!$A$62,$AF$205^A50,IF(A50='Données projet'!$A$62,'Données projet'!$B$62,AI49+AH50-AQ49)))</f>
        <v>204.60000000000011</v>
      </c>
      <c r="AJ50" s="13">
        <f>AI50*VLOOKUP('Données projet'!$B$10,Paramètres!$A$1:$I$89,3,0)*VLOOKUP('Données projet'!$B$10,Paramètres!$A$1:$I$89,5,0)</f>
        <v>178.73856000000012</v>
      </c>
      <c r="AK50" s="13">
        <f t="shared" si="35"/>
        <v>45.041424241265368</v>
      </c>
      <c r="AL50" s="20">
        <f t="shared" si="4"/>
        <v>389.75013922020406</v>
      </c>
      <c r="AM50" s="59">
        <f t="shared" si="5"/>
        <v>683.08347255353738</v>
      </c>
      <c r="AN50" s="59">
        <f ca="1">AVERAGE(OFFSET($AM$3,0,0,'Données projet'!$E$10+1,1))-AVERAGE(OFFSET($H$3,0,0,'Données projet'!$E$10+1,1))</f>
        <v>321.23599968992932</v>
      </c>
      <c r="AO50" s="59">
        <f t="shared" si="36"/>
        <v>388.05195847800502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4.8376840969451154</v>
      </c>
      <c r="AV50" s="21">
        <f>EXP(-LN(2)/25)*AV49+(1-EXP(-LN(2)/25))/(LN(2)/25)*Calculateur!AQ50*Calculateur!AS50*VLOOKUP('Données projet'!$B$10,Paramètres!$A$1:$I$89,3,0)*0.475*44/12</f>
        <v>9.55101716609615</v>
      </c>
      <c r="AW50" s="21">
        <f>EXP(-LN(2)/2)*AW49+(1-EXP(-LN(2)/2))/(LN(2)/2)*AQ50*AT50*VLOOKUP('Données projet'!$B$10,Paramètres!$A$1:$I$89,3,0)*0.475*44/12</f>
        <v>4.6738938554949462E-2</v>
      </c>
      <c r="AX50" s="21">
        <f t="shared" si="6"/>
        <v>14.435440201596215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6</v>
      </c>
      <c r="BD50" s="12">
        <f>IF('Données projet'!$A$88&gt;35,BD49+BC50-BL49,IF(A50&lt;'Données projet'!$A$88,$BA$205^A50,IF(A50='Données projet'!$A$88,'Données projet'!$B$88,BD49+BC50-BL49)))</f>
        <v>269.00000000000011</v>
      </c>
      <c r="BE50" s="13">
        <f>BD50*VLOOKUP('Données projet'!$B$11,Paramètres!$A$1:$I$89,3,0)*VLOOKUP('Données projet'!$B$11,Paramètres!$A$1:$I$89,5,0)</f>
        <v>160.86200000000008</v>
      </c>
      <c r="BF50" s="13">
        <f t="shared" si="37"/>
        <v>41.036881071783625</v>
      </c>
      <c r="BG50" s="20">
        <f t="shared" si="7"/>
        <v>351.64055120002331</v>
      </c>
      <c r="BH50" s="59">
        <f t="shared" si="8"/>
        <v>644.97388453335657</v>
      </c>
      <c r="BI50" s="59">
        <f ca="1">AVERAGE(OFFSET($BH$3,0,0,'Données projet'!$E$11+1,1))-AVERAGE(OFFSET($H$3,0,0,'Données projet'!$E$11+1,1))</f>
        <v>258.31845364515124</v>
      </c>
      <c r="BJ50" s="59">
        <f t="shared" si="38"/>
        <v>280.26155987300996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8.1973592225974805</v>
      </c>
      <c r="BQ50" s="21">
        <f>EXP(-LN(2)/25)*BQ49+(1-EXP(-LN(2)/25))/(LN(2)/25)*Calculateur!BL50*Calculateur!BN50*VLOOKUP('Données projet'!$B$11,Paramètres!$A$1:$I$89,3,0)*0.475*44/12</f>
        <v>5.8840625150714532</v>
      </c>
      <c r="BR50" s="21">
        <f>EXP(-LN(2)/2)*BR49+(1-EXP(-LN(2)/2))/(LN(2)/2)*BL50*BO50*VLOOKUP('Données projet'!$B$11,Paramètres!$A$1:$I$89,3,0)*0.475*44/12</f>
        <v>1.2509703429706932E-2</v>
      </c>
      <c r="BS50" s="22">
        <f t="shared" si="9"/>
        <v>14.09393144109864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-5.6843418860808015E-14</v>
      </c>
      <c r="BZ50" s="13">
        <f>BY50*VLOOKUP('Données projet'!$B$12,Paramètres!$A$1:$I$89,3,0)*VLOOKUP('Données projet'!$B$12,Paramètres!$A$1:$I$89,5,0)</f>
        <v>-5.1431925385259088E-14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366.86025470473652</v>
      </c>
      <c r="CE50" s="59">
        <f t="shared" si="40"/>
        <v>513.80016421153414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1.8387649749967885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1.0225563881581568E-2</v>
      </c>
      <c r="CN50" s="22">
        <f t="shared" si="12"/>
        <v>1.8489905388783701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-5.6843418860808015E-14</v>
      </c>
      <c r="CU50" s="17">
        <f>CT50*VLOOKUP('Données projet'!$B$13,Paramètres!$A$1:$I$89,3,0)*VLOOKUP('Données projet'!$B$13,Paramètres!$A$1:$I$89,5,0)</f>
        <v>-3.1036506698001178E-14</v>
      </c>
      <c r="CV50" s="13" t="e">
        <f t="shared" si="41"/>
        <v>#NUM!</v>
      </c>
      <c r="CW50" s="20" t="e">
        <f t="shared" si="13"/>
        <v>#NUM!</v>
      </c>
      <c r="CX50" s="59" t="e">
        <f t="shared" si="14"/>
        <v>#NUM!</v>
      </c>
      <c r="CY50" s="59">
        <f ca="1">AVERAGE(OFFSET($CX$3,0,0,'Données projet'!$E$13+1,1))-AVERAGE(OFFSET($H$3,0,0,'Données projet'!$E$13+1,1))</f>
        <v>207.02306964567629</v>
      </c>
      <c r="CZ50" s="59">
        <f t="shared" si="42"/>
        <v>342.06887933351783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4.7173844175218971</v>
      </c>
      <c r="DG50" s="21">
        <f>EXP(-LN(2)/25)*DG49+(1-EXP(-LN(2)/25))/(LN(2)/25)*Calculateur!DB50*Calculateur!DD50*VLOOKUP('Données projet'!$B$13,Paramètres!$A$1:$I$89,3,0)*0.475*44/12</f>
        <v>24.292296298511229</v>
      </c>
      <c r="DH50" s="21">
        <f>EXP(-LN(2)/2)*DH49+(1-EXP(-LN(2)/2))/(LN(2)/2)*DB50*DE50*VLOOKUP('Données projet'!$B$13,Paramètres!$A$1:$I$89,3,0)*0.475*44/12</f>
        <v>3.6664736188989203E-2</v>
      </c>
      <c r="DI50" s="22">
        <f t="shared" si="15"/>
        <v>29.046345452222113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7">
        <f t="shared" si="1"/>
        <v>256.66666666666669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11.5</v>
      </c>
      <c r="N51" s="13">
        <f>IF('Données projet'!$A$36&gt;35,N50+M51-V50,IF(A51&lt;'Données projet'!$A$36,$K$205^A51,IF(A51='Données projet'!$A$36,'Données projet'!$B$36,N50+M51-V50)))</f>
        <v>265.49999999999989</v>
      </c>
      <c r="O51" s="13">
        <f>N51*VLOOKUP('Données projet'!$B$9,Paramètres!$A$1:$I$89,3,0)*VLOOKUP('Données projet'!$B$9,Paramètres!$A$1:$I$89,5,0)</f>
        <v>124.25399999999995</v>
      </c>
      <c r="P51" s="13">
        <f t="shared" si="33"/>
        <v>32.665154397958723</v>
      </c>
      <c r="Q51" s="20">
        <f t="shared" si="53"/>
        <v>273.30086057644468</v>
      </c>
      <c r="R51" s="59">
        <f t="shared" si="0"/>
        <v>566.63419390977799</v>
      </c>
      <c r="S51" s="59">
        <f ca="1">AVERAGE(OFFSET($R$3,0,0,'Données projet'!$E$9+1,1))-AVERAGE(OFFSET($H$3,0,0,'Données projet'!$E$9+1,1))</f>
        <v>319.22903094674564</v>
      </c>
      <c r="T51" s="59">
        <f t="shared" si="34"/>
        <v>254.58690973142848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6.3545830258922358</v>
      </c>
      <c r="AA51" s="21">
        <f>EXP(-LN(2)/25)*AA50+(1-EXP(-LN(2)/25))/(LN(2)/25)*Calculateur!V51*Calculateur!X51*VLOOKUP('Données projet'!$B$9,Paramètres!$A$1:$I$89,3,0)*0.475*44/12</f>
        <v>6.7699379806779936</v>
      </c>
      <c r="AB51" s="21">
        <f>EXP(-LN(2)/2)*AB50+(1-EXP(-LN(2)/2))/(LN(2)/2)*V51*Y51*VLOOKUP('Données projet'!$B$9,Paramètres!$A$1:$I$89,3,0)*0.475*44/12</f>
        <v>2.1568610632028057E-2</v>
      </c>
      <c r="AC51" s="22">
        <f t="shared" si="3"/>
        <v>13.146089617202259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8.8000000000000007</v>
      </c>
      <c r="AI51" s="13">
        <f>IF('Données projet'!$A$62&gt;35,AI50+AH51-AQ50,IF(A51&lt;'Données projet'!$A$62,$AF$205^A51,IF(A51='Données projet'!$A$62,'Données projet'!$B$62,AI50+AH51-AQ50)))</f>
        <v>213.40000000000012</v>
      </c>
      <c r="AJ51" s="13">
        <f>AI51*VLOOKUP('Données projet'!$B$10,Paramètres!$A$1:$I$89,3,0)*VLOOKUP('Données projet'!$B$10,Paramètres!$A$1:$I$89,5,0)</f>
        <v>186.42624000000012</v>
      </c>
      <c r="AK51" s="13">
        <f t="shared" si="35"/>
        <v>46.748974211060826</v>
      </c>
      <c r="AL51" s="20">
        <f t="shared" si="4"/>
        <v>406.11349808426445</v>
      </c>
      <c r="AM51" s="59">
        <f t="shared" si="5"/>
        <v>699.44683141759776</v>
      </c>
      <c r="AN51" s="59">
        <f ca="1">AVERAGE(OFFSET($AM$3,0,0,'Données projet'!$E$10+1,1))-AVERAGE(OFFSET($H$3,0,0,'Données projet'!$E$10+1,1))</f>
        <v>321.23599968992932</v>
      </c>
      <c r="AO51" s="59">
        <f t="shared" si="36"/>
        <v>388.05195847800502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4.7428200624999635</v>
      </c>
      <c r="AV51" s="21">
        <f>EXP(-LN(2)/25)*AV50+(1-EXP(-LN(2)/25))/(LN(2)/25)*Calculateur!AQ51*Calculateur!AS51*VLOOKUP('Données projet'!$B$10,Paramètres!$A$1:$I$89,3,0)*0.475*44/12</f>
        <v>9.2898440994230871</v>
      </c>
      <c r="AW51" s="21">
        <f>EXP(-LN(2)/2)*AW50+(1-EXP(-LN(2)/2))/(LN(2)/2)*AQ51*AT51*VLOOKUP('Données projet'!$B$10,Paramètres!$A$1:$I$89,3,0)*0.475*44/12</f>
        <v>3.3049420397666139E-2</v>
      </c>
      <c r="AX51" s="21">
        <f t="shared" si="6"/>
        <v>14.065713582320718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6</v>
      </c>
      <c r="BD51" s="12">
        <f>IF('Données projet'!$A$88&gt;35,BD50+BC51-BL50,IF(A51&lt;'Données projet'!$A$88,$BA$205^A51,IF(A51='Données projet'!$A$88,'Données projet'!$B$88,BD50+BC51-BL50)))</f>
        <v>275.00000000000011</v>
      </c>
      <c r="BE51" s="13">
        <f>BD51*VLOOKUP('Données projet'!$B$11,Paramètres!$A$1:$I$89,3,0)*VLOOKUP('Données projet'!$B$11,Paramètres!$A$1:$I$89,5,0)</f>
        <v>164.45000000000007</v>
      </c>
      <c r="BF51" s="13">
        <f t="shared" si="37"/>
        <v>41.844617207687371</v>
      </c>
      <c r="BG51" s="20">
        <f t="shared" si="7"/>
        <v>359.29645830338899</v>
      </c>
      <c r="BH51" s="59">
        <f t="shared" si="8"/>
        <v>652.6297916367223</v>
      </c>
      <c r="BI51" s="59">
        <f ca="1">AVERAGE(OFFSET($BH$3,0,0,'Données projet'!$E$11+1,1))-AVERAGE(OFFSET($H$3,0,0,'Données projet'!$E$11+1,1))</f>
        <v>258.31845364515124</v>
      </c>
      <c r="BJ51" s="59">
        <f t="shared" si="38"/>
        <v>280.26155987300996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8.0366140081377715</v>
      </c>
      <c r="BQ51" s="21">
        <f>EXP(-LN(2)/25)*BQ50+(1-EXP(-LN(2)/25))/(LN(2)/25)*Calculateur!BL51*Calculateur!BN51*VLOOKUP('Données projet'!$B$11,Paramètres!$A$1:$I$89,3,0)*0.475*44/12</f>
        <v>5.7231625161674247</v>
      </c>
      <c r="BR51" s="21">
        <f>EXP(-LN(2)/2)*BR50+(1-EXP(-LN(2)/2))/(LN(2)/2)*BL51*BO51*VLOOKUP('Données projet'!$B$11,Paramètres!$A$1:$I$89,3,0)*0.475*44/12</f>
        <v>8.8456961257783826E-3</v>
      </c>
      <c r="BS51" s="22">
        <f t="shared" si="9"/>
        <v>13.768622220430974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-5.6843418860808015E-14</v>
      </c>
      <c r="BZ51" s="13">
        <f>BY51*VLOOKUP('Données projet'!$B$12,Paramètres!$A$1:$I$89,3,0)*VLOOKUP('Données projet'!$B$12,Paramètres!$A$1:$I$89,5,0)</f>
        <v>-5.1431925385259088E-14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366.86025470473652</v>
      </c>
      <c r="CE51" s="59">
        <f t="shared" si="40"/>
        <v>513.80016421153414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1.8027079153729937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7.2305655621225616E-3</v>
      </c>
      <c r="CN51" s="22">
        <f t="shared" si="12"/>
        <v>1.8099384809351162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-5.6843418860808015E-14</v>
      </c>
      <c r="CU51" s="17">
        <f>CT51*VLOOKUP('Données projet'!$B$13,Paramètres!$A$1:$I$89,3,0)*VLOOKUP('Données projet'!$B$13,Paramètres!$A$1:$I$89,5,0)</f>
        <v>-3.1036506698001178E-14</v>
      </c>
      <c r="CV51" s="13" t="e">
        <f t="shared" si="41"/>
        <v>#NUM!</v>
      </c>
      <c r="CW51" s="20" t="e">
        <f t="shared" si="13"/>
        <v>#NUM!</v>
      </c>
      <c r="CX51" s="59" t="e">
        <f t="shared" si="14"/>
        <v>#NUM!</v>
      </c>
      <c r="CY51" s="59">
        <f ca="1">AVERAGE(OFFSET($CX$3,0,0,'Données projet'!$E$13+1,1))-AVERAGE(OFFSET($H$3,0,0,'Données projet'!$E$13+1,1))</f>
        <v>207.02306964567629</v>
      </c>
      <c r="CZ51" s="59">
        <f t="shared" si="42"/>
        <v>342.06887933351783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4.6248793864146753</v>
      </c>
      <c r="DG51" s="21">
        <f>EXP(-LN(2)/25)*DG50+(1-EXP(-LN(2)/25))/(LN(2)/25)*Calculateur!DB51*Calculateur!DD51*VLOOKUP('Données projet'!$B$13,Paramètres!$A$1:$I$89,3,0)*0.475*44/12</f>
        <v>23.628022178752097</v>
      </c>
      <c r="DH51" s="21">
        <f>EXP(-LN(2)/2)*DH50+(1-EXP(-LN(2)/2))/(LN(2)/2)*DB51*DE51*VLOOKUP('Données projet'!$B$13,Paramètres!$A$1:$I$89,3,0)*0.475*44/12</f>
        <v>2.5925883589650079E-2</v>
      </c>
      <c r="DI51" s="22">
        <f t="shared" si="15"/>
        <v>28.278827448756424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7">
        <f t="shared" si="1"/>
        <v>256.66666666666669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11.5</v>
      </c>
      <c r="N52" s="13">
        <f>IF('Données projet'!$A$36&gt;35,N51+M52-V51,IF(A52&lt;'Données projet'!$A$36,$K$205^A52,IF(A52='Données projet'!$A$36,'Données projet'!$B$36,N51+M52-V51)))</f>
        <v>276.99999999999989</v>
      </c>
      <c r="O52" s="13">
        <f>N52*VLOOKUP('Données projet'!$B$9,Paramètres!$A$1:$I$89,3,0)*VLOOKUP('Données projet'!$B$9,Paramètres!$A$1:$I$89,5,0)</f>
        <v>129.63599999999994</v>
      </c>
      <c r="P52" s="13">
        <f t="shared" si="33"/>
        <v>33.912235898830978</v>
      </c>
      <c r="Q52" s="20">
        <f t="shared" si="53"/>
        <v>284.84651085713051</v>
      </c>
      <c r="R52" s="59">
        <f t="shared" si="0"/>
        <v>578.17984419046388</v>
      </c>
      <c r="S52" s="59">
        <f ca="1">AVERAGE(OFFSET($R$3,0,0,'Données projet'!$E$9+1,1))-AVERAGE(OFFSET($H$3,0,0,'Données projet'!$E$9+1,1))</f>
        <v>319.22903094674564</v>
      </c>
      <c r="T52" s="59">
        <f t="shared" si="34"/>
        <v>254.58690973142848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6.2299735286674203</v>
      </c>
      <c r="AA52" s="21">
        <f>EXP(-LN(2)/25)*AA51+(1-EXP(-LN(2)/25))/(LN(2)/25)*Calculateur!V52*Calculateur!X52*VLOOKUP('Données projet'!$B$9,Paramètres!$A$1:$I$89,3,0)*0.475*44/12</f>
        <v>6.5848136705807887</v>
      </c>
      <c r="AB52" s="21">
        <f>EXP(-LN(2)/2)*AB51+(1-EXP(-LN(2)/2))/(LN(2)/2)*V52*Y52*VLOOKUP('Données projet'!$B$9,Paramètres!$A$1:$I$89,3,0)*0.475*44/12</f>
        <v>1.5251310838679307E-2</v>
      </c>
      <c r="AC52" s="22">
        <f t="shared" si="3"/>
        <v>12.830038510086887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8.8000000000000007</v>
      </c>
      <c r="AI52" s="13">
        <f>IF('Données projet'!$A$62&gt;35,AI51+AH52-AQ51,IF(A52&lt;'Données projet'!$A$62,$AF$205^A52,IF(A52='Données projet'!$A$62,'Données projet'!$B$62,AI51+AH52-AQ51)))</f>
        <v>222.20000000000013</v>
      </c>
      <c r="AJ52" s="13">
        <f>AI52*VLOOKUP('Données projet'!$B$10,Paramètres!$A$1:$I$89,3,0)*VLOOKUP('Données projet'!$B$10,Paramètres!$A$1:$I$89,5,0)</f>
        <v>194.11392000000015</v>
      </c>
      <c r="AK52" s="13">
        <f t="shared" si="35"/>
        <v>48.448345132424009</v>
      </c>
      <c r="AL52" s="20">
        <f t="shared" si="4"/>
        <v>422.46261177230537</v>
      </c>
      <c r="AM52" s="59">
        <f t="shared" si="5"/>
        <v>715.79594510563868</v>
      </c>
      <c r="AN52" s="59">
        <f ca="1">AVERAGE(OFFSET($AM$3,0,0,'Données projet'!$E$10+1,1))-AVERAGE(OFFSET($H$3,0,0,'Données projet'!$E$10+1,1))</f>
        <v>321.23599968992932</v>
      </c>
      <c r="AO52" s="59">
        <f t="shared" si="36"/>
        <v>388.05195847800502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4.6498162539089334</v>
      </c>
      <c r="AV52" s="21">
        <f>EXP(-LN(2)/25)*AV51+(1-EXP(-LN(2)/25))/(LN(2)/25)*Calculateur!AQ52*Calculateur!AS52*VLOOKUP('Données projet'!$B$10,Paramètres!$A$1:$I$89,3,0)*0.475*44/12</f>
        <v>9.0358128239926945</v>
      </c>
      <c r="AW52" s="21">
        <f>EXP(-LN(2)/2)*AW51+(1-EXP(-LN(2)/2))/(LN(2)/2)*AQ52*AT52*VLOOKUP('Données projet'!$B$10,Paramètres!$A$1:$I$89,3,0)*0.475*44/12</f>
        <v>2.3369469277474731E-2</v>
      </c>
      <c r="AX52" s="21">
        <f t="shared" si="6"/>
        <v>13.708998547179101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6</v>
      </c>
      <c r="BD52" s="12">
        <f>IF('Données projet'!$A$88&gt;35,BD51+BC52-BL51,IF(A52&lt;'Données projet'!$A$88,$BA$205^A52,IF(A52='Données projet'!$A$88,'Données projet'!$B$88,BD51+BC52-BL51)))</f>
        <v>281.00000000000011</v>
      </c>
      <c r="BE52" s="13">
        <f>BD52*VLOOKUP('Données projet'!$B$11,Paramètres!$A$1:$I$89,3,0)*VLOOKUP('Données projet'!$B$11,Paramètres!$A$1:$I$89,5,0)</f>
        <v>168.03800000000007</v>
      </c>
      <c r="BF52" s="13">
        <f t="shared" si="37"/>
        <v>42.650304418351887</v>
      </c>
      <c r="BG52" s="20">
        <f t="shared" si="7"/>
        <v>366.94879686196299</v>
      </c>
      <c r="BH52" s="59">
        <f t="shared" si="8"/>
        <v>660.2821301952963</v>
      </c>
      <c r="BI52" s="59">
        <f ca="1">AVERAGE(OFFSET($BH$3,0,0,'Données projet'!$E$11+1,1))-AVERAGE(OFFSET($H$3,0,0,'Données projet'!$E$11+1,1))</f>
        <v>258.31845364515124</v>
      </c>
      <c r="BJ52" s="59">
        <f t="shared" si="38"/>
        <v>280.26155987300996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7.8790209092887169</v>
      </c>
      <c r="BQ52" s="21">
        <f>EXP(-LN(2)/25)*BQ51+(1-EXP(-LN(2)/25))/(LN(2)/25)*Calculateur!BL52*Calculateur!BN52*VLOOKUP('Données projet'!$B$11,Paramètres!$A$1:$I$89,3,0)*0.475*44/12</f>
        <v>5.5666623361947902</v>
      </c>
      <c r="BR52" s="21">
        <f>EXP(-LN(2)/2)*BR51+(1-EXP(-LN(2)/2))/(LN(2)/2)*BL52*BO52*VLOOKUP('Données projet'!$B$11,Paramètres!$A$1:$I$89,3,0)*0.475*44/12</f>
        <v>6.254851714853466E-3</v>
      </c>
      <c r="BS52" s="22">
        <f t="shared" si="9"/>
        <v>13.451938097198362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-5.6843418860808015E-14</v>
      </c>
      <c r="BZ52" s="13">
        <f>BY52*VLOOKUP('Données projet'!$B$12,Paramètres!$A$1:$I$89,3,0)*VLOOKUP('Données projet'!$B$12,Paramètres!$A$1:$I$89,5,0)</f>
        <v>-5.1431925385259088E-14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366.86025470473652</v>
      </c>
      <c r="CE52" s="59">
        <f t="shared" si="40"/>
        <v>513.80016421153414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1.7673579126957868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5.1127819407907841E-3</v>
      </c>
      <c r="CN52" s="22">
        <f t="shared" si="12"/>
        <v>1.7724706946365776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-5.6843418860808015E-14</v>
      </c>
      <c r="CU52" s="17">
        <f>CT52*VLOOKUP('Données projet'!$B$13,Paramètres!$A$1:$I$89,3,0)*VLOOKUP('Données projet'!$B$13,Paramètres!$A$1:$I$89,5,0)</f>
        <v>-3.1036506698001178E-14</v>
      </c>
      <c r="CV52" s="13" t="e">
        <f t="shared" si="41"/>
        <v>#NUM!</v>
      </c>
      <c r="CW52" s="20" t="e">
        <f t="shared" si="13"/>
        <v>#NUM!</v>
      </c>
      <c r="CX52" s="59" t="e">
        <f t="shared" si="14"/>
        <v>#NUM!</v>
      </c>
      <c r="CY52" s="59">
        <f ca="1">AVERAGE(OFFSET($CX$3,0,0,'Données projet'!$E$13+1,1))-AVERAGE(OFFSET($H$3,0,0,'Données projet'!$E$13+1,1))</f>
        <v>207.02306964567629</v>
      </c>
      <c r="CZ52" s="59">
        <f t="shared" si="42"/>
        <v>342.06887933351783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4.5341883225449688</v>
      </c>
      <c r="DG52" s="21">
        <f>EXP(-LN(2)/25)*DG51+(1-EXP(-LN(2)/25))/(LN(2)/25)*Calculateur!DB52*Calculateur!DD52*VLOOKUP('Données projet'!$B$13,Paramètres!$A$1:$I$89,3,0)*0.475*44/12</f>
        <v>22.981912669730438</v>
      </c>
      <c r="DH52" s="21">
        <f>EXP(-LN(2)/2)*DH51+(1-EXP(-LN(2)/2))/(LN(2)/2)*DB52*DE52*VLOOKUP('Données projet'!$B$13,Paramètres!$A$1:$I$89,3,0)*0.475*44/12</f>
        <v>1.8332368094494601E-2</v>
      </c>
      <c r="DI52" s="22">
        <f t="shared" si="15"/>
        <v>27.534433360369899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7">
        <f t="shared" si="1"/>
        <v>256.66666666666669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288.5</v>
      </c>
      <c r="L53" s="12">
        <f>VLOOKUP(A53,'Données projet'!$A$35:$I$55,9,0)</f>
        <v>11.5</v>
      </c>
      <c r="M53" s="12">
        <f t="array" ref="M53">INDEX(L:L,MIN(IF(ISNUMBER(L53:L249),ROW(L53:L249),"")))</f>
        <v>11.5</v>
      </c>
      <c r="N53" s="13">
        <f>IF('Données projet'!$A$36&gt;35,N52+M53-V52,IF(A53&lt;'Données projet'!$A$36,$K$205^A53,IF(A53='Données projet'!$A$36,'Données projet'!$B$36,N52+M53-V52)))</f>
        <v>288.49999999999989</v>
      </c>
      <c r="O53" s="13">
        <f>N53*VLOOKUP('Données projet'!$B$9,Paramètres!$A$1:$I$89,3,0)*VLOOKUP('Données projet'!$B$9,Paramètres!$A$1:$I$89,5,0)</f>
        <v>135.01799999999994</v>
      </c>
      <c r="P53" s="13">
        <f t="shared" si="33"/>
        <v>35.153303603250578</v>
      </c>
      <c r="Q53" s="20">
        <f t="shared" si="53"/>
        <v>296.38168710899464</v>
      </c>
      <c r="R53" s="59">
        <f t="shared" si="0"/>
        <v>589.71502044232795</v>
      </c>
      <c r="S53" s="59">
        <f ca="1">AVERAGE(OFFSET($R$3,0,0,'Données projet'!$E$9+1,1))-AVERAGE(OFFSET($H$3,0,0,'Données projet'!$E$9+1,1))</f>
        <v>319.22903094674564</v>
      </c>
      <c r="T53" s="59">
        <f t="shared" si="34"/>
        <v>254.58690973142848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75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6.1078075476788944</v>
      </c>
      <c r="AA53" s="21">
        <f>EXP(-LN(2)/25)*AA52+(1-EXP(-LN(2)/25))/(LN(2)/25)*Calculateur!V53*Calculateur!X53*VLOOKUP('Données projet'!$B$9,Paramètres!$A$1:$I$89,3,0)*0.475*44/12</f>
        <v>6.4047515944784559</v>
      </c>
      <c r="AB53" s="21">
        <f>EXP(-LN(2)/2)*AB52+(1-EXP(-LN(2)/2))/(LN(2)/2)*V53*Y53*VLOOKUP('Données projet'!$B$9,Paramètres!$A$1:$I$89,3,0)*0.475*44/12</f>
        <v>1.078430531601403E-2</v>
      </c>
      <c r="AC53" s="22">
        <f t="shared" si="3"/>
        <v>12.523343447473364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231</v>
      </c>
      <c r="AG53" s="12">
        <f>VLOOKUP(A53,'Données projet'!$A$61:$I$81,9,0)</f>
        <v>8.8000000000000007</v>
      </c>
      <c r="AH53" s="12">
        <f t="array" ref="AH53">INDEX(AG:AG,MIN(IF(ISNUMBER(AG53:AG249),ROW(AG53:AG249),"")))</f>
        <v>8.8000000000000007</v>
      </c>
      <c r="AI53" s="13">
        <f>IF('Données projet'!$A$62&gt;35,AI52+AH53-AQ52,IF(A53&lt;'Données projet'!$A$62,$AF$205^A53,IF(A53='Données projet'!$A$62,'Données projet'!$B$62,AI52+AH53-AQ52)))</f>
        <v>231.00000000000014</v>
      </c>
      <c r="AJ53" s="13">
        <f>AI53*VLOOKUP('Données projet'!$B$10,Paramètres!$A$1:$I$89,3,0)*VLOOKUP('Données projet'!$B$10,Paramètres!$A$1:$I$89,5,0)</f>
        <v>201.80160000000015</v>
      </c>
      <c r="AK53" s="13">
        <f t="shared" si="35"/>
        <v>50.139897992681711</v>
      </c>
      <c r="AL53" s="20">
        <f t="shared" si="4"/>
        <v>438.7981090039209</v>
      </c>
      <c r="AM53" s="59">
        <f t="shared" si="5"/>
        <v>732.13144233725416</v>
      </c>
      <c r="AN53" s="59">
        <f ca="1">AVERAGE(OFFSET($AM$3,0,0,'Données projet'!$E$10+1,1))-AVERAGE(OFFSET($H$3,0,0,'Données projet'!$E$10+1,1))</f>
        <v>321.23599968992932</v>
      </c>
      <c r="AO53" s="59">
        <f t="shared" si="36"/>
        <v>388.05195847800502</v>
      </c>
      <c r="AP53" s="15">
        <f>IF(ISNA(VLOOKUP(A53,'Données projet'!$A$61:$I$81,3,0)),0,VLOOKUP(A53,'Données projet'!$A$61:$I$81,3,0))</f>
        <v>8</v>
      </c>
      <c r="AQ53" s="15">
        <f>IF(ISNA(VLOOKUP(A53,'Données projet'!$A$61:$I$81,4,0)),0,VLOOKUP(A53,'Données projet'!$A$61:$I$81,4,0))</f>
        <v>33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4.5586361932776516</v>
      </c>
      <c r="AV53" s="21">
        <f>EXP(-LN(2)/25)*AV52+(1-EXP(-LN(2)/25))/(LN(2)/25)*Calculateur!AQ53*Calculateur!AS53*VLOOKUP('Données projet'!$B$10,Paramètres!$A$1:$I$89,3,0)*0.475*44/12</f>
        <v>8.7887280471478686</v>
      </c>
      <c r="AW53" s="21">
        <f>EXP(-LN(2)/2)*AW52+(1-EXP(-LN(2)/2))/(LN(2)/2)*AQ53*AT53*VLOOKUP('Données projet'!$B$10,Paramètres!$A$1:$I$89,3,0)*0.475*44/12</f>
        <v>1.652471019883307E-2</v>
      </c>
      <c r="AX53" s="21">
        <f t="shared" si="6"/>
        <v>13.363888950624354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6</v>
      </c>
      <c r="BD53" s="12">
        <f>IF('Données projet'!$A$88&gt;35,BD52+BC53-BL52,IF(A53&lt;'Données projet'!$A$88,$BA$205^A53,IF(A53='Données projet'!$A$88,'Données projet'!$B$88,BD52+BC53-BL52)))</f>
        <v>287.00000000000011</v>
      </c>
      <c r="BE53" s="13">
        <f>BD53*VLOOKUP('Données projet'!$B$11,Paramètres!$A$1:$I$89,3,0)*VLOOKUP('Données projet'!$B$11,Paramètres!$A$1:$I$89,5,0)</f>
        <v>171.62600000000009</v>
      </c>
      <c r="BF53" s="13">
        <f t="shared" si="37"/>
        <v>43.453991492329642</v>
      </c>
      <c r="BG53" s="20">
        <f t="shared" si="7"/>
        <v>374.5976518491409</v>
      </c>
      <c r="BH53" s="59">
        <f t="shared" si="8"/>
        <v>667.93098518247416</v>
      </c>
      <c r="BI53" s="59">
        <f ca="1">AVERAGE(OFFSET($BH$3,0,0,'Données projet'!$E$11+1,1))-AVERAGE(OFFSET($H$3,0,0,'Données projet'!$E$11+1,1))</f>
        <v>258.31845364515124</v>
      </c>
      <c r="BJ53" s="59">
        <f t="shared" si="38"/>
        <v>280.26155987300996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7.724518114985794</v>
      </c>
      <c r="BQ53" s="21">
        <f>EXP(-LN(2)/25)*BQ52+(1-EXP(-LN(2)/25))/(LN(2)/25)*Calculateur!BL53*Calculateur!BN53*VLOOKUP('Données projet'!$B$11,Paramètres!$A$1:$I$89,3,0)*0.475*44/12</f>
        <v>5.4144416618734938</v>
      </c>
      <c r="BR53" s="21">
        <f>EXP(-LN(2)/2)*BR52+(1-EXP(-LN(2)/2))/(LN(2)/2)*BL53*BO53*VLOOKUP('Données projet'!$B$11,Paramètres!$A$1:$I$89,3,0)*0.475*44/12</f>
        <v>4.4228480628891913E-3</v>
      </c>
      <c r="BS53" s="22">
        <f t="shared" si="9"/>
        <v>13.143382624922177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-5.6843418860808015E-14</v>
      </c>
      <c r="BZ53" s="13">
        <f>BY53*VLOOKUP('Données projet'!$B$12,Paramètres!$A$1:$I$89,3,0)*VLOOKUP('Données projet'!$B$12,Paramètres!$A$1:$I$89,5,0)</f>
        <v>-5.1431925385259088E-14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366.86025470473652</v>
      </c>
      <c r="CE53" s="59">
        <f t="shared" si="40"/>
        <v>513.80016421153414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1.7327011020097074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3.6152827810612808E-3</v>
      </c>
      <c r="CN53" s="22">
        <f t="shared" si="12"/>
        <v>1.7363163847907688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-5.6843418860808015E-14</v>
      </c>
      <c r="CU53" s="17">
        <f>CT53*VLOOKUP('Données projet'!$B$13,Paramètres!$A$1:$I$89,3,0)*VLOOKUP('Données projet'!$B$13,Paramètres!$A$1:$I$89,5,0)</f>
        <v>-3.1036506698001178E-14</v>
      </c>
      <c r="CV53" s="13" t="e">
        <f t="shared" si="41"/>
        <v>#NUM!</v>
      </c>
      <c r="CW53" s="20" t="e">
        <f t="shared" si="13"/>
        <v>#NUM!</v>
      </c>
      <c r="CX53" s="59" t="e">
        <f t="shared" si="14"/>
        <v>#NUM!</v>
      </c>
      <c r="CY53" s="59">
        <f ca="1">AVERAGE(OFFSET($CX$3,0,0,'Données projet'!$E$13+1,1))-AVERAGE(OFFSET($H$3,0,0,'Données projet'!$E$13+1,1))</f>
        <v>207.02306964567629</v>
      </c>
      <c r="CZ53" s="59">
        <f t="shared" si="42"/>
        <v>342.06887933351783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4.4452756551216606</v>
      </c>
      <c r="DG53" s="21">
        <f>EXP(-LN(2)/25)*DG52+(1-EXP(-LN(2)/25))/(LN(2)/25)*Calculateur!DB53*Calculateur!DD53*VLOOKUP('Données projet'!$B$13,Paramètres!$A$1:$I$89,3,0)*0.475*44/12</f>
        <v>22.353471059210399</v>
      </c>
      <c r="DH53" s="21">
        <f>EXP(-LN(2)/2)*DH52+(1-EXP(-LN(2)/2))/(LN(2)/2)*DB53*DE53*VLOOKUP('Données projet'!$B$13,Paramètres!$A$1:$I$89,3,0)*0.475*44/12</f>
        <v>1.296294179482504E-2</v>
      </c>
      <c r="DI53" s="22">
        <f t="shared" si="15"/>
        <v>26.811709656126887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7">
        <f t="shared" si="1"/>
        <v>256.66666666666669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13.5</v>
      </c>
      <c r="N54" s="13">
        <f>IF('Données projet'!$A$36&gt;35,N53+M54-V53,IF(A54&lt;'Données projet'!$A$36,$K$205^A54,IF(A54='Données projet'!$A$36,'Données projet'!$B$36,N53+M54-V53)))</f>
        <v>226.99999999999989</v>
      </c>
      <c r="O54" s="13">
        <f>N54*VLOOKUP('Données projet'!$B$9,Paramètres!$A$1:$I$89,3,0)*VLOOKUP('Données projet'!$B$9,Paramètres!$A$1:$I$89,5,0)</f>
        <v>106.23599999999995</v>
      </c>
      <c r="P54" s="13">
        <f t="shared" si="33"/>
        <v>28.442367793282852</v>
      </c>
      <c r="Q54" s="20">
        <f t="shared" si="53"/>
        <v>234.56482390663419</v>
      </c>
      <c r="R54" s="59">
        <f t="shared" si="0"/>
        <v>527.89815723996753</v>
      </c>
      <c r="S54" s="59">
        <f ca="1">AVERAGE(OFFSET($R$3,0,0,'Données projet'!$E$9+1,1))-AVERAGE(OFFSET($H$3,0,0,'Données projet'!$E$9+1,1))</f>
        <v>319.22903094674564</v>
      </c>
      <c r="T54" s="59">
        <f t="shared" si="34"/>
        <v>254.58690973142848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5.9880371670636636</v>
      </c>
      <c r="AA54" s="21">
        <f>EXP(-LN(2)/25)*AA53+(1-EXP(-LN(2)/25))/(LN(2)/25)*Calculateur!V54*Calculateur!X54*VLOOKUP('Données projet'!$B$9,Paramètres!$A$1:$I$89,3,0)*0.475*44/12</f>
        <v>6.2296133253161941</v>
      </c>
      <c r="AB54" s="21">
        <f>EXP(-LN(2)/2)*AB53+(1-EXP(-LN(2)/2))/(LN(2)/2)*V54*Y54*VLOOKUP('Données projet'!$B$9,Paramètres!$A$1:$I$89,3,0)*0.475*44/12</f>
        <v>7.6256554193396544E-3</v>
      </c>
      <c r="AC54" s="22">
        <f t="shared" si="3"/>
        <v>12.225276147799196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7.8</v>
      </c>
      <c r="AI54" s="13">
        <f>IF('Données projet'!$A$62&gt;35,AI53+AH54-AQ53,IF(A54&lt;'Données projet'!$A$62,$AF$205^A54,IF(A54='Données projet'!$A$62,'Données projet'!$B$62,AI53+AH54-AQ53)))</f>
        <v>205.80000000000015</v>
      </c>
      <c r="AJ54" s="13">
        <f>AI54*VLOOKUP('Données projet'!$B$10,Paramètres!$A$1:$I$89,3,0)*VLOOKUP('Données projet'!$B$10,Paramètres!$A$1:$I$89,5,0)</f>
        <v>179.78688000000014</v>
      </c>
      <c r="AK54" s="13">
        <f t="shared" si="35"/>
        <v>45.274767624296977</v>
      </c>
      <c r="AL54" s="20">
        <f t="shared" si="4"/>
        <v>391.98236961231743</v>
      </c>
      <c r="AM54" s="59">
        <f t="shared" si="5"/>
        <v>685.31570294565074</v>
      </c>
      <c r="AN54" s="59">
        <f ca="1">AVERAGE(OFFSET($AM$3,0,0,'Données projet'!$E$10+1,1))-AVERAGE(OFFSET($H$3,0,0,'Données projet'!$E$10+1,1))</f>
        <v>321.23599968992932</v>
      </c>
      <c r="AO54" s="59">
        <f t="shared" si="36"/>
        <v>388.05195847800502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4.4692441180210034</v>
      </c>
      <c r="AV54" s="21">
        <f>EXP(-LN(2)/25)*AV53+(1-EXP(-LN(2)/25))/(LN(2)/25)*Calculateur!AQ54*Calculateur!AS54*VLOOKUP('Données projet'!$B$10,Paramètres!$A$1:$I$89,3,0)*0.475*44/12</f>
        <v>8.5483998165194883</v>
      </c>
      <c r="AW54" s="21">
        <f>EXP(-LN(2)/2)*AW53+(1-EXP(-LN(2)/2))/(LN(2)/2)*AQ54*AT54*VLOOKUP('Données projet'!$B$10,Paramètres!$A$1:$I$89,3,0)*0.475*44/12</f>
        <v>1.1684734638737366E-2</v>
      </c>
      <c r="AX54" s="21">
        <f t="shared" si="6"/>
        <v>13.029328669179229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6</v>
      </c>
      <c r="BD54" s="12">
        <f>IF('Données projet'!$A$88&gt;35,BD53+BC54-BL53,IF(A54&lt;'Données projet'!$A$88,$BA$205^A54,IF(A54='Données projet'!$A$88,'Données projet'!$B$88,BD53+BC54-BL53)))</f>
        <v>293.00000000000011</v>
      </c>
      <c r="BE54" s="13">
        <f>BD54*VLOOKUP('Données projet'!$B$11,Paramètres!$A$1:$I$89,3,0)*VLOOKUP('Données projet'!$B$11,Paramètres!$A$1:$I$89,5,0)</f>
        <v>175.21400000000008</v>
      </c>
      <c r="BF54" s="13">
        <f t="shared" si="37"/>
        <v>44.255725061661991</v>
      </c>
      <c r="BG54" s="20">
        <f t="shared" si="7"/>
        <v>382.24310448239476</v>
      </c>
      <c r="BH54" s="59">
        <f t="shared" si="8"/>
        <v>675.57643781572801</v>
      </c>
      <c r="BI54" s="59">
        <f ca="1">AVERAGE(OFFSET($BH$3,0,0,'Données projet'!$E$11+1,1))-AVERAGE(OFFSET($H$3,0,0,'Données projet'!$E$11+1,1))</f>
        <v>258.31845364515124</v>
      </c>
      <c r="BJ54" s="59">
        <f t="shared" si="38"/>
        <v>280.26155987300996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7.5730450262417515</v>
      </c>
      <c r="BQ54" s="21">
        <f>EXP(-LN(2)/25)*BQ53+(1-EXP(-LN(2)/25))/(LN(2)/25)*Calculateur!BL54*Calculateur!BN54*VLOOKUP('Données projet'!$B$11,Paramètres!$A$1:$I$89,3,0)*0.475*44/12</f>
        <v>5.2663834698964509</v>
      </c>
      <c r="BR54" s="21">
        <f>EXP(-LN(2)/2)*BR53+(1-EXP(-LN(2)/2))/(LN(2)/2)*BL54*BO54*VLOOKUP('Données projet'!$B$11,Paramètres!$A$1:$I$89,3,0)*0.475*44/12</f>
        <v>3.127425857426733E-3</v>
      </c>
      <c r="BS54" s="22">
        <f t="shared" si="9"/>
        <v>12.842555921995629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-5.6843418860808015E-14</v>
      </c>
      <c r="BZ54" s="13">
        <f>BY54*VLOOKUP('Données projet'!$B$12,Paramètres!$A$1:$I$89,3,0)*VLOOKUP('Données projet'!$B$12,Paramètres!$A$1:$I$89,5,0)</f>
        <v>-5.1431925385259088E-14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366.86025470473652</v>
      </c>
      <c r="CE54" s="59">
        <f t="shared" si="40"/>
        <v>513.80016421153414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1.6987238902426147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2.556390970395392E-3</v>
      </c>
      <c r="CN54" s="22">
        <f t="shared" si="12"/>
        <v>1.7012802812130101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-5.6843418860808015E-14</v>
      </c>
      <c r="CU54" s="17">
        <f>CT54*VLOOKUP('Données projet'!$B$13,Paramètres!$A$1:$I$89,3,0)*VLOOKUP('Données projet'!$B$13,Paramètres!$A$1:$I$89,5,0)</f>
        <v>-3.1036506698001178E-14</v>
      </c>
      <c r="CV54" s="13" t="e">
        <f t="shared" si="41"/>
        <v>#NUM!</v>
      </c>
      <c r="CW54" s="20" t="e">
        <f t="shared" si="13"/>
        <v>#NUM!</v>
      </c>
      <c r="CX54" s="59" t="e">
        <f t="shared" si="14"/>
        <v>#NUM!</v>
      </c>
      <c r="CY54" s="59">
        <f ca="1">AVERAGE(OFFSET($CX$3,0,0,'Données projet'!$E$13+1,1))-AVERAGE(OFFSET($H$3,0,0,'Données projet'!$E$13+1,1))</f>
        <v>207.02306964567629</v>
      </c>
      <c r="CZ54" s="59">
        <f t="shared" si="42"/>
        <v>342.06887933351783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4.3581065108751504</v>
      </c>
      <c r="DG54" s="21">
        <f>EXP(-LN(2)/25)*DG53+(1-EXP(-LN(2)/25))/(LN(2)/25)*Calculateur!DB54*Calculateur!DD54*VLOOKUP('Données projet'!$B$13,Paramètres!$A$1:$I$89,3,0)*0.475*44/12</f>
        <v>21.742214217578336</v>
      </c>
      <c r="DH54" s="21">
        <f>EXP(-LN(2)/2)*DH53+(1-EXP(-LN(2)/2))/(LN(2)/2)*DB54*DE54*VLOOKUP('Données projet'!$B$13,Paramètres!$A$1:$I$89,3,0)*0.475*44/12</f>
        <v>9.1661840472473007E-3</v>
      </c>
      <c r="DI54" s="22">
        <f t="shared" si="15"/>
        <v>26.109486912500735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7">
        <f t="shared" si="1"/>
        <v>256.66666666666669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13.5</v>
      </c>
      <c r="N55" s="13">
        <f>IF('Données projet'!$A$36&gt;35,N54+M55-V54,IF(A55&lt;'Données projet'!$A$36,$K$205^A55,IF(A55='Données projet'!$A$36,'Données projet'!$B$36,N54+M55-V54)))</f>
        <v>240.49999999999989</v>
      </c>
      <c r="O55" s="13">
        <f>N55*VLOOKUP('Données projet'!$B$9,Paramètres!$A$1:$I$89,3,0)*VLOOKUP('Données projet'!$B$9,Paramètres!$A$1:$I$89,5,0)</f>
        <v>112.55399999999995</v>
      </c>
      <c r="P55" s="13">
        <f t="shared" si="33"/>
        <v>29.931920700323165</v>
      </c>
      <c r="Q55" s="20">
        <f t="shared" si="53"/>
        <v>248.16297855306274</v>
      </c>
      <c r="R55" s="59">
        <f t="shared" si="0"/>
        <v>541.49631188639603</v>
      </c>
      <c r="S55" s="59">
        <f ca="1">AVERAGE(OFFSET($R$3,0,0,'Données projet'!$E$9+1,1))-AVERAGE(OFFSET($H$3,0,0,'Données projet'!$E$9+1,1))</f>
        <v>319.22903094674564</v>
      </c>
      <c r="T55" s="59">
        <f t="shared" si="34"/>
        <v>254.58690973142848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5.8706154105595783</v>
      </c>
      <c r="AA55" s="21">
        <f>EXP(-LN(2)/25)*AA54+(1-EXP(-LN(2)/25))/(LN(2)/25)*Calculateur!V55*Calculateur!X55*VLOOKUP('Données projet'!$B$9,Paramètres!$A$1:$I$89,3,0)*0.475*44/12</f>
        <v>6.0592642213342955</v>
      </c>
      <c r="AB55" s="21">
        <f>EXP(-LN(2)/2)*AB54+(1-EXP(-LN(2)/2))/(LN(2)/2)*V55*Y55*VLOOKUP('Données projet'!$B$9,Paramètres!$A$1:$I$89,3,0)*0.475*44/12</f>
        <v>5.3921526580070159E-3</v>
      </c>
      <c r="AC55" s="22">
        <f t="shared" si="3"/>
        <v>11.935271784551881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7.8</v>
      </c>
      <c r="AI55" s="13">
        <f>IF('Données projet'!$A$62&gt;35,AI54+AH55-AQ54,IF(A55&lt;'Données projet'!$A$62,$AF$205^A55,IF(A55='Données projet'!$A$62,'Données projet'!$B$62,AI54+AH55-AQ54)))</f>
        <v>213.60000000000016</v>
      </c>
      <c r="AJ55" s="13">
        <f>AI55*VLOOKUP('Données projet'!$B$10,Paramètres!$A$1:$I$89,3,0)*VLOOKUP('Données projet'!$B$10,Paramètres!$A$1:$I$89,5,0)</f>
        <v>186.60096000000016</v>
      </c>
      <c r="AK55" s="13">
        <f t="shared" si="35"/>
        <v>46.787685683664144</v>
      </c>
      <c r="AL55" s="20">
        <f t="shared" si="4"/>
        <v>406.48522456571527</v>
      </c>
      <c r="AM55" s="59">
        <f t="shared" si="5"/>
        <v>699.81855789904853</v>
      </c>
      <c r="AN55" s="59">
        <f ca="1">AVERAGE(OFFSET($AM$3,0,0,'Données projet'!$E$10+1,1))-AVERAGE(OFFSET($H$3,0,0,'Données projet'!$E$10+1,1))</f>
        <v>321.23599968992932</v>
      </c>
      <c r="AO55" s="59">
        <f t="shared" si="36"/>
        <v>388.05195847800502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4.3816049668363561</v>
      </c>
      <c r="AV55" s="21">
        <f>EXP(-LN(2)/25)*AV54+(1-EXP(-LN(2)/25))/(LN(2)/25)*Calculateur!AQ55*Calculateur!AS55*VLOOKUP('Données projet'!$B$10,Paramètres!$A$1:$I$89,3,0)*0.475*44/12</f>
        <v>8.3146433739959544</v>
      </c>
      <c r="AW55" s="21">
        <f>EXP(-LN(2)/2)*AW54+(1-EXP(-LN(2)/2))/(LN(2)/2)*AQ55*AT55*VLOOKUP('Données projet'!$B$10,Paramètres!$A$1:$I$89,3,0)*0.475*44/12</f>
        <v>8.2623550994165348E-3</v>
      </c>
      <c r="AX55" s="21">
        <f t="shared" si="6"/>
        <v>12.704510695931727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6</v>
      </c>
      <c r="BD55" s="12">
        <f>IF('Données projet'!$A$88&gt;35,BD54+BC55-BL54,IF(A55&lt;'Données projet'!$A$88,$BA$205^A55,IF(A55='Données projet'!$A$88,'Données projet'!$B$88,BD54+BC55-BL54)))</f>
        <v>299.00000000000011</v>
      </c>
      <c r="BE55" s="13">
        <f>BD55*VLOOKUP('Données projet'!$B$11,Paramètres!$A$1:$I$89,3,0)*VLOOKUP('Données projet'!$B$11,Paramètres!$A$1:$I$89,5,0)</f>
        <v>178.80200000000008</v>
      </c>
      <c r="BF55" s="13">
        <f t="shared" si="37"/>
        <v>45.055549739375941</v>
      </c>
      <c r="BG55" s="20">
        <f t="shared" si="7"/>
        <v>389.88523246274661</v>
      </c>
      <c r="BH55" s="59">
        <f t="shared" si="8"/>
        <v>683.21856579607993</v>
      </c>
      <c r="BI55" s="59">
        <f ca="1">AVERAGE(OFFSET($BH$3,0,0,'Données projet'!$E$11+1,1))-AVERAGE(OFFSET($H$3,0,0,'Données projet'!$E$11+1,1))</f>
        <v>258.31845364515124</v>
      </c>
      <c r="BJ55" s="59">
        <f t="shared" si="38"/>
        <v>280.26155987300996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7.424542232378518</v>
      </c>
      <c r="BQ55" s="21">
        <f>EXP(-LN(2)/25)*BQ54+(1-EXP(-LN(2)/25))/(LN(2)/25)*Calculateur!BL55*Calculateur!BN55*VLOOKUP('Données projet'!$B$11,Paramètres!$A$1:$I$89,3,0)*0.475*44/12</f>
        <v>5.1223739369650625</v>
      </c>
      <c r="BR55" s="21">
        <f>EXP(-LN(2)/2)*BR54+(1-EXP(-LN(2)/2))/(LN(2)/2)*BL55*BO55*VLOOKUP('Données projet'!$B$11,Paramètres!$A$1:$I$89,3,0)*0.475*44/12</f>
        <v>2.2114240314445957E-3</v>
      </c>
      <c r="BS55" s="22">
        <f t="shared" si="9"/>
        <v>12.549127593375026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-5.6843418860808015E-14</v>
      </c>
      <c r="BZ55" s="13">
        <f>BY55*VLOOKUP('Données projet'!$B$12,Paramètres!$A$1:$I$89,3,0)*VLOOKUP('Données projet'!$B$12,Paramètres!$A$1:$I$89,5,0)</f>
        <v>-5.1431925385259088E-14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366.86025470473652</v>
      </c>
      <c r="CE55" s="59">
        <f t="shared" si="40"/>
        <v>513.80016421153414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1.6654129508742219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1.8076413905306404E-3</v>
      </c>
      <c r="CN55" s="22">
        <f t="shared" si="12"/>
        <v>1.6672205922647525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-5.6843418860808015E-14</v>
      </c>
      <c r="CU55" s="17">
        <f>CT55*VLOOKUP('Données projet'!$B$13,Paramètres!$A$1:$I$89,3,0)*VLOOKUP('Données projet'!$B$13,Paramètres!$A$1:$I$89,5,0)</f>
        <v>-3.1036506698001178E-14</v>
      </c>
      <c r="CV55" s="13" t="e">
        <f t="shared" si="41"/>
        <v>#NUM!</v>
      </c>
      <c r="CW55" s="20" t="e">
        <f t="shared" si="13"/>
        <v>#NUM!</v>
      </c>
      <c r="CX55" s="59" t="e">
        <f t="shared" si="14"/>
        <v>#NUM!</v>
      </c>
      <c r="CY55" s="59">
        <f ca="1">AVERAGE(OFFSET($CX$3,0,0,'Données projet'!$E$13+1,1))-AVERAGE(OFFSET($H$3,0,0,'Données projet'!$E$13+1,1))</f>
        <v>207.02306964567629</v>
      </c>
      <c r="CZ55" s="59">
        <f t="shared" si="42"/>
        <v>342.06887933351783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4.2726467003793864</v>
      </c>
      <c r="DG55" s="21">
        <f>EXP(-LN(2)/25)*DG54+(1-EXP(-LN(2)/25))/(LN(2)/25)*Calculateur!DB55*Calculateur!DD55*VLOOKUP('Données projet'!$B$13,Paramètres!$A$1:$I$89,3,0)*0.475*44/12</f>
        <v>21.147672226425303</v>
      </c>
      <c r="DH55" s="21">
        <f>EXP(-LN(2)/2)*DH54+(1-EXP(-LN(2)/2))/(LN(2)/2)*DB55*DE55*VLOOKUP('Données projet'!$B$13,Paramètres!$A$1:$I$89,3,0)*0.475*44/12</f>
        <v>6.4814708974125198E-3</v>
      </c>
      <c r="DI55" s="22">
        <f t="shared" si="15"/>
        <v>25.426800397702102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7">
        <f t="shared" si="1"/>
        <v>256.66666666666669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13.5</v>
      </c>
      <c r="N56" s="13">
        <f>IF('Données projet'!$A$36&gt;35,N55+M56-V55,IF(A56&lt;'Données projet'!$A$36,$K$205^A56,IF(A56='Données projet'!$A$36,'Données projet'!$B$36,N55+M56-V55)))</f>
        <v>253.99999999999989</v>
      </c>
      <c r="O56" s="13">
        <f>N56*VLOOKUP('Données projet'!$B$9,Paramètres!$A$1:$I$89,3,0)*VLOOKUP('Données projet'!$B$9,Paramètres!$A$1:$I$89,5,0)</f>
        <v>118.87199999999994</v>
      </c>
      <c r="P56" s="13">
        <f t="shared" si="33"/>
        <v>31.411767382096219</v>
      </c>
      <c r="Q56" s="20">
        <f t="shared" si="53"/>
        <v>261.74422819048414</v>
      </c>
      <c r="R56" s="59">
        <f t="shared" si="0"/>
        <v>555.07756152381739</v>
      </c>
      <c r="S56" s="59">
        <f ca="1">AVERAGE(OFFSET($R$3,0,0,'Données projet'!$E$9+1,1))-AVERAGE(OFFSET($H$3,0,0,'Données projet'!$E$9+1,1))</f>
        <v>319.22903094674564</v>
      </c>
      <c r="T56" s="59">
        <f t="shared" si="34"/>
        <v>254.58690973142848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5.7554962230803381</v>
      </c>
      <c r="AA56" s="21">
        <f>EXP(-LN(2)/25)*AA55+(1-EXP(-LN(2)/25))/(LN(2)/25)*Calculateur!V56*Calculateur!X56*VLOOKUP('Données projet'!$B$9,Paramètres!$A$1:$I$89,3,0)*0.475*44/12</f>
        <v>5.8935733225590523</v>
      </c>
      <c r="AB56" s="21">
        <f>EXP(-LN(2)/2)*AB55+(1-EXP(-LN(2)/2))/(LN(2)/2)*V56*Y56*VLOOKUP('Données projet'!$B$9,Paramètres!$A$1:$I$89,3,0)*0.475*44/12</f>
        <v>3.8128277096698281E-3</v>
      </c>
      <c r="AC56" s="22">
        <f t="shared" si="3"/>
        <v>11.65288237334906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7.8</v>
      </c>
      <c r="AI56" s="13">
        <f>IF('Données projet'!$A$62&gt;35,AI55+AH56-AQ55,IF(A56&lt;'Données projet'!$A$62,$AF$205^A56,IF(A56='Données projet'!$A$62,'Données projet'!$B$62,AI55+AH56-AQ55)))</f>
        <v>221.40000000000018</v>
      </c>
      <c r="AJ56" s="13">
        <f>AI56*VLOOKUP('Données projet'!$B$10,Paramètres!$A$1:$I$89,3,0)*VLOOKUP('Données projet'!$B$10,Paramètres!$A$1:$I$89,5,0)</f>
        <v>193.41504000000018</v>
      </c>
      <c r="AK56" s="13">
        <f t="shared" si="35"/>
        <v>48.294185132315114</v>
      </c>
      <c r="AL56" s="20">
        <f t="shared" si="4"/>
        <v>420.97690043878242</v>
      </c>
      <c r="AM56" s="59">
        <f t="shared" si="5"/>
        <v>714.31023377211568</v>
      </c>
      <c r="AN56" s="59">
        <f ca="1">AVERAGE(OFFSET($AM$3,0,0,'Données projet'!$E$10+1,1))-AVERAGE(OFFSET($H$3,0,0,'Données projet'!$E$10+1,1))</f>
        <v>321.23599968992932</v>
      </c>
      <c r="AO56" s="59">
        <f t="shared" si="36"/>
        <v>388.05195847800502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4.2956843659518364</v>
      </c>
      <c r="AV56" s="21">
        <f>EXP(-LN(2)/25)*AV55+(1-EXP(-LN(2)/25))/(LN(2)/25)*Calculateur!AQ56*Calculateur!AS56*VLOOKUP('Données projet'!$B$10,Paramètres!$A$1:$I$89,3,0)*0.475*44/12</f>
        <v>8.0872790136859436</v>
      </c>
      <c r="AW56" s="21">
        <f>EXP(-LN(2)/2)*AW55+(1-EXP(-LN(2)/2))/(LN(2)/2)*AQ56*AT56*VLOOKUP('Données projet'!$B$10,Paramètres!$A$1:$I$89,3,0)*0.475*44/12</f>
        <v>5.8423673193686828E-3</v>
      </c>
      <c r="AX56" s="21">
        <f t="shared" si="6"/>
        <v>12.388805746957148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6</v>
      </c>
      <c r="BD56" s="12">
        <f>IF('Données projet'!$A$88&gt;35,BD55+BC56-BL55,IF(A56&lt;'Données projet'!$A$88,$BA$205^A56,IF(A56='Données projet'!$A$88,'Données projet'!$B$88,BD55+BC56-BL55)))</f>
        <v>305.00000000000011</v>
      </c>
      <c r="BE56" s="13">
        <f>BD56*VLOOKUP('Données projet'!$B$11,Paramètres!$A$1:$I$89,3,0)*VLOOKUP('Données projet'!$B$11,Paramètres!$A$1:$I$89,5,0)</f>
        <v>182.3900000000001</v>
      </c>
      <c r="BF56" s="13">
        <f t="shared" si="37"/>
        <v>45.853508245632547</v>
      </c>
      <c r="BG56" s="20">
        <f t="shared" si="7"/>
        <v>397.52411019447686</v>
      </c>
      <c r="BH56" s="59">
        <f t="shared" si="8"/>
        <v>690.85744352781012</v>
      </c>
      <c r="BI56" s="59">
        <f ca="1">AVERAGE(OFFSET($BH$3,0,0,'Données projet'!$E$11+1,1))-AVERAGE(OFFSET($H$3,0,0,'Données projet'!$E$11+1,1))</f>
        <v>258.31845364515124</v>
      </c>
      <c r="BJ56" s="59">
        <f t="shared" si="38"/>
        <v>280.26155987300996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7.2789514877251822</v>
      </c>
      <c r="BQ56" s="21">
        <f>EXP(-LN(2)/25)*BQ55+(1-EXP(-LN(2)/25))/(LN(2)/25)*Calculateur!BL56*Calculateur!BN56*VLOOKUP('Données projet'!$B$11,Paramètres!$A$1:$I$89,3,0)*0.475*44/12</f>
        <v>4.9823023522848144</v>
      </c>
      <c r="BR56" s="21">
        <f>EXP(-LN(2)/2)*BR55+(1-EXP(-LN(2)/2))/(LN(2)/2)*BL56*BO56*VLOOKUP('Données projet'!$B$11,Paramètres!$A$1:$I$89,3,0)*0.475*44/12</f>
        <v>1.5637129287133665E-3</v>
      </c>
      <c r="BS56" s="22">
        <f t="shared" si="9"/>
        <v>12.262817552938708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-5.6843418860808015E-14</v>
      </c>
      <c r="BZ56" s="13">
        <f>BY56*VLOOKUP('Données projet'!$B$12,Paramètres!$A$1:$I$89,3,0)*VLOOKUP('Données projet'!$B$12,Paramètres!$A$1:$I$89,5,0)</f>
        <v>-5.1431925385259088E-14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366.86025470473652</v>
      </c>
      <c r="CE56" s="59">
        <f t="shared" si="40"/>
        <v>513.80016421153414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1.6327552187091763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1.278195485197696E-3</v>
      </c>
      <c r="CN56" s="22">
        <f t="shared" si="12"/>
        <v>1.634033414194374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-5.6843418860808015E-14</v>
      </c>
      <c r="CU56" s="17">
        <f>CT56*VLOOKUP('Données projet'!$B$13,Paramètres!$A$1:$I$89,3,0)*VLOOKUP('Données projet'!$B$13,Paramètres!$A$1:$I$89,5,0)</f>
        <v>-3.1036506698001178E-14</v>
      </c>
      <c r="CV56" s="13" t="e">
        <f t="shared" si="41"/>
        <v>#NUM!</v>
      </c>
      <c r="CW56" s="20" t="e">
        <f t="shared" si="13"/>
        <v>#NUM!</v>
      </c>
      <c r="CX56" s="59" t="e">
        <f t="shared" si="14"/>
        <v>#NUM!</v>
      </c>
      <c r="CY56" s="59">
        <f ca="1">AVERAGE(OFFSET($CX$3,0,0,'Données projet'!$E$13+1,1))-AVERAGE(OFFSET($H$3,0,0,'Données projet'!$E$13+1,1))</f>
        <v>207.02306964567629</v>
      </c>
      <c r="CZ56" s="59">
        <f t="shared" si="42"/>
        <v>342.06887933351783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4.1888627046421067</v>
      </c>
      <c r="DG56" s="21">
        <f>EXP(-LN(2)/25)*DG55+(1-EXP(-LN(2)/25))/(LN(2)/25)*Calculateur!DB56*Calculateur!DD56*VLOOKUP('Données projet'!$B$13,Paramètres!$A$1:$I$89,3,0)*0.475*44/12</f>
        <v>20.569388017285956</v>
      </c>
      <c r="DH56" s="21">
        <f>EXP(-LN(2)/2)*DH55+(1-EXP(-LN(2)/2))/(LN(2)/2)*DB56*DE56*VLOOKUP('Données projet'!$B$13,Paramètres!$A$1:$I$89,3,0)*0.475*44/12</f>
        <v>4.5830920236236503E-3</v>
      </c>
      <c r="DI56" s="22">
        <f t="shared" si="15"/>
        <v>24.762833813951687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7">
        <f t="shared" si="1"/>
        <v>256.66666666666669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13.5</v>
      </c>
      <c r="N57" s="13">
        <f>IF('Données projet'!$A$36&gt;35,N56+M57-V56,IF(A57&lt;'Données projet'!$A$36,$K$205^A57,IF(A57='Données projet'!$A$36,'Données projet'!$B$36,N56+M57-V56)))</f>
        <v>267.49999999999989</v>
      </c>
      <c r="O57" s="13">
        <f>N57*VLOOKUP('Données projet'!$B$9,Paramètres!$A$1:$I$89,3,0)*VLOOKUP('Données projet'!$B$9,Paramètres!$A$1:$I$89,5,0)</f>
        <v>125.18999999999994</v>
      </c>
      <c r="P57" s="13">
        <f t="shared" si="33"/>
        <v>32.882482546564304</v>
      </c>
      <c r="Q57" s="20">
        <f t="shared" si="53"/>
        <v>275.30957376859936</v>
      </c>
      <c r="R57" s="59">
        <f t="shared" si="0"/>
        <v>568.64290710193268</v>
      </c>
      <c r="S57" s="59">
        <f ca="1">AVERAGE(OFFSET($R$3,0,0,'Données projet'!$E$9+1,1))-AVERAGE(OFFSET($H$3,0,0,'Données projet'!$E$9+1,1))</f>
        <v>319.22903094674564</v>
      </c>
      <c r="T57" s="59">
        <f t="shared" si="34"/>
        <v>254.58690973142848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5.6426344526517953</v>
      </c>
      <c r="AA57" s="21">
        <f>EXP(-LN(2)/25)*AA56+(1-EXP(-LN(2)/25))/(LN(2)/25)*Calculateur!V57*Calculateur!X57*VLOOKUP('Données projet'!$B$9,Paramètres!$A$1:$I$89,3,0)*0.475*44/12</f>
        <v>5.7324132501241243</v>
      </c>
      <c r="AB57" s="21">
        <f>EXP(-LN(2)/2)*AB56+(1-EXP(-LN(2)/2))/(LN(2)/2)*V57*Y57*VLOOKUP('Données projet'!$B$9,Paramètres!$A$1:$I$89,3,0)*0.475*44/12</f>
        <v>2.6960763290035084E-3</v>
      </c>
      <c r="AC57" s="22">
        <f t="shared" si="3"/>
        <v>11.377743779104923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7.8</v>
      </c>
      <c r="AI57" s="13">
        <f>IF('Données projet'!$A$62&gt;35,AI56+AH57-AQ56,IF(A57&lt;'Données projet'!$A$62,$AF$205^A57,IF(A57='Données projet'!$A$62,'Données projet'!$B$62,AI56+AH57-AQ56)))</f>
        <v>229.20000000000019</v>
      </c>
      <c r="AJ57" s="13">
        <f>AI57*VLOOKUP('Données projet'!$B$10,Paramètres!$A$1:$I$89,3,0)*VLOOKUP('Données projet'!$B$10,Paramètres!$A$1:$I$89,5,0)</f>
        <v>200.22912000000019</v>
      </c>
      <c r="AK57" s="13">
        <f t="shared" si="35"/>
        <v>49.794518010766396</v>
      </c>
      <c r="AL57" s="20">
        <f t="shared" si="4"/>
        <v>435.45783620208516</v>
      </c>
      <c r="AM57" s="59">
        <f t="shared" si="5"/>
        <v>728.79116953541848</v>
      </c>
      <c r="AN57" s="59">
        <f ca="1">AVERAGE(OFFSET($AM$3,0,0,'Données projet'!$E$10+1,1))-AVERAGE(OFFSET($H$3,0,0,'Données projet'!$E$10+1,1))</f>
        <v>321.23599968992932</v>
      </c>
      <c r="AO57" s="59">
        <f t="shared" si="36"/>
        <v>388.05195847800502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4.2114486156442696</v>
      </c>
      <c r="AV57" s="21">
        <f>EXP(-LN(2)/25)*AV56+(1-EXP(-LN(2)/25))/(LN(2)/25)*Calculateur!AQ57*Calculateur!AS57*VLOOKUP('Données projet'!$B$10,Paramètres!$A$1:$I$89,3,0)*0.475*44/12</f>
        <v>7.8661319437651818</v>
      </c>
      <c r="AW57" s="21">
        <f>EXP(-LN(2)/2)*AW56+(1-EXP(-LN(2)/2))/(LN(2)/2)*AQ57*AT57*VLOOKUP('Données projet'!$B$10,Paramètres!$A$1:$I$89,3,0)*0.475*44/12</f>
        <v>4.1311775497082674E-3</v>
      </c>
      <c r="AX57" s="21">
        <f t="shared" si="6"/>
        <v>12.081711736959159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>
        <f>VLOOKUP(A57,'Données projet'!$A$87:$I$107,2,0)</f>
        <v>311</v>
      </c>
      <c r="BB57" s="12">
        <f>VLOOKUP(A57,'Données projet'!$A$87:$I$107,9,0)</f>
        <v>6</v>
      </c>
      <c r="BC57" s="12">
        <f t="array" ref="BC57">INDEX(BB:BB,MIN(IF(ISNUMBER(BB57:BB253),ROW(BB57:BB253),"")))</f>
        <v>6</v>
      </c>
      <c r="BD57" s="12">
        <f>IF('Données projet'!$A$88&gt;35,BD56+BC57-BL56,IF(A57&lt;'Données projet'!$A$88,$BA$205^A57,IF(A57='Données projet'!$A$88,'Données projet'!$B$88,BD56+BC57-BL56)))</f>
        <v>311.00000000000011</v>
      </c>
      <c r="BE57" s="13">
        <f>BD57*VLOOKUP('Données projet'!$B$11,Paramètres!$A$1:$I$89,3,0)*VLOOKUP('Données projet'!$B$11,Paramètres!$A$1:$I$89,5,0)</f>
        <v>185.97800000000009</v>
      </c>
      <c r="BF57" s="13">
        <f t="shared" si="37"/>
        <v>46.649641523668613</v>
      </c>
      <c r="BG57" s="20">
        <f t="shared" si="7"/>
        <v>405.15980898705629</v>
      </c>
      <c r="BH57" s="59">
        <f t="shared" si="8"/>
        <v>698.49314232038955</v>
      </c>
      <c r="BI57" s="59">
        <f ca="1">AVERAGE(OFFSET($BH$3,0,0,'Données projet'!$E$11+1,1))-AVERAGE(OFFSET($H$3,0,0,'Données projet'!$E$11+1,1))</f>
        <v>258.31845364515124</v>
      </c>
      <c r="BJ57" s="59">
        <f t="shared" si="38"/>
        <v>280.26155987300996</v>
      </c>
      <c r="BK57" s="15">
        <f>IF(ISNA(VLOOKUP(A57,'Données projet'!$A$87:$I$107,3,0)),0,VLOOKUP(A57,'Données projet'!$A$87:$I$107,3,0))</f>
        <v>9</v>
      </c>
      <c r="BL57" s="15">
        <f>IF(ISNA(VLOOKUP(A57,'Données projet'!$A$87:$I$107,4,0)),0,VLOOKUP(A57,'Données projet'!$A$87:$I$107,4,0))</f>
        <v>16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7.1362156887729125</v>
      </c>
      <c r="BQ57" s="21">
        <f>EXP(-LN(2)/25)*BQ56+(1-EXP(-LN(2)/25))/(LN(2)/25)*Calculateur!BL57*Calculateur!BN57*VLOOKUP('Données projet'!$B$11,Paramètres!$A$1:$I$89,3,0)*0.475*44/12</f>
        <v>4.8460610324536928</v>
      </c>
      <c r="BR57" s="21">
        <f>EXP(-LN(2)/2)*BR56+(1-EXP(-LN(2)/2))/(LN(2)/2)*BL57*BO57*VLOOKUP('Données projet'!$B$11,Paramètres!$A$1:$I$89,3,0)*0.475*44/12</f>
        <v>1.1057120157222978E-3</v>
      </c>
      <c r="BS57" s="22">
        <f t="shared" si="9"/>
        <v>11.983382433242326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-5.6843418860808015E-14</v>
      </c>
      <c r="BZ57" s="13">
        <f>BY57*VLOOKUP('Données projet'!$B$12,Paramètres!$A$1:$I$89,3,0)*VLOOKUP('Données projet'!$B$12,Paramètres!$A$1:$I$89,5,0)</f>
        <v>-5.1431925385259088E-14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366.86025470473652</v>
      </c>
      <c r="CE57" s="59">
        <f t="shared" si="40"/>
        <v>513.80016421153414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1.6007378847526375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9.038206952653202E-4</v>
      </c>
      <c r="CN57" s="22">
        <f t="shared" si="12"/>
        <v>1.6016417054479029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-5.6843418860808015E-14</v>
      </c>
      <c r="CU57" s="17">
        <f>CT57*VLOOKUP('Données projet'!$B$13,Paramètres!$A$1:$I$89,3,0)*VLOOKUP('Données projet'!$B$13,Paramètres!$A$1:$I$89,5,0)</f>
        <v>-3.1036506698001178E-14</v>
      </c>
      <c r="CV57" s="13" t="e">
        <f t="shared" si="41"/>
        <v>#NUM!</v>
      </c>
      <c r="CW57" s="20" t="e">
        <f t="shared" si="13"/>
        <v>#NUM!</v>
      </c>
      <c r="CX57" s="59" t="e">
        <f t="shared" si="14"/>
        <v>#NUM!</v>
      </c>
      <c r="CY57" s="59">
        <f ca="1">AVERAGE(OFFSET($CX$3,0,0,'Données projet'!$E$13+1,1))-AVERAGE(OFFSET($H$3,0,0,'Données projet'!$E$13+1,1))</f>
        <v>207.02306964567629</v>
      </c>
      <c r="CZ57" s="59">
        <f t="shared" si="42"/>
        <v>342.06887933351783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4.1067216619580442</v>
      </c>
      <c r="DG57" s="21">
        <f>EXP(-LN(2)/25)*DG56+(1-EXP(-LN(2)/25))/(LN(2)/25)*Calculateur!DB57*Calculateur!DD57*VLOOKUP('Données projet'!$B$13,Paramètres!$A$1:$I$89,3,0)*0.475*44/12</f>
        <v>20.006917020256168</v>
      </c>
      <c r="DH57" s="21">
        <f>EXP(-LN(2)/2)*DH56+(1-EXP(-LN(2)/2))/(LN(2)/2)*DB57*DE57*VLOOKUP('Données projet'!$B$13,Paramètres!$A$1:$I$89,3,0)*0.475*44/12</f>
        <v>3.2407354487062599E-3</v>
      </c>
      <c r="DI57" s="22">
        <f t="shared" si="15"/>
        <v>24.116879417662918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7">
        <f t="shared" si="1"/>
        <v>256.66666666666669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13.5</v>
      </c>
      <c r="N58" s="13">
        <f>IF('Données projet'!$A$36&gt;35,N57+M58-V57,IF(A58&lt;'Données projet'!$A$36,$K$205^A58,IF(A58='Données projet'!$A$36,'Données projet'!$B$36,N57+M58-V57)))</f>
        <v>280.99999999999989</v>
      </c>
      <c r="O58" s="13">
        <f>N58*VLOOKUP('Données projet'!$B$9,Paramètres!$A$1:$I$89,3,0)*VLOOKUP('Données projet'!$B$9,Paramètres!$A$1:$I$89,5,0)</f>
        <v>131.50799999999995</v>
      </c>
      <c r="P58" s="13">
        <f t="shared" si="33"/>
        <v>34.344579617082481</v>
      </c>
      <c r="Q58" s="20">
        <f t="shared" si="53"/>
        <v>288.85990949975189</v>
      </c>
      <c r="R58" s="59">
        <f t="shared" si="0"/>
        <v>582.19324283308515</v>
      </c>
      <c r="S58" s="59">
        <f ca="1">AVERAGE(OFFSET($R$3,0,0,'Données projet'!$E$9+1,1))-AVERAGE(OFFSET($H$3,0,0,'Données projet'!$E$9+1,1))</f>
        <v>319.22903094674564</v>
      </c>
      <c r="T58" s="59">
        <f t="shared" si="34"/>
        <v>254.58690973142848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5.5319858327024729</v>
      </c>
      <c r="AA58" s="21">
        <f>EXP(-LN(2)/25)*AA57+(1-EXP(-LN(2)/25))/(LN(2)/25)*Calculateur!V58*Calculateur!X58*VLOOKUP('Données projet'!$B$9,Paramètres!$A$1:$I$89,3,0)*0.475*44/12</f>
        <v>5.5756601083449686</v>
      </c>
      <c r="AB58" s="21">
        <f>EXP(-LN(2)/2)*AB57+(1-EXP(-LN(2)/2))/(LN(2)/2)*V58*Y58*VLOOKUP('Données projet'!$B$9,Paramètres!$A$1:$I$89,3,0)*0.475*44/12</f>
        <v>1.9064138548349143E-3</v>
      </c>
      <c r="AC58" s="22">
        <f t="shared" si="3"/>
        <v>11.109552354902275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237</v>
      </c>
      <c r="AG58" s="12">
        <f>VLOOKUP(A58,'Données projet'!$A$61:$I$81,9,0)</f>
        <v>7.8</v>
      </c>
      <c r="AH58" s="12">
        <f t="array" ref="AH58">INDEX(AG:AG,MIN(IF(ISNUMBER(AG58:AG254),ROW(AG58:AG254),"")))</f>
        <v>7.8</v>
      </c>
      <c r="AI58" s="13">
        <f>IF('Données projet'!$A$62&gt;35,AI57+AH58-AQ57,IF(A58&lt;'Données projet'!$A$62,$AF$205^A58,IF(A58='Données projet'!$A$62,'Données projet'!$B$62,AI57+AH58-AQ57)))</f>
        <v>237.0000000000002</v>
      </c>
      <c r="AJ58" s="13">
        <f>AI58*VLOOKUP('Données projet'!$B$10,Paramètres!$A$1:$I$89,3,0)*VLOOKUP('Données projet'!$B$10,Paramètres!$A$1:$I$89,5,0)</f>
        <v>207.04320000000018</v>
      </c>
      <c r="AK58" s="13">
        <f t="shared" si="35"/>
        <v>51.28891823180637</v>
      </c>
      <c r="AL58" s="20">
        <f t="shared" si="4"/>
        <v>449.92843925372966</v>
      </c>
      <c r="AM58" s="59">
        <f t="shared" si="5"/>
        <v>743.26177258706298</v>
      </c>
      <c r="AN58" s="59">
        <f ca="1">AVERAGE(OFFSET($AM$3,0,0,'Données projet'!$E$10+1,1))-AVERAGE(OFFSET($H$3,0,0,'Données projet'!$E$10+1,1))</f>
        <v>321.23599968992932</v>
      </c>
      <c r="AO58" s="59">
        <f t="shared" si="36"/>
        <v>388.05195847800502</v>
      </c>
      <c r="AP58" s="15">
        <f>IF(ISNA(VLOOKUP(A58,'Données projet'!$A$61:$I$81,3,0)),0,VLOOKUP(A58,'Données projet'!$A$61:$I$81,3,0))</f>
        <v>9</v>
      </c>
      <c r="AQ58" s="15">
        <f>IF(ISNA(VLOOKUP(A58,'Données projet'!$A$61:$I$81,4,0)),0,VLOOKUP(A58,'Données projet'!$A$61:$I$81,4,0))</f>
        <v>29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4.1288646770215003</v>
      </c>
      <c r="AV58" s="21">
        <f>EXP(-LN(2)/25)*AV57+(1-EXP(-LN(2)/25))/(LN(2)/25)*Calculateur!AQ58*Calculateur!AS58*VLOOKUP('Données projet'!$B$10,Paramètres!$A$1:$I$89,3,0)*0.475*44/12</f>
        <v>7.6510321521010223</v>
      </c>
      <c r="AW58" s="21">
        <f>EXP(-LN(2)/2)*AW57+(1-EXP(-LN(2)/2))/(LN(2)/2)*AQ58*AT58*VLOOKUP('Données projet'!$B$10,Paramètres!$A$1:$I$89,3,0)*0.475*44/12</f>
        <v>2.9211836596843414E-3</v>
      </c>
      <c r="AX58" s="21">
        <f t="shared" si="6"/>
        <v>11.782818012782206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2.625</v>
      </c>
      <c r="BD58" s="12">
        <f>IF('Données projet'!$A$88&gt;35,BD57+BC58-BL57,IF(A58&lt;'Données projet'!$A$88,$BA$205^A58,IF(A58='Données projet'!$A$88,'Données projet'!$B$88,BD57+BC58-BL57)))</f>
        <v>297.62500000000011</v>
      </c>
      <c r="BE58" s="13">
        <f>BD58*VLOOKUP('Données projet'!$B$11,Paramètres!$A$1:$I$89,3,0)*VLOOKUP('Données projet'!$B$11,Paramètres!$A$1:$I$89,5,0)</f>
        <v>177.97975000000008</v>
      </c>
      <c r="BF58" s="13">
        <f t="shared" si="37"/>
        <v>44.87242292972973</v>
      </c>
      <c r="BG58" s="20">
        <f t="shared" si="7"/>
        <v>388.13420118594604</v>
      </c>
      <c r="BH58" s="59">
        <f t="shared" si="8"/>
        <v>681.4675345192793</v>
      </c>
      <c r="BI58" s="59">
        <f ca="1">AVERAGE(OFFSET($BH$3,0,0,'Données projet'!$E$11+1,1))-AVERAGE(OFFSET($H$3,0,0,'Données projet'!$E$11+1,1))</f>
        <v>258.31845364515124</v>
      </c>
      <c r="BJ58" s="59">
        <f t="shared" si="38"/>
        <v>280.26155987300996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6.9962788517778565</v>
      </c>
      <c r="BQ58" s="21">
        <f>EXP(-LN(2)/25)*BQ57+(1-EXP(-LN(2)/25))/(LN(2)/25)*Calculateur!BL58*Calculateur!BN58*VLOOKUP('Données projet'!$B$11,Paramètres!$A$1:$I$89,3,0)*0.475*44/12</f>
        <v>4.7135452386779724</v>
      </c>
      <c r="BR58" s="21">
        <f>EXP(-LN(2)/2)*BR57+(1-EXP(-LN(2)/2))/(LN(2)/2)*BL58*BO58*VLOOKUP('Données projet'!$B$11,Paramètres!$A$1:$I$89,3,0)*0.475*44/12</f>
        <v>7.8185646435668325E-4</v>
      </c>
      <c r="BS58" s="22">
        <f t="shared" si="9"/>
        <v>11.710605946920186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-5.6843418860808015E-14</v>
      </c>
      <c r="BZ58" s="13">
        <f>BY58*VLOOKUP('Données projet'!$B$12,Paramètres!$A$1:$I$89,3,0)*VLOOKUP('Données projet'!$B$12,Paramètres!$A$1:$I$89,5,0)</f>
        <v>-5.1431925385259088E-14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366.86025470473652</v>
      </c>
      <c r="CE58" s="59">
        <f t="shared" si="40"/>
        <v>513.80016421153414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1.5693483911863411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6.3909774259884801E-4</v>
      </c>
      <c r="CN58" s="22">
        <f t="shared" si="12"/>
        <v>1.5699874889289398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-5.6843418860808015E-14</v>
      </c>
      <c r="CU58" s="17">
        <f>CT58*VLOOKUP('Données projet'!$B$13,Paramètres!$A$1:$I$89,3,0)*VLOOKUP('Données projet'!$B$13,Paramètres!$A$1:$I$89,5,0)</f>
        <v>-3.1036506698001178E-14</v>
      </c>
      <c r="CV58" s="13" t="e">
        <f t="shared" si="41"/>
        <v>#NUM!</v>
      </c>
      <c r="CW58" s="20" t="e">
        <f t="shared" si="13"/>
        <v>#NUM!</v>
      </c>
      <c r="CX58" s="59" t="e">
        <f t="shared" si="14"/>
        <v>#NUM!</v>
      </c>
      <c r="CY58" s="59">
        <f ca="1">AVERAGE(OFFSET($CX$3,0,0,'Données projet'!$E$13+1,1))-AVERAGE(OFFSET($H$3,0,0,'Données projet'!$E$13+1,1))</f>
        <v>207.02306964567629</v>
      </c>
      <c r="CZ58" s="59">
        <f t="shared" si="42"/>
        <v>342.06887933351783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4.0261913550199271</v>
      </c>
      <c r="DG58" s="21">
        <f>EXP(-LN(2)/25)*DG57+(1-EXP(-LN(2)/25))/(LN(2)/25)*Calculateur!DB58*Calculateur!DD58*VLOOKUP('Données projet'!$B$13,Paramètres!$A$1:$I$89,3,0)*0.475*44/12</f>
        <v>19.459826822219224</v>
      </c>
      <c r="DH58" s="21">
        <f>EXP(-LN(2)/2)*DH57+(1-EXP(-LN(2)/2))/(LN(2)/2)*DB58*DE58*VLOOKUP('Données projet'!$B$13,Paramètres!$A$1:$I$89,3,0)*0.475*44/12</f>
        <v>2.2915460118118252E-3</v>
      </c>
      <c r="DI58" s="22">
        <f t="shared" si="15"/>
        <v>23.488309723250964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7">
        <f t="shared" si="1"/>
        <v>256.66666666666669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13.5</v>
      </c>
      <c r="N59" s="13">
        <f>IF('Données projet'!$A$36&gt;35,N58+M59-V58,IF(A59&lt;'Données projet'!$A$36,$K$205^A59,IF(A59='Données projet'!$A$36,'Données projet'!$B$36,N58+M59-V58)))</f>
        <v>294.49999999999989</v>
      </c>
      <c r="O59" s="13">
        <f>N59*VLOOKUP('Données projet'!$B$9,Paramètres!$A$1:$I$89,3,0)*VLOOKUP('Données projet'!$B$9,Paramètres!$A$1:$I$89,5,0)</f>
        <v>137.82599999999994</v>
      </c>
      <c r="P59" s="13">
        <f t="shared" si="33"/>
        <v>35.798519897115497</v>
      </c>
      <c r="Q59" s="20">
        <f t="shared" si="53"/>
        <v>302.39603882080934</v>
      </c>
      <c r="R59" s="59">
        <f t="shared" si="0"/>
        <v>595.72937215414265</v>
      </c>
      <c r="S59" s="59">
        <f ca="1">AVERAGE(OFFSET($R$3,0,0,'Données projet'!$E$9+1,1))-AVERAGE(OFFSET($H$3,0,0,'Données projet'!$E$9+1,1))</f>
        <v>319.22903094674564</v>
      </c>
      <c r="T59" s="59">
        <f t="shared" si="34"/>
        <v>254.58690973142848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5.423506964701363</v>
      </c>
      <c r="AA59" s="21">
        <f>EXP(-LN(2)/25)*AA58+(1-EXP(-LN(2)/25))/(LN(2)/25)*Calculateur!V59*Calculateur!X59*VLOOKUP('Données projet'!$B$9,Paramètres!$A$1:$I$89,3,0)*0.475*44/12</f>
        <v>5.423193389471054</v>
      </c>
      <c r="AB59" s="21">
        <f>EXP(-LN(2)/2)*AB58+(1-EXP(-LN(2)/2))/(LN(2)/2)*V59*Y59*VLOOKUP('Données projet'!$B$9,Paramètres!$A$1:$I$89,3,0)*0.475*44/12</f>
        <v>1.3480381645017544E-3</v>
      </c>
      <c r="AC59" s="22">
        <f t="shared" si="3"/>
        <v>10.848048392336917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6.8</v>
      </c>
      <c r="AI59" s="13">
        <f>IF('Données projet'!$A$62&gt;35,AI58+AH59-AQ58,IF(A59&lt;'Données projet'!$A$62,$AF$205^A59,IF(A59='Données projet'!$A$62,'Données projet'!$B$62,AI58+AH59-AQ58)))</f>
        <v>214.80000000000021</v>
      </c>
      <c r="AJ59" s="13">
        <f>AI59*VLOOKUP('Données projet'!$B$10,Paramètres!$A$1:$I$89,3,0)*VLOOKUP('Données projet'!$B$10,Paramètres!$A$1:$I$89,5,0)</f>
        <v>187.6492800000002</v>
      </c>
      <c r="AK59" s="13">
        <f t="shared" si="35"/>
        <v>47.019866076567546</v>
      </c>
      <c r="AL59" s="20">
        <f t="shared" si="4"/>
        <v>408.71542941668878</v>
      </c>
      <c r="AM59" s="59">
        <f t="shared" si="5"/>
        <v>702.04876275002209</v>
      </c>
      <c r="AN59" s="59">
        <f ca="1">AVERAGE(OFFSET($AM$3,0,0,'Données projet'!$E$10+1,1))-AVERAGE(OFFSET($H$3,0,0,'Données projet'!$E$10+1,1))</f>
        <v>321.23599968992932</v>
      </c>
      <c r="AO59" s="59">
        <f t="shared" si="36"/>
        <v>388.05195847800502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4.0479001590638948</v>
      </c>
      <c r="AV59" s="21">
        <f>EXP(-LN(2)/25)*AV58+(1-EXP(-LN(2)/25))/(LN(2)/25)*Calculateur!AQ59*Calculateur!AS59*VLOOKUP('Données projet'!$B$10,Paramètres!$A$1:$I$89,3,0)*0.475*44/12</f>
        <v>7.4418142755515255</v>
      </c>
      <c r="AW59" s="21">
        <f>EXP(-LN(2)/2)*AW58+(1-EXP(-LN(2)/2))/(LN(2)/2)*AQ59*AT59*VLOOKUP('Données projet'!$B$10,Paramètres!$A$1:$I$89,3,0)*0.475*44/12</f>
        <v>2.0655887748541337E-3</v>
      </c>
      <c r="AX59" s="21">
        <f t="shared" si="6"/>
        <v>11.491780023390275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2.625</v>
      </c>
      <c r="BD59" s="12">
        <f>IF('Données projet'!$A$88&gt;35,BD58+BC59-BL58,IF(A59&lt;'Données projet'!$A$88,$BA$205^A59,IF(A59='Données projet'!$A$88,'Données projet'!$B$88,BD58+BC59-BL58)))</f>
        <v>300.25000000000011</v>
      </c>
      <c r="BE59" s="13">
        <f>BD59*VLOOKUP('Données projet'!$B$11,Paramètres!$A$1:$I$89,3,0)*VLOOKUP('Données projet'!$B$11,Paramètres!$A$1:$I$89,5,0)</f>
        <v>179.54950000000008</v>
      </c>
      <c r="BF59" s="13">
        <f t="shared" si="37"/>
        <v>45.221943603548404</v>
      </c>
      <c r="BG59" s="20">
        <f t="shared" si="7"/>
        <v>391.47693094284688</v>
      </c>
      <c r="BH59" s="59">
        <f t="shared" si="8"/>
        <v>684.81026427618019</v>
      </c>
      <c r="BI59" s="59">
        <f ca="1">AVERAGE(OFFSET($BH$3,0,0,'Données projet'!$E$11+1,1))-AVERAGE(OFFSET($H$3,0,0,'Données projet'!$E$11+1,1))</f>
        <v>258.31845364515124</v>
      </c>
      <c r="BJ59" s="59">
        <f t="shared" si="38"/>
        <v>280.26155987300996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6.8590860908032303</v>
      </c>
      <c r="BQ59" s="21">
        <f>EXP(-LN(2)/25)*BQ58+(1-EXP(-LN(2)/25))/(LN(2)/25)*Calculateur!BL59*Calculateur!BN59*VLOOKUP('Données projet'!$B$11,Paramètres!$A$1:$I$89,3,0)*0.475*44/12</f>
        <v>4.5846530962517518</v>
      </c>
      <c r="BR59" s="21">
        <f>EXP(-LN(2)/2)*BR58+(1-EXP(-LN(2)/2))/(LN(2)/2)*BL59*BO59*VLOOKUP('Données projet'!$B$11,Paramètres!$A$1:$I$89,3,0)*0.475*44/12</f>
        <v>5.5285600786114891E-4</v>
      </c>
      <c r="BS59" s="22">
        <f t="shared" si="9"/>
        <v>11.444292043062843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-5.6843418860808015E-14</v>
      </c>
      <c r="BZ59" s="13">
        <f>BY59*VLOOKUP('Données projet'!$B$12,Paramètres!$A$1:$I$89,3,0)*VLOOKUP('Données projet'!$B$12,Paramètres!$A$1:$I$89,5,0)</f>
        <v>-5.1431925385259088E-14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366.86025470473652</v>
      </c>
      <c r="CE59" s="59">
        <f t="shared" si="40"/>
        <v>513.80016421153414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1.5385744264431791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4.519103476326601E-4</v>
      </c>
      <c r="CN59" s="22">
        <f t="shared" si="12"/>
        <v>1.5390263367908117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-5.6843418860808015E-14</v>
      </c>
      <c r="CU59" s="17">
        <f>CT59*VLOOKUP('Données projet'!$B$13,Paramètres!$A$1:$I$89,3,0)*VLOOKUP('Données projet'!$B$13,Paramètres!$A$1:$I$89,5,0)</f>
        <v>-3.1036506698001178E-14</v>
      </c>
      <c r="CV59" s="13" t="e">
        <f t="shared" si="41"/>
        <v>#NUM!</v>
      </c>
      <c r="CW59" s="20" t="e">
        <f t="shared" si="13"/>
        <v>#NUM!</v>
      </c>
      <c r="CX59" s="59" t="e">
        <f t="shared" si="14"/>
        <v>#NUM!</v>
      </c>
      <c r="CY59" s="59">
        <f ca="1">AVERAGE(OFFSET($CX$3,0,0,'Données projet'!$E$13+1,1))-AVERAGE(OFFSET($H$3,0,0,'Données projet'!$E$13+1,1))</f>
        <v>207.02306964567629</v>
      </c>
      <c r="CZ59" s="59">
        <f t="shared" si="42"/>
        <v>342.06887933351783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3.9472401982822292</v>
      </c>
      <c r="DG59" s="21">
        <f>EXP(-LN(2)/25)*DG58+(1-EXP(-LN(2)/25))/(LN(2)/25)*Calculateur!DB59*Calculateur!DD59*VLOOKUP('Données projet'!$B$13,Paramètres!$A$1:$I$89,3,0)*0.475*44/12</f>
        <v>18.927696834417823</v>
      </c>
      <c r="DH59" s="21">
        <f>EXP(-LN(2)/2)*DH58+(1-EXP(-LN(2)/2))/(LN(2)/2)*DB59*DE59*VLOOKUP('Données projet'!$B$13,Paramètres!$A$1:$I$89,3,0)*0.475*44/12</f>
        <v>1.6203677243531299E-3</v>
      </c>
      <c r="DI59" s="22">
        <f t="shared" si="15"/>
        <v>22.876557400424407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7">
        <f t="shared" si="1"/>
        <v>256.66666666666669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13.5</v>
      </c>
      <c r="N60" s="13">
        <f>IF('Données projet'!$A$36&gt;35,N59+M60-V59,IF(A60&lt;'Données projet'!$A$36,$K$205^A60,IF(A60='Données projet'!$A$36,'Données projet'!$B$36,N59+M60-V59)))</f>
        <v>307.99999999999989</v>
      </c>
      <c r="O60" s="13">
        <f>N60*VLOOKUP('Données projet'!$B$9,Paramètres!$A$1:$I$89,3,0)*VLOOKUP('Données projet'!$B$9,Paramètres!$A$1:$I$89,5,0)</f>
        <v>144.14399999999995</v>
      </c>
      <c r="P60" s="13">
        <f t="shared" si="33"/>
        <v>37.244720006976216</v>
      </c>
      <c r="Q60" s="20">
        <f t="shared" si="53"/>
        <v>315.91868734548348</v>
      </c>
      <c r="R60" s="59">
        <f t="shared" si="0"/>
        <v>609.25202067881673</v>
      </c>
      <c r="S60" s="59">
        <f ca="1">AVERAGE(OFFSET($R$3,0,0,'Données projet'!$E$9+1,1))-AVERAGE(OFFSET($H$3,0,0,'Données projet'!$E$9+1,1))</f>
        <v>319.22903094674564</v>
      </c>
      <c r="T60" s="59">
        <f t="shared" si="34"/>
        <v>254.58690973142848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5.3171553011361787</v>
      </c>
      <c r="AA60" s="21">
        <f>EXP(-LN(2)/25)*AA59+(1-EXP(-LN(2)/25))/(LN(2)/25)*Calculateur!V60*Calculateur!X60*VLOOKUP('Données projet'!$B$9,Paramètres!$A$1:$I$89,3,0)*0.475*44/12</f>
        <v>5.2748958810426227</v>
      </c>
      <c r="AB60" s="21">
        <f>EXP(-LN(2)/2)*AB59+(1-EXP(-LN(2)/2))/(LN(2)/2)*V60*Y60*VLOOKUP('Données projet'!$B$9,Paramètres!$A$1:$I$89,3,0)*0.475*44/12</f>
        <v>9.5320692741745724E-4</v>
      </c>
      <c r="AC60" s="22">
        <f t="shared" si="3"/>
        <v>10.59300438910622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6.8</v>
      </c>
      <c r="AI60" s="13">
        <f>IF('Données projet'!$A$62&gt;35,AI59+AH60-AQ59,IF(A60&lt;'Données projet'!$A$62,$AF$205^A60,IF(A60='Données projet'!$A$62,'Données projet'!$B$62,AI59+AH60-AQ59)))</f>
        <v>221.60000000000022</v>
      </c>
      <c r="AJ60" s="13">
        <f>AI60*VLOOKUP('Données projet'!$B$10,Paramètres!$A$1:$I$89,3,0)*VLOOKUP('Données projet'!$B$10,Paramètres!$A$1:$I$89,5,0)</f>
        <v>193.58976000000021</v>
      </c>
      <c r="AK60" s="13">
        <f t="shared" si="35"/>
        <v>48.332731202087132</v>
      </c>
      <c r="AL60" s="20">
        <f t="shared" si="4"/>
        <v>421.34833884363542</v>
      </c>
      <c r="AM60" s="59">
        <f t="shared" si="5"/>
        <v>714.68167217696873</v>
      </c>
      <c r="AN60" s="59">
        <f ca="1">AVERAGE(OFFSET($AM$3,0,0,'Données projet'!$E$10+1,1))-AVERAGE(OFFSET($H$3,0,0,'Données projet'!$E$10+1,1))</f>
        <v>321.23599968992932</v>
      </c>
      <c r="AO60" s="59">
        <f t="shared" si="36"/>
        <v>388.05195847800502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3.9685233059199576</v>
      </c>
      <c r="AV60" s="21">
        <f>EXP(-LN(2)/25)*AV59+(1-EXP(-LN(2)/25))/(LN(2)/25)*Calculateur!AQ60*Calculateur!AS60*VLOOKUP('Données projet'!$B$10,Paramètres!$A$1:$I$89,3,0)*0.475*44/12</f>
        <v>7.2383174728385651</v>
      </c>
      <c r="AW60" s="21">
        <f>EXP(-LN(2)/2)*AW59+(1-EXP(-LN(2)/2))/(LN(2)/2)*AQ60*AT60*VLOOKUP('Données projet'!$B$10,Paramètres!$A$1:$I$89,3,0)*0.475*44/12</f>
        <v>1.4605918298421707E-3</v>
      </c>
      <c r="AX60" s="21">
        <f t="shared" si="6"/>
        <v>11.208301370588364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2.625</v>
      </c>
      <c r="BD60" s="12">
        <f>IF('Données projet'!$A$88&gt;35,BD59+BC60-BL59,IF(A60&lt;'Données projet'!$A$88,$BA$205^A60,IF(A60='Données projet'!$A$88,'Données projet'!$B$88,BD59+BC60-BL59)))</f>
        <v>302.87500000000011</v>
      </c>
      <c r="BE60" s="13">
        <f>BD60*VLOOKUP('Données projet'!$B$11,Paramètres!$A$1:$I$89,3,0)*VLOOKUP('Données projet'!$B$11,Paramètres!$A$1:$I$89,5,0)</f>
        <v>181.11925000000008</v>
      </c>
      <c r="BF60" s="13">
        <f t="shared" si="37"/>
        <v>45.571108763102394</v>
      </c>
      <c r="BG60" s="20">
        <f t="shared" si="7"/>
        <v>394.81904151240343</v>
      </c>
      <c r="BH60" s="59">
        <f t="shared" si="8"/>
        <v>688.15237484573674</v>
      </c>
      <c r="BI60" s="59">
        <f ca="1">AVERAGE(OFFSET($BH$3,0,0,'Données projet'!$E$11+1,1))-AVERAGE(OFFSET($H$3,0,0,'Données projet'!$E$11+1,1))</f>
        <v>258.31845364515124</v>
      </c>
      <c r="BJ60" s="59">
        <f t="shared" si="38"/>
        <v>280.26155987300996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6.7245835961919953</v>
      </c>
      <c r="BQ60" s="21">
        <f>EXP(-LN(2)/25)*BQ59+(1-EXP(-LN(2)/25))/(LN(2)/25)*Calculateur!BL60*Calculateur!BN60*VLOOKUP('Données projet'!$B$11,Paramètres!$A$1:$I$89,3,0)*0.475*44/12</f>
        <v>4.45928551623832</v>
      </c>
      <c r="BR60" s="21">
        <f>EXP(-LN(2)/2)*BR59+(1-EXP(-LN(2)/2))/(LN(2)/2)*BL60*BO60*VLOOKUP('Données projet'!$B$11,Paramètres!$A$1:$I$89,3,0)*0.475*44/12</f>
        <v>3.9092823217834162E-4</v>
      </c>
      <c r="BS60" s="22">
        <f t="shared" si="9"/>
        <v>11.184260040662494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-5.6843418860808015E-14</v>
      </c>
      <c r="BZ60" s="13">
        <f>BY60*VLOOKUP('Données projet'!$B$12,Paramètres!$A$1:$I$89,3,0)*VLOOKUP('Données projet'!$B$12,Paramètres!$A$1:$I$89,5,0)</f>
        <v>-5.1431925385259088E-14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366.86025470473652</v>
      </c>
      <c r="CE60" s="59">
        <f t="shared" si="40"/>
        <v>513.80016421153414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1.5084039203783655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3.1954887129942401E-4</v>
      </c>
      <c r="CN60" s="22">
        <f t="shared" si="12"/>
        <v>1.5087234692496649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-5.6843418860808015E-14</v>
      </c>
      <c r="CU60" s="17">
        <f>CT60*VLOOKUP('Données projet'!$B$13,Paramètres!$A$1:$I$89,3,0)*VLOOKUP('Données projet'!$B$13,Paramètres!$A$1:$I$89,5,0)</f>
        <v>-3.1036506698001178E-14</v>
      </c>
      <c r="CV60" s="13" t="e">
        <f t="shared" si="41"/>
        <v>#NUM!</v>
      </c>
      <c r="CW60" s="20" t="e">
        <f t="shared" si="13"/>
        <v>#NUM!</v>
      </c>
      <c r="CX60" s="59" t="e">
        <f t="shared" si="14"/>
        <v>#NUM!</v>
      </c>
      <c r="CY60" s="59">
        <f ca="1">AVERAGE(OFFSET($CX$3,0,0,'Données projet'!$E$13+1,1))-AVERAGE(OFFSET($H$3,0,0,'Données projet'!$E$13+1,1))</f>
        <v>207.02306964567629</v>
      </c>
      <c r="CZ60" s="59">
        <f t="shared" si="42"/>
        <v>342.06887933351783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3.8698372255727072</v>
      </c>
      <c r="DG60" s="21">
        <f>EXP(-LN(2)/25)*DG59+(1-EXP(-LN(2)/25))/(LN(2)/25)*Calculateur!DB60*Calculateur!DD60*VLOOKUP('Données projet'!$B$13,Paramètres!$A$1:$I$89,3,0)*0.475*44/12</f>
        <v>18.410117969116349</v>
      </c>
      <c r="DH60" s="21">
        <f>EXP(-LN(2)/2)*DH59+(1-EXP(-LN(2)/2))/(LN(2)/2)*DB60*DE60*VLOOKUP('Données projet'!$B$13,Paramètres!$A$1:$I$89,3,0)*0.475*44/12</f>
        <v>1.1457730059059126E-3</v>
      </c>
      <c r="DI60" s="22">
        <f t="shared" si="15"/>
        <v>22.281100967694961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7">
        <f t="shared" si="1"/>
        <v>256.66666666666669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13.5</v>
      </c>
      <c r="N61" s="13">
        <f>IF('Données projet'!$A$36&gt;35,N60+M61-V60,IF(A61&lt;'Données projet'!$A$36,$K$205^A61,IF(A61='Données projet'!$A$36,'Données projet'!$B$36,N60+M61-V60)))</f>
        <v>321.49999999999989</v>
      </c>
      <c r="O61" s="13">
        <f>N61*VLOOKUP('Données projet'!$B$9,Paramètres!$A$1:$I$89,3,0)*VLOOKUP('Données projet'!$B$9,Paramètres!$A$1:$I$89,5,0)</f>
        <v>150.46199999999993</v>
      </c>
      <c r="P61" s="13">
        <f t="shared" si="33"/>
        <v>38.683557979918994</v>
      </c>
      <c r="Q61" s="20">
        <f t="shared" si="53"/>
        <v>329.42851348169211</v>
      </c>
      <c r="R61" s="59">
        <f t="shared" si="0"/>
        <v>622.76184681502536</v>
      </c>
      <c r="S61" s="59">
        <f ca="1">AVERAGE(OFFSET($R$3,0,0,'Données projet'!$E$9+1,1))-AVERAGE(OFFSET($H$3,0,0,'Données projet'!$E$9+1,1))</f>
        <v>319.22903094674564</v>
      </c>
      <c r="T61" s="59">
        <f t="shared" si="34"/>
        <v>254.58690973142848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5.212889128825398</v>
      </c>
      <c r="AA61" s="21">
        <f>EXP(-LN(2)/25)*AA60+(1-EXP(-LN(2)/25))/(LN(2)/25)*Calculateur!V61*Calculateur!X61*VLOOKUP('Données projet'!$B$9,Paramètres!$A$1:$I$89,3,0)*0.475*44/12</f>
        <v>5.1306535757807934</v>
      </c>
      <c r="AB61" s="21">
        <f>EXP(-LN(2)/2)*AB60+(1-EXP(-LN(2)/2))/(LN(2)/2)*V61*Y61*VLOOKUP('Données projet'!$B$9,Paramètres!$A$1:$I$89,3,0)*0.475*44/12</f>
        <v>6.7401908225087732E-4</v>
      </c>
      <c r="AC61" s="22">
        <f t="shared" si="3"/>
        <v>10.344216723688442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6.8</v>
      </c>
      <c r="AI61" s="13">
        <f>IF('Données projet'!$A$62&gt;35,AI60+AH61-AQ60,IF(A61&lt;'Données projet'!$A$62,$AF$205^A61,IF(A61='Données projet'!$A$62,'Données projet'!$B$62,AI60+AH61-AQ60)))</f>
        <v>228.40000000000023</v>
      </c>
      <c r="AJ61" s="13">
        <f>AI61*VLOOKUP('Données projet'!$B$10,Paramètres!$A$1:$I$89,3,0)*VLOOKUP('Données projet'!$B$10,Paramètres!$A$1:$I$89,5,0)</f>
        <v>199.53024000000022</v>
      </c>
      <c r="AK61" s="13">
        <f t="shared" si="35"/>
        <v>49.640914570461312</v>
      </c>
      <c r="AL61" s="20">
        <f t="shared" si="4"/>
        <v>433.97309421022049</v>
      </c>
      <c r="AM61" s="59">
        <f t="shared" si="5"/>
        <v>727.30642754355381</v>
      </c>
      <c r="AN61" s="59">
        <f ca="1">AVERAGE(OFFSET($AM$3,0,0,'Données projet'!$E$10+1,1))-AVERAGE(OFFSET($H$3,0,0,'Données projet'!$E$10+1,1))</f>
        <v>321.23599968992932</v>
      </c>
      <c r="AO61" s="59">
        <f t="shared" si="36"/>
        <v>388.05195847800502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3.8907029844510732</v>
      </c>
      <c r="AV61" s="21">
        <f>EXP(-LN(2)/25)*AV60+(1-EXP(-LN(2)/25))/(LN(2)/25)*Calculateur!AQ61*Calculateur!AS61*VLOOKUP('Données projet'!$B$10,Paramètres!$A$1:$I$89,3,0)*0.475*44/12</f>
        <v>7.0403853008972224</v>
      </c>
      <c r="AW61" s="21">
        <f>EXP(-LN(2)/2)*AW60+(1-EXP(-LN(2)/2))/(LN(2)/2)*AQ61*AT61*VLOOKUP('Données projet'!$B$10,Paramètres!$A$1:$I$89,3,0)*0.475*44/12</f>
        <v>1.0327943874270668E-3</v>
      </c>
      <c r="AX61" s="21">
        <f t="shared" si="6"/>
        <v>10.932121079735722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2.625</v>
      </c>
      <c r="BD61" s="12">
        <f>IF('Données projet'!$A$88&gt;35,BD60+BC61-BL60,IF(A61&lt;'Données projet'!$A$88,$BA$205^A61,IF(A61='Données projet'!$A$88,'Données projet'!$B$88,BD60+BC61-BL60)))</f>
        <v>305.50000000000011</v>
      </c>
      <c r="BE61" s="13">
        <f>BD61*VLOOKUP('Données projet'!$B$11,Paramètres!$A$1:$I$89,3,0)*VLOOKUP('Données projet'!$B$11,Paramètres!$A$1:$I$89,5,0)</f>
        <v>182.68900000000008</v>
      </c>
      <c r="BF61" s="13">
        <f t="shared" si="37"/>
        <v>45.919921846619154</v>
      </c>
      <c r="BG61" s="20">
        <f t="shared" si="7"/>
        <v>398.16053888286183</v>
      </c>
      <c r="BH61" s="59">
        <f t="shared" si="8"/>
        <v>691.49387221619509</v>
      </c>
      <c r="BI61" s="59">
        <f ca="1">AVERAGE(OFFSET($BH$3,0,0,'Données projet'!$E$11+1,1))-AVERAGE(OFFSET($H$3,0,0,'Données projet'!$E$11+1,1))</f>
        <v>258.31845364515124</v>
      </c>
      <c r="BJ61" s="59">
        <f t="shared" si="38"/>
        <v>280.26155987300996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6.5927186134616651</v>
      </c>
      <c r="BQ61" s="21">
        <f>EXP(-LN(2)/25)*BQ60+(1-EXP(-LN(2)/25))/(LN(2)/25)*Calculateur!BL61*Calculateur!BN61*VLOOKUP('Données projet'!$B$11,Paramètres!$A$1:$I$89,3,0)*0.475*44/12</f>
        <v>4.3373461192931497</v>
      </c>
      <c r="BR61" s="21">
        <f>EXP(-LN(2)/2)*BR60+(1-EXP(-LN(2)/2))/(LN(2)/2)*BL61*BO61*VLOOKUP('Données projet'!$B$11,Paramètres!$A$1:$I$89,3,0)*0.475*44/12</f>
        <v>2.7642800393057446E-4</v>
      </c>
      <c r="BS61" s="22">
        <f t="shared" si="9"/>
        <v>10.930341160758745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-5.6843418860808015E-14</v>
      </c>
      <c r="BZ61" s="13">
        <f>BY61*VLOOKUP('Données projet'!$B$12,Paramètres!$A$1:$I$89,3,0)*VLOOKUP('Données projet'!$B$12,Paramètres!$A$1:$I$89,5,0)</f>
        <v>-5.1431925385259088E-14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366.86025470473652</v>
      </c>
      <c r="CE61" s="59">
        <f t="shared" si="40"/>
        <v>513.80016421153414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1.4788250395352911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2.2595517381633005E-4</v>
      </c>
      <c r="CN61" s="22">
        <f t="shared" si="12"/>
        <v>1.4790509947091075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-5.6843418860808015E-14</v>
      </c>
      <c r="CU61" s="17">
        <f>CT61*VLOOKUP('Données projet'!$B$13,Paramètres!$A$1:$I$89,3,0)*VLOOKUP('Données projet'!$B$13,Paramètres!$A$1:$I$89,5,0)</f>
        <v>-3.1036506698001178E-14</v>
      </c>
      <c r="CV61" s="13" t="e">
        <f t="shared" si="41"/>
        <v>#NUM!</v>
      </c>
      <c r="CW61" s="20" t="e">
        <f t="shared" si="13"/>
        <v>#NUM!</v>
      </c>
      <c r="CX61" s="59" t="e">
        <f t="shared" si="14"/>
        <v>#NUM!</v>
      </c>
      <c r="CY61" s="59">
        <f ca="1">AVERAGE(OFFSET($CX$3,0,0,'Données projet'!$E$13+1,1))-AVERAGE(OFFSET($H$3,0,0,'Données projet'!$E$13+1,1))</f>
        <v>207.02306964567629</v>
      </c>
      <c r="CZ61" s="59">
        <f t="shared" si="42"/>
        <v>342.06887933351783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3.7939520779468672</v>
      </c>
      <c r="DG61" s="21">
        <f>EXP(-LN(2)/25)*DG60+(1-EXP(-LN(2)/25))/(LN(2)/25)*Calculateur!DB61*Calculateur!DD61*VLOOKUP('Données projet'!$B$13,Paramètres!$A$1:$I$89,3,0)*0.475*44/12</f>
        <v>17.906692325104835</v>
      </c>
      <c r="DH61" s="21">
        <f>EXP(-LN(2)/2)*DH60+(1-EXP(-LN(2)/2))/(LN(2)/2)*DB61*DE61*VLOOKUP('Données projet'!$B$13,Paramètres!$A$1:$I$89,3,0)*0.475*44/12</f>
        <v>8.1018386217656497E-4</v>
      </c>
      <c r="DI61" s="22">
        <f t="shared" si="15"/>
        <v>21.701454586913876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7">
        <f t="shared" si="1"/>
        <v>256.66666666666669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13.5</v>
      </c>
      <c r="N62" s="13">
        <f>IF('Données projet'!$A$36&gt;35,N61+M62-V61,IF(A62&lt;'Données projet'!$A$36,$K$205^A62,IF(A62='Données projet'!$A$36,'Données projet'!$B$36,N61+M62-V61)))</f>
        <v>334.99999999999989</v>
      </c>
      <c r="O62" s="13">
        <f>N62*VLOOKUP('Données projet'!$B$9,Paramètres!$A$1:$I$89,3,0)*VLOOKUP('Données projet'!$B$9,Paramètres!$A$1:$I$89,5,0)</f>
        <v>156.77999999999994</v>
      </c>
      <c r="P62" s="13">
        <f t="shared" si="33"/>
        <v>40.115378305457938</v>
      </c>
      <c r="Q62" s="20">
        <f t="shared" si="53"/>
        <v>342.92611721533916</v>
      </c>
      <c r="R62" s="59">
        <f t="shared" si="0"/>
        <v>636.25945054867248</v>
      </c>
      <c r="S62" s="59">
        <f ca="1">AVERAGE(OFFSET($R$3,0,0,'Données projet'!$E$9+1,1))-AVERAGE(OFFSET($H$3,0,0,'Données projet'!$E$9+1,1))</f>
        <v>319.22903094674564</v>
      </c>
      <c r="T62" s="59">
        <f t="shared" si="34"/>
        <v>254.58690973142848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5.1106675525575458</v>
      </c>
      <c r="AA62" s="21">
        <f>EXP(-LN(2)/25)*AA61+(1-EXP(-LN(2)/25))/(LN(2)/25)*Calculateur!V62*Calculateur!X62*VLOOKUP('Données projet'!$B$9,Paramètres!$A$1:$I$89,3,0)*0.475*44/12</f>
        <v>4.9903555839417226</v>
      </c>
      <c r="AB62" s="21">
        <f>EXP(-LN(2)/2)*AB61+(1-EXP(-LN(2)/2))/(LN(2)/2)*V62*Y62*VLOOKUP('Données projet'!$B$9,Paramètres!$A$1:$I$89,3,0)*0.475*44/12</f>
        <v>4.7660346370872873E-4</v>
      </c>
      <c r="AC62" s="22">
        <f t="shared" si="3"/>
        <v>10.101499739962977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6.8</v>
      </c>
      <c r="AI62" s="13">
        <f>IF('Données projet'!$A$62&gt;35,AI61+AH62-AQ61,IF(A62&lt;'Données projet'!$A$62,$AF$205^A62,IF(A62='Données projet'!$A$62,'Données projet'!$B$62,AI61+AH62-AQ61)))</f>
        <v>235.20000000000024</v>
      </c>
      <c r="AJ62" s="13">
        <f>AI62*VLOOKUP('Données projet'!$B$10,Paramètres!$A$1:$I$89,3,0)*VLOOKUP('Données projet'!$B$10,Paramètres!$A$1:$I$89,5,0)</f>
        <v>205.47072000000026</v>
      </c>
      <c r="AK62" s="13">
        <f t="shared" si="35"/>
        <v>50.944571570352757</v>
      </c>
      <c r="AL62" s="20">
        <f t="shared" si="4"/>
        <v>446.58996615169809</v>
      </c>
      <c r="AM62" s="59">
        <f t="shared" si="5"/>
        <v>739.92329948503141</v>
      </c>
      <c r="AN62" s="59">
        <f ca="1">AVERAGE(OFFSET($AM$3,0,0,'Données projet'!$E$10+1,1))-AVERAGE(OFFSET($H$3,0,0,'Données projet'!$E$10+1,1))</f>
        <v>321.23599968992932</v>
      </c>
      <c r="AO62" s="59">
        <f t="shared" si="36"/>
        <v>388.05195847800502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3.8144086720204844</v>
      </c>
      <c r="AV62" s="21">
        <f>EXP(-LN(2)/25)*AV61+(1-EXP(-LN(2)/25))/(LN(2)/25)*Calculateur!AQ62*Calculateur!AS62*VLOOKUP('Données projet'!$B$10,Paramètres!$A$1:$I$89,3,0)*0.475*44/12</f>
        <v>6.8478655946064162</v>
      </c>
      <c r="AW62" s="21">
        <f>EXP(-LN(2)/2)*AW61+(1-EXP(-LN(2)/2))/(LN(2)/2)*AQ62*AT62*VLOOKUP('Données projet'!$B$10,Paramètres!$A$1:$I$89,3,0)*0.475*44/12</f>
        <v>7.3029591492108535E-4</v>
      </c>
      <c r="AX62" s="21">
        <f t="shared" si="6"/>
        <v>10.663004562541822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2.625</v>
      </c>
      <c r="BD62" s="12">
        <f>IF('Données projet'!$A$88&gt;35,BD61+BC62-BL61,IF(A62&lt;'Données projet'!$A$88,$BA$205^A62,IF(A62='Données projet'!$A$88,'Données projet'!$B$88,BD61+BC62-BL61)))</f>
        <v>308.12500000000011</v>
      </c>
      <c r="BE62" s="13">
        <f>BD62*VLOOKUP('Données projet'!$B$11,Paramètres!$A$1:$I$89,3,0)*VLOOKUP('Données projet'!$B$11,Paramètres!$A$1:$I$89,5,0)</f>
        <v>184.25875000000011</v>
      </c>
      <c r="BF62" s="13">
        <f t="shared" si="37"/>
        <v>46.26838622983076</v>
      </c>
      <c r="BG62" s="20">
        <f t="shared" si="7"/>
        <v>401.50142893362204</v>
      </c>
      <c r="BH62" s="59">
        <f t="shared" si="8"/>
        <v>694.83476226695529</v>
      </c>
      <c r="BI62" s="59">
        <f ca="1">AVERAGE(OFFSET($BH$3,0,0,'Données projet'!$E$11+1,1))-AVERAGE(OFFSET($H$3,0,0,'Données projet'!$E$11+1,1))</f>
        <v>258.31845364515124</v>
      </c>
      <c r="BJ62" s="59">
        <f t="shared" si="38"/>
        <v>280.26155987300996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6.4634394226129794</v>
      </c>
      <c r="BQ62" s="21">
        <f>EXP(-LN(2)/25)*BQ61+(1-EXP(-LN(2)/25))/(LN(2)/25)*Calculateur!BL62*Calculateur!BN62*VLOOKUP('Données projet'!$B$11,Paramètres!$A$1:$I$89,3,0)*0.475*44/12</f>
        <v>4.2187411615699597</v>
      </c>
      <c r="BR62" s="21">
        <f>EXP(-LN(2)/2)*BR61+(1-EXP(-LN(2)/2))/(LN(2)/2)*BL62*BO62*VLOOKUP('Données projet'!$B$11,Paramètres!$A$1:$I$89,3,0)*0.475*44/12</f>
        <v>1.9546411608917081E-4</v>
      </c>
      <c r="BS62" s="22">
        <f t="shared" si="9"/>
        <v>10.682376048299028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-5.6843418860808015E-14</v>
      </c>
      <c r="BZ62" s="13">
        <f>BY62*VLOOKUP('Données projet'!$B$12,Paramètres!$A$1:$I$89,3,0)*VLOOKUP('Données projet'!$B$12,Paramètres!$A$1:$I$89,5,0)</f>
        <v>-5.1431925385259088E-14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366.86025470473652</v>
      </c>
      <c r="CE62" s="59">
        <f t="shared" si="40"/>
        <v>513.80016421153414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1.4498261825042136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1.59774435649712E-4</v>
      </c>
      <c r="CN62" s="22">
        <f t="shared" si="12"/>
        <v>1.4499859569398632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-5.6843418860808015E-14</v>
      </c>
      <c r="CU62" s="17">
        <f>CT62*VLOOKUP('Données projet'!$B$13,Paramètres!$A$1:$I$89,3,0)*VLOOKUP('Données projet'!$B$13,Paramètres!$A$1:$I$89,5,0)</f>
        <v>-3.1036506698001178E-14</v>
      </c>
      <c r="CV62" s="13" t="e">
        <f t="shared" si="41"/>
        <v>#NUM!</v>
      </c>
      <c r="CW62" s="20" t="e">
        <f t="shared" si="13"/>
        <v>#NUM!</v>
      </c>
      <c r="CX62" s="59" t="e">
        <f t="shared" si="14"/>
        <v>#NUM!</v>
      </c>
      <c r="CY62" s="59">
        <f ca="1">AVERAGE(OFFSET($CX$3,0,0,'Données projet'!$E$13+1,1))-AVERAGE(OFFSET($H$3,0,0,'Données projet'!$E$13+1,1))</f>
        <v>207.02306964567629</v>
      </c>
      <c r="CZ62" s="59">
        <f t="shared" si="42"/>
        <v>342.06887933351783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3.7195549917805999</v>
      </c>
      <c r="DG62" s="21">
        <f>EXP(-LN(2)/25)*DG61+(1-EXP(-LN(2)/25))/(LN(2)/25)*Calculateur!DB62*Calculateur!DD62*VLOOKUP('Données projet'!$B$13,Paramètres!$A$1:$I$89,3,0)*0.475*44/12</f>
        <v>17.417032881802822</v>
      </c>
      <c r="DH62" s="21">
        <f>EXP(-LN(2)/2)*DH61+(1-EXP(-LN(2)/2))/(LN(2)/2)*DB62*DE62*VLOOKUP('Données projet'!$B$13,Paramètres!$A$1:$I$89,3,0)*0.475*44/12</f>
        <v>5.7288650295295629E-4</v>
      </c>
      <c r="DI62" s="22">
        <f t="shared" si="15"/>
        <v>21.137160760086378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7">
        <f t="shared" si="1"/>
        <v>256.66666666666669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348.5</v>
      </c>
      <c r="L63" s="12">
        <f>VLOOKUP(A63,'Données projet'!$A$35:$I$55,9,0)</f>
        <v>13.5</v>
      </c>
      <c r="M63" s="12">
        <f t="array" ref="M63">INDEX(L:L,MIN(IF(ISNUMBER(L63:L259),ROW(L63:L259),"")))</f>
        <v>13.5</v>
      </c>
      <c r="N63" s="13">
        <f>IF('Données projet'!$A$36&gt;35,N62+M63-V62,IF(A63&lt;'Données projet'!$A$36,$K$205^A63,IF(A63='Données projet'!$A$36,'Données projet'!$B$36,N62+M63-V62)))</f>
        <v>348.49999999999989</v>
      </c>
      <c r="O63" s="13">
        <f>N63*VLOOKUP('Données projet'!$B$9,Paramètres!$A$1:$I$89,3,0)*VLOOKUP('Données projet'!$B$9,Paramètres!$A$1:$I$89,5,0)</f>
        <v>163.09799999999993</v>
      </c>
      <c r="P63" s="13">
        <f t="shared" si="33"/>
        <v>41.540496136845142</v>
      </c>
      <c r="Q63" s="20">
        <f t="shared" si="53"/>
        <v>356.4120474383385</v>
      </c>
      <c r="R63" s="59">
        <f t="shared" si="0"/>
        <v>649.74538077167176</v>
      </c>
      <c r="S63" s="59">
        <f ca="1">AVERAGE(OFFSET($R$3,0,0,'Données projet'!$E$9+1,1))-AVERAGE(OFFSET($H$3,0,0,'Données projet'!$E$9+1,1))</f>
        <v>319.22903094674564</v>
      </c>
      <c r="T63" s="59">
        <f t="shared" si="34"/>
        <v>254.58690973142848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80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5.0104504790513014</v>
      </c>
      <c r="AA63" s="21">
        <f>EXP(-LN(2)/25)*AA62+(1-EXP(-LN(2)/25))/(LN(2)/25)*Calculateur!V63*Calculateur!X63*VLOOKUP('Données projet'!$B$9,Paramètres!$A$1:$I$89,3,0)*0.475*44/12</f>
        <v>4.853894048067442</v>
      </c>
      <c r="AB63" s="21">
        <f>EXP(-LN(2)/2)*AB62+(1-EXP(-LN(2)/2))/(LN(2)/2)*V63*Y63*VLOOKUP('Données projet'!$B$9,Paramètres!$A$1:$I$89,3,0)*0.475*44/12</f>
        <v>3.3700954112543871E-4</v>
      </c>
      <c r="AC63" s="22">
        <f t="shared" si="3"/>
        <v>9.8646815366598677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242</v>
      </c>
      <c r="AG63" s="12">
        <f>VLOOKUP(A63,'Données projet'!$A$61:$I$81,9,0)</f>
        <v>6.8</v>
      </c>
      <c r="AH63" s="12">
        <f t="array" ref="AH63">INDEX(AG:AG,MIN(IF(ISNUMBER(AG63:AG259),ROW(AG63:AG259),"")))</f>
        <v>6.8</v>
      </c>
      <c r="AI63" s="13">
        <f>IF('Données projet'!$A$62&gt;35,AI62+AH63-AQ62,IF(A63&lt;'Données projet'!$A$62,$AF$205^A63,IF(A63='Données projet'!$A$62,'Données projet'!$B$62,AI62+AH63-AQ62)))</f>
        <v>242.00000000000026</v>
      </c>
      <c r="AJ63" s="13">
        <f>AI63*VLOOKUP('Données projet'!$B$10,Paramètres!$A$1:$I$89,3,0)*VLOOKUP('Données projet'!$B$10,Paramètres!$A$1:$I$89,5,0)</f>
        <v>211.41120000000024</v>
      </c>
      <c r="AK63" s="13">
        <f t="shared" si="35"/>
        <v>52.243848094411206</v>
      </c>
      <c r="AL63" s="20">
        <f t="shared" si="4"/>
        <v>459.19920876443319</v>
      </c>
      <c r="AM63" s="59">
        <f t="shared" si="5"/>
        <v>752.53254209776651</v>
      </c>
      <c r="AN63" s="59">
        <f ca="1">AVERAGE(OFFSET($AM$3,0,0,'Données projet'!$E$10+1,1))-AVERAGE(OFFSET($H$3,0,0,'Données projet'!$E$10+1,1))</f>
        <v>321.23599968992932</v>
      </c>
      <c r="AO63" s="59">
        <f t="shared" si="36"/>
        <v>388.05195847800502</v>
      </c>
      <c r="AP63" s="15">
        <f>IF(ISNA(VLOOKUP(A63,'Données projet'!$A$61:$I$81,3,0)),0,VLOOKUP(A63,'Données projet'!$A$61:$I$81,3,0))</f>
        <v>10</v>
      </c>
      <c r="AQ63" s="15">
        <f>IF(ISNA(VLOOKUP(A63,'Données projet'!$A$61:$I$81,4,0)),0,VLOOKUP(A63,'Données projet'!$A$61:$I$81,4,0))</f>
        <v>26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3.7396104445217238</v>
      </c>
      <c r="AV63" s="21">
        <f>EXP(-LN(2)/25)*AV62+(1-EXP(-LN(2)/25))/(LN(2)/25)*Calculateur!AQ63*Calculateur!AS63*VLOOKUP('Données projet'!$B$10,Paramètres!$A$1:$I$89,3,0)*0.475*44/12</f>
        <v>6.6606103498083034</v>
      </c>
      <c r="AW63" s="21">
        <f>EXP(-LN(2)/2)*AW62+(1-EXP(-LN(2)/2))/(LN(2)/2)*AQ63*AT63*VLOOKUP('Données projet'!$B$10,Paramètres!$A$1:$I$89,3,0)*0.475*44/12</f>
        <v>5.1639719371353342E-4</v>
      </c>
      <c r="AX63" s="21">
        <f t="shared" si="6"/>
        <v>10.40073719152374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2.625</v>
      </c>
      <c r="BD63" s="12">
        <f>IF('Données projet'!$A$88&gt;35,BD62+BC63-BL62,IF(A63&lt;'Données projet'!$A$88,$BA$205^A63,IF(A63='Données projet'!$A$88,'Données projet'!$B$88,BD62+BC63-BL62)))</f>
        <v>310.75000000000011</v>
      </c>
      <c r="BE63" s="13">
        <f>BD63*VLOOKUP('Données projet'!$B$11,Paramètres!$A$1:$I$89,3,0)*VLOOKUP('Données projet'!$B$11,Paramètres!$A$1:$I$89,5,0)</f>
        <v>185.82850000000008</v>
      </c>
      <c r="BF63" s="13">
        <f t="shared" si="37"/>
        <v>46.616505227631926</v>
      </c>
      <c r="BG63" s="20">
        <f t="shared" si="7"/>
        <v>404.84171743812567</v>
      </c>
      <c r="BH63" s="59">
        <f t="shared" si="8"/>
        <v>698.17505077145893</v>
      </c>
      <c r="BI63" s="59">
        <f ca="1">AVERAGE(OFFSET($BH$3,0,0,'Données projet'!$E$11+1,1))-AVERAGE(OFFSET($H$3,0,0,'Données projet'!$E$11+1,1))</f>
        <v>258.31845364515124</v>
      </c>
      <c r="BJ63" s="59">
        <f t="shared" si="38"/>
        <v>280.26155987300996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6.3366953178443159</v>
      </c>
      <c r="BQ63" s="21">
        <f>EXP(-LN(2)/25)*BQ62+(1-EXP(-LN(2)/25))/(LN(2)/25)*Calculateur!BL63*Calculateur!BN63*VLOOKUP('Données projet'!$B$11,Paramètres!$A$1:$I$89,3,0)*0.475*44/12</f>
        <v>4.1033794626528737</v>
      </c>
      <c r="BR63" s="21">
        <f>EXP(-LN(2)/2)*BR62+(1-EXP(-LN(2)/2))/(LN(2)/2)*BL63*BO63*VLOOKUP('Données projet'!$B$11,Paramètres!$A$1:$I$89,3,0)*0.475*44/12</f>
        <v>1.3821400196528723E-4</v>
      </c>
      <c r="BS63" s="22">
        <f t="shared" si="9"/>
        <v>10.440212994499156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-5.6843418860808015E-14</v>
      </c>
      <c r="BZ63" s="13">
        <f>BY63*VLOOKUP('Données projet'!$B$12,Paramètres!$A$1:$I$89,3,0)*VLOOKUP('Données projet'!$B$12,Paramètres!$A$1:$I$89,5,0)</f>
        <v>-5.1431925385259088E-14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366.86025470473652</v>
      </c>
      <c r="CE63" s="59">
        <f t="shared" si="40"/>
        <v>513.80016421153414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1.4213959753719592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1.1297758690816503E-4</v>
      </c>
      <c r="CN63" s="22">
        <f t="shared" si="12"/>
        <v>1.4215089529588674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-5.6843418860808015E-14</v>
      </c>
      <c r="CU63" s="17">
        <f>CT63*VLOOKUP('Données projet'!$B$13,Paramètres!$A$1:$I$89,3,0)*VLOOKUP('Données projet'!$B$13,Paramètres!$A$1:$I$89,5,0)</f>
        <v>-3.1036506698001178E-14</v>
      </c>
      <c r="CV63" s="13" t="e">
        <f t="shared" si="41"/>
        <v>#NUM!</v>
      </c>
      <c r="CW63" s="20" t="e">
        <f t="shared" si="13"/>
        <v>#NUM!</v>
      </c>
      <c r="CX63" s="59" t="e">
        <f t="shared" si="14"/>
        <v>#NUM!</v>
      </c>
      <c r="CY63" s="59">
        <f ca="1">AVERAGE(OFFSET($CX$3,0,0,'Données projet'!$E$13+1,1))-AVERAGE(OFFSET($H$3,0,0,'Données projet'!$E$13+1,1))</f>
        <v>207.02306964567629</v>
      </c>
      <c r="CZ63" s="59">
        <f t="shared" si="42"/>
        <v>342.06887933351783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3.6466167870963115</v>
      </c>
      <c r="DG63" s="21">
        <f>EXP(-LN(2)/25)*DG62+(1-EXP(-LN(2)/25))/(LN(2)/25)*Calculateur!DB63*Calculateur!DD63*VLOOKUP('Données projet'!$B$13,Paramètres!$A$1:$I$89,3,0)*0.475*44/12</f>
        <v>16.940763201727972</v>
      </c>
      <c r="DH63" s="21">
        <f>EXP(-LN(2)/2)*DH62+(1-EXP(-LN(2)/2))/(LN(2)/2)*DB63*DE63*VLOOKUP('Données projet'!$B$13,Paramètres!$A$1:$I$89,3,0)*0.475*44/12</f>
        <v>4.0509193108828248E-4</v>
      </c>
      <c r="DI63" s="22">
        <f t="shared" si="15"/>
        <v>20.587785080755371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7">
        <f t="shared" si="1"/>
        <v>256.66666666666669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</v>
      </c>
      <c r="N64" s="13">
        <f>IF('Données projet'!$A$36&gt;35,N63+M64-V63,IF(A64&lt;'Données projet'!$A$36,$K$205^A64,IF(A64='Données projet'!$A$36,'Données projet'!$B$36,N63+M64-V63)))</f>
        <v>283.99999999999989</v>
      </c>
      <c r="O64" s="13">
        <f>N64*VLOOKUP('Données projet'!$B$9,Paramètres!$A$1:$I$89,3,0)*VLOOKUP('Données projet'!$B$9,Paramètres!$A$1:$I$89,5,0)</f>
        <v>132.91199999999995</v>
      </c>
      <c r="P64" s="13">
        <f t="shared" si="33"/>
        <v>34.668367043546574</v>
      </c>
      <c r="Q64" s="20">
        <f t="shared" si="53"/>
        <v>291.86913926751021</v>
      </c>
      <c r="R64" s="59">
        <f t="shared" si="0"/>
        <v>585.20247260084352</v>
      </c>
      <c r="S64" s="59">
        <f ca="1">AVERAGE(OFFSET($R$3,0,0,'Données projet'!$E$9+1,1))-AVERAGE(OFFSET($H$3,0,0,'Données projet'!$E$9+1,1))</f>
        <v>319.22903094674564</v>
      </c>
      <c r="T64" s="59">
        <f t="shared" si="34"/>
        <v>254.58690973142848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4.9121986012301351</v>
      </c>
      <c r="AA64" s="21">
        <f>EXP(-LN(2)/25)*AA63+(1-EXP(-LN(2)/25))/(LN(2)/25)*Calculateur!V64*Calculateur!X64*VLOOKUP('Données projet'!$B$9,Paramètres!$A$1:$I$89,3,0)*0.475*44/12</f>
        <v>4.7211640600678431</v>
      </c>
      <c r="AB64" s="21">
        <f>EXP(-LN(2)/2)*AB63+(1-EXP(-LN(2)/2))/(LN(2)/2)*V64*Y64*VLOOKUP('Données projet'!$B$9,Paramètres!$A$1:$I$89,3,0)*0.475*44/12</f>
        <v>2.3830173185436439E-4</v>
      </c>
      <c r="AC64" s="22">
        <f t="shared" si="3"/>
        <v>9.6336009630298332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6</v>
      </c>
      <c r="AI64" s="13">
        <f>IF('Données projet'!$A$62&gt;35,AI63+AH64-AQ63,IF(A64&lt;'Données projet'!$A$62,$AF$205^A64,IF(A64='Données projet'!$A$62,'Données projet'!$B$62,AI63+AH64-AQ63)))</f>
        <v>222.00000000000026</v>
      </c>
      <c r="AJ64" s="13">
        <f>AI64*VLOOKUP('Données projet'!$B$10,Paramètres!$A$1:$I$89,3,0)*VLOOKUP('Données projet'!$B$10,Paramètres!$A$1:$I$89,5,0)</f>
        <v>193.93920000000023</v>
      </c>
      <c r="AK64" s="13">
        <f t="shared" si="35"/>
        <v>48.409811198069427</v>
      </c>
      <c r="AL64" s="20">
        <f t="shared" si="4"/>
        <v>422.09119450330468</v>
      </c>
      <c r="AM64" s="59">
        <f t="shared" si="5"/>
        <v>715.42452783663794</v>
      </c>
      <c r="AN64" s="59">
        <f ca="1">AVERAGE(OFFSET($AM$3,0,0,'Données projet'!$E$10+1,1))-AVERAGE(OFFSET($H$3,0,0,'Données projet'!$E$10+1,1))</f>
        <v>321.23599968992932</v>
      </c>
      <c r="AO64" s="59">
        <f t="shared" si="36"/>
        <v>388.05195847800502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3.6662789646417999</v>
      </c>
      <c r="AV64" s="21">
        <f>EXP(-LN(2)/25)*AV63+(1-EXP(-LN(2)/25))/(LN(2)/25)*Calculateur!AQ64*Calculateur!AS64*VLOOKUP('Données projet'!$B$10,Paramètres!$A$1:$I$89,3,0)*0.475*44/12</f>
        <v>6.4784756095265204</v>
      </c>
      <c r="AW64" s="21">
        <f>EXP(-LN(2)/2)*AW63+(1-EXP(-LN(2)/2))/(LN(2)/2)*AQ64*AT64*VLOOKUP('Données projet'!$B$10,Paramètres!$A$1:$I$89,3,0)*0.475*44/12</f>
        <v>3.6514795746054267E-4</v>
      </c>
      <c r="AX64" s="21">
        <f t="shared" si="6"/>
        <v>10.145119722125781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2.625</v>
      </c>
      <c r="BD64" s="12">
        <f>IF('Données projet'!$A$88&gt;35,BD63+BC64-BL63,IF(A64&lt;'Données projet'!$A$88,$BA$205^A64,IF(A64='Données projet'!$A$88,'Données projet'!$B$88,BD63+BC64-BL63)))</f>
        <v>313.37500000000011</v>
      </c>
      <c r="BE64" s="13">
        <f>BD64*VLOOKUP('Données projet'!$B$11,Paramètres!$A$1:$I$89,3,0)*VLOOKUP('Données projet'!$B$11,Paramètres!$A$1:$I$89,5,0)</f>
        <v>187.39825000000008</v>
      </c>
      <c r="BF64" s="13">
        <f t="shared" si="37"/>
        <v>46.964282095681376</v>
      </c>
      <c r="BG64" s="20">
        <f t="shared" si="7"/>
        <v>408.18141006664518</v>
      </c>
      <c r="BH64" s="59">
        <f t="shared" si="8"/>
        <v>701.51474339997844</v>
      </c>
      <c r="BI64" s="59">
        <f ca="1">AVERAGE(OFFSET($BH$3,0,0,'Données projet'!$E$11+1,1))-AVERAGE(OFFSET($H$3,0,0,'Données projet'!$E$11+1,1))</f>
        <v>258.31845364515124</v>
      </c>
      <c r="BJ64" s="59">
        <f t="shared" si="38"/>
        <v>280.26155987300996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6.2124365876638956</v>
      </c>
      <c r="BQ64" s="21">
        <f>EXP(-LN(2)/25)*BQ63+(1-EXP(-LN(2)/25))/(LN(2)/25)*Calculateur!BL64*Calculateur!BN64*VLOOKUP('Données projet'!$B$11,Paramètres!$A$1:$I$89,3,0)*0.475*44/12</f>
        <v>3.9911723354592832</v>
      </c>
      <c r="BR64" s="21">
        <f>EXP(-LN(2)/2)*BR63+(1-EXP(-LN(2)/2))/(LN(2)/2)*BL64*BO64*VLOOKUP('Données projet'!$B$11,Paramètres!$A$1:$I$89,3,0)*0.475*44/12</f>
        <v>9.7732058044585406E-5</v>
      </c>
      <c r="BS64" s="22">
        <f t="shared" si="9"/>
        <v>10.203706655181223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-5.6843418860808015E-14</v>
      </c>
      <c r="BZ64" s="13">
        <f>BY64*VLOOKUP('Données projet'!$B$12,Paramètres!$A$1:$I$89,3,0)*VLOOKUP('Données projet'!$B$12,Paramètres!$A$1:$I$89,5,0)</f>
        <v>-5.1431925385259088E-14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366.86025470473652</v>
      </c>
      <c r="CE64" s="59">
        <f t="shared" si="40"/>
        <v>513.80016421153414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1.3935232672608542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7.9887217824856001E-5</v>
      </c>
      <c r="CN64" s="22">
        <f t="shared" si="12"/>
        <v>1.3936031544786791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-5.6843418860808015E-14</v>
      </c>
      <c r="CU64" s="17">
        <f>CT64*VLOOKUP('Données projet'!$B$13,Paramètres!$A$1:$I$89,3,0)*VLOOKUP('Données projet'!$B$13,Paramètres!$A$1:$I$89,5,0)</f>
        <v>-3.1036506698001178E-14</v>
      </c>
      <c r="CV64" s="13" t="e">
        <f t="shared" si="41"/>
        <v>#NUM!</v>
      </c>
      <c r="CW64" s="20" t="e">
        <f t="shared" si="13"/>
        <v>#NUM!</v>
      </c>
      <c r="CX64" s="59" t="e">
        <f t="shared" si="14"/>
        <v>#NUM!</v>
      </c>
      <c r="CY64" s="59">
        <f ca="1">AVERAGE(OFFSET($CX$3,0,0,'Données projet'!$E$13+1,1))-AVERAGE(OFFSET($H$3,0,0,'Données projet'!$E$13+1,1))</f>
        <v>207.02306964567629</v>
      </c>
      <c r="CZ64" s="59">
        <f t="shared" si="42"/>
        <v>342.06887933351783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3.57510885611797</v>
      </c>
      <c r="DG64" s="21">
        <f>EXP(-LN(2)/25)*DG63+(1-EXP(-LN(2)/25))/(LN(2)/25)*Calculateur!DB64*Calculateur!DD64*VLOOKUP('Données projet'!$B$13,Paramètres!$A$1:$I$89,3,0)*0.475*44/12</f>
        <v>16.477517141100702</v>
      </c>
      <c r="DH64" s="21">
        <f>EXP(-LN(2)/2)*DH63+(1-EXP(-LN(2)/2))/(LN(2)/2)*DB64*DE64*VLOOKUP('Données projet'!$B$13,Paramètres!$A$1:$I$89,3,0)*0.475*44/12</f>
        <v>2.8644325147647815E-4</v>
      </c>
      <c r="DI64" s="22">
        <f t="shared" si="15"/>
        <v>20.052912440470148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7">
        <f t="shared" si="1"/>
        <v>256.66666666666669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</v>
      </c>
      <c r="N65" s="13">
        <f>IF('Données projet'!$A$36&gt;35,N64+M65-V64,IF(A65&lt;'Données projet'!$A$36,$K$205^A65,IF(A65='Données projet'!$A$36,'Données projet'!$B$36,N64+M65-V64)))</f>
        <v>299.49999999999989</v>
      </c>
      <c r="O65" s="13">
        <f>N65*VLOOKUP('Données projet'!$B$9,Paramètres!$A$1:$I$89,3,0)*VLOOKUP('Données projet'!$B$9,Paramètres!$A$1:$I$89,5,0)</f>
        <v>140.16599999999994</v>
      </c>
      <c r="P65" s="13">
        <f t="shared" si="33"/>
        <v>36.33503114084008</v>
      </c>
      <c r="Q65" s="20">
        <f t="shared" si="53"/>
        <v>307.40596257029637</v>
      </c>
      <c r="R65" s="59">
        <f t="shared" si="0"/>
        <v>600.73929590362968</v>
      </c>
      <c r="S65" s="59">
        <f ca="1">AVERAGE(OFFSET($R$3,0,0,'Données projet'!$E$9+1,1))-AVERAGE(OFFSET($H$3,0,0,'Données projet'!$E$9+1,1))</f>
        <v>319.22903094674564</v>
      </c>
      <c r="T65" s="59">
        <f t="shared" si="34"/>
        <v>254.58690973142848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4.8158733828053144</v>
      </c>
      <c r="AA65" s="21">
        <f>EXP(-LN(2)/25)*AA64+(1-EXP(-LN(2)/25))/(LN(2)/25)*Calculateur!V65*Calculateur!X65*VLOOKUP('Données projet'!$B$9,Paramètres!$A$1:$I$89,3,0)*0.475*44/12</f>
        <v>4.59206358057006</v>
      </c>
      <c r="AB65" s="21">
        <f>EXP(-LN(2)/2)*AB64+(1-EXP(-LN(2)/2))/(LN(2)/2)*V65*Y65*VLOOKUP('Données projet'!$B$9,Paramètres!$A$1:$I$89,3,0)*0.475*44/12</f>
        <v>1.6850477056271938E-4</v>
      </c>
      <c r="AC65" s="22">
        <f t="shared" si="3"/>
        <v>9.4081054681459371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6</v>
      </c>
      <c r="AI65" s="13">
        <f>IF('Données projet'!$A$62&gt;35,AI64+AH65-AQ64,IF(A65&lt;'Données projet'!$A$62,$AF$205^A65,IF(A65='Données projet'!$A$62,'Données projet'!$B$62,AI64+AH65-AQ64)))</f>
        <v>228.00000000000026</v>
      </c>
      <c r="AJ65" s="13">
        <f>AI65*VLOOKUP('Données projet'!$B$10,Paramètres!$A$1:$I$89,3,0)*VLOOKUP('Données projet'!$B$10,Paramètres!$A$1:$I$89,5,0)</f>
        <v>199.18080000000023</v>
      </c>
      <c r="AK65" s="13">
        <f t="shared" si="35"/>
        <v>49.564089376413726</v>
      </c>
      <c r="AL65" s="20">
        <f t="shared" si="4"/>
        <v>433.23068233058763</v>
      </c>
      <c r="AM65" s="59">
        <f t="shared" si="5"/>
        <v>726.56401566392094</v>
      </c>
      <c r="AN65" s="59">
        <f ca="1">AVERAGE(OFFSET($AM$3,0,0,'Données projet'!$E$10+1,1))-AVERAGE(OFFSET($H$3,0,0,'Données projet'!$E$10+1,1))</f>
        <v>321.23599968992932</v>
      </c>
      <c r="AO65" s="59">
        <f t="shared" si="36"/>
        <v>388.05195847800502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3.5943854703545353</v>
      </c>
      <c r="AV65" s="21">
        <f>EXP(-LN(2)/25)*AV64+(1-EXP(-LN(2)/25))/(LN(2)/25)*Calculateur!AQ65*Calculateur!AS65*VLOOKUP('Données projet'!$B$10,Paramètres!$A$1:$I$89,3,0)*0.475*44/12</f>
        <v>6.3013213532957923</v>
      </c>
      <c r="AW65" s="21">
        <f>EXP(-LN(2)/2)*AW64+(1-EXP(-LN(2)/2))/(LN(2)/2)*AQ65*AT65*VLOOKUP('Données projet'!$B$10,Paramètres!$A$1:$I$89,3,0)*0.475*44/12</f>
        <v>2.5819859685676671E-4</v>
      </c>
      <c r="AX65" s="21">
        <f t="shared" si="6"/>
        <v>9.895965022247184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>
        <f>VLOOKUP(A65,'Données projet'!$A$87:$I$107,2,0)</f>
        <v>316</v>
      </c>
      <c r="BB65" s="12">
        <f>VLOOKUP(A65,'Données projet'!$A$87:$I$107,9,0)</f>
        <v>2.625</v>
      </c>
      <c r="BC65" s="12">
        <f t="array" ref="BC65">INDEX(BB:BB,MIN(IF(ISNUMBER(BB65:BB261),ROW(BB65:BB261),"")))</f>
        <v>2.625</v>
      </c>
      <c r="BD65" s="12">
        <f>IF('Données projet'!$A$88&gt;35,BD64+BC65-BL64,IF(A65&lt;'Données projet'!$A$88,$BA$205^A65,IF(A65='Données projet'!$A$88,'Données projet'!$B$88,BD64+BC65-BL64)))</f>
        <v>316.00000000000011</v>
      </c>
      <c r="BE65" s="13">
        <f>BD65*VLOOKUP('Données projet'!$B$11,Paramètres!$A$1:$I$89,3,0)*VLOOKUP('Données projet'!$B$11,Paramètres!$A$1:$I$89,5,0)</f>
        <v>188.9680000000001</v>
      </c>
      <c r="BF65" s="13">
        <f t="shared" si="37"/>
        <v>47.311720031947111</v>
      </c>
      <c r="BG65" s="20">
        <f t="shared" si="7"/>
        <v>411.52051238897474</v>
      </c>
      <c r="BH65" s="59">
        <f t="shared" si="8"/>
        <v>704.85384572230805</v>
      </c>
      <c r="BI65" s="59">
        <f ca="1">AVERAGE(OFFSET($BH$3,0,0,'Données projet'!$E$11+1,1))-AVERAGE(OFFSET($H$3,0,0,'Données projet'!$E$11+1,1))</f>
        <v>258.31845364515124</v>
      </c>
      <c r="BJ65" s="59">
        <f t="shared" si="38"/>
        <v>280.26155987300996</v>
      </c>
      <c r="BK65" s="15">
        <f>IF(ISNA(VLOOKUP(A65,'Données projet'!$A$87:$I$107,3,0)),0,VLOOKUP(A65,'Données projet'!$A$87:$I$107,3,0))</f>
        <v>10</v>
      </c>
      <c r="BL65" s="15">
        <f>IF(ISNA(VLOOKUP(A65,'Données projet'!$A$87:$I$107,4,0)),0,VLOOKUP(A65,'Données projet'!$A$87:$I$107,4,0))</f>
        <v>316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6.0906144953919714</v>
      </c>
      <c r="BQ65" s="21">
        <f>EXP(-LN(2)/25)*BQ64+(1-EXP(-LN(2)/25))/(LN(2)/25)*Calculateur!BL65*Calculateur!BN65*VLOOKUP('Données projet'!$B$11,Paramètres!$A$1:$I$89,3,0)*0.475*44/12</f>
        <v>3.8820335180595178</v>
      </c>
      <c r="BR65" s="21">
        <f>EXP(-LN(2)/2)*BR64+(1-EXP(-LN(2)/2))/(LN(2)/2)*BL65*BO65*VLOOKUP('Données projet'!$B$11,Paramètres!$A$1:$I$89,3,0)*0.475*44/12</f>
        <v>6.9107000982643614E-5</v>
      </c>
      <c r="BS65" s="22">
        <f t="shared" si="9"/>
        <v>9.9727171204524723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-5.6843418860808015E-14</v>
      </c>
      <c r="BZ65" s="13">
        <f>BY65*VLOOKUP('Données projet'!$B$12,Paramètres!$A$1:$I$89,3,0)*VLOOKUP('Données projet'!$B$12,Paramètres!$A$1:$I$89,5,0)</f>
        <v>-5.1431925385259088E-14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366.86025470473652</v>
      </c>
      <c r="CE65" s="59">
        <f t="shared" si="40"/>
        <v>513.80016421153414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1.3661971259551347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5.6488793454082513E-5</v>
      </c>
      <c r="CN65" s="22">
        <f t="shared" si="12"/>
        <v>1.3662536147485886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-5.6843418860808015E-14</v>
      </c>
      <c r="CU65" s="17">
        <f>CT65*VLOOKUP('Données projet'!$B$13,Paramètres!$A$1:$I$89,3,0)*VLOOKUP('Données projet'!$B$13,Paramètres!$A$1:$I$89,5,0)</f>
        <v>-3.1036506698001178E-14</v>
      </c>
      <c r="CV65" s="13" t="e">
        <f t="shared" si="41"/>
        <v>#NUM!</v>
      </c>
      <c r="CW65" s="20" t="e">
        <f t="shared" si="13"/>
        <v>#NUM!</v>
      </c>
      <c r="CX65" s="59" t="e">
        <f t="shared" si="14"/>
        <v>#NUM!</v>
      </c>
      <c r="CY65" s="59">
        <f ca="1">AVERAGE(OFFSET($CX$3,0,0,'Données projet'!$E$13+1,1))-AVERAGE(OFFSET($H$3,0,0,'Données projet'!$E$13+1,1))</f>
        <v>207.02306964567629</v>
      </c>
      <c r="CZ65" s="59">
        <f t="shared" si="42"/>
        <v>342.06887933351783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3.5050031520505822</v>
      </c>
      <c r="DG65" s="21">
        <f>EXP(-LN(2)/25)*DG64+(1-EXP(-LN(2)/25))/(LN(2)/25)*Calculateur!DB65*Calculateur!DD65*VLOOKUP('Données projet'!$B$13,Paramètres!$A$1:$I$89,3,0)*0.475*44/12</f>
        <v>16.026938568362336</v>
      </c>
      <c r="DH65" s="21">
        <f>EXP(-LN(2)/2)*DH64+(1-EXP(-LN(2)/2))/(LN(2)/2)*DB65*DE65*VLOOKUP('Données projet'!$B$13,Paramètres!$A$1:$I$89,3,0)*0.475*44/12</f>
        <v>2.0254596554414124E-4</v>
      </c>
      <c r="DI65" s="22">
        <f t="shared" si="15"/>
        <v>19.532144266378459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7">
        <f t="shared" si="1"/>
        <v>256.66666666666669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15.5</v>
      </c>
      <c r="N66" s="13">
        <f>IF('Données projet'!$A$36&gt;35,N65+M66-V65,IF(A66&lt;'Données projet'!$A$36,$K$205^A66,IF(A66='Données projet'!$A$36,'Données projet'!$B$36,N65+M66-V65)))</f>
        <v>314.99999999999989</v>
      </c>
      <c r="O66" s="13">
        <f>N66*VLOOKUP('Données projet'!$B$9,Paramètres!$A$1:$I$89,3,0)*VLOOKUP('Données projet'!$B$9,Paramètres!$A$1:$I$89,5,0)</f>
        <v>147.41999999999993</v>
      </c>
      <c r="P66" s="13">
        <f t="shared" si="33"/>
        <v>37.991680647570291</v>
      </c>
      <c r="Q66" s="20">
        <f t="shared" si="53"/>
        <v>322.92534379451814</v>
      </c>
      <c r="R66" s="59">
        <f t="shared" si="0"/>
        <v>616.25867712785146</v>
      </c>
      <c r="S66" s="59">
        <f ca="1">AVERAGE(OFFSET($R$3,0,0,'Données projet'!$E$9+1,1))-AVERAGE(OFFSET($H$3,0,0,'Données projet'!$E$9+1,1))</f>
        <v>319.22903094674564</v>
      </c>
      <c r="T66" s="59">
        <f t="shared" si="34"/>
        <v>254.58690973142848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4.721437043161222</v>
      </c>
      <c r="AA66" s="21">
        <f>EXP(-LN(2)/25)*AA65+(1-EXP(-LN(2)/25))/(LN(2)/25)*Calculateur!V66*Calculateur!X66*VLOOKUP('Données projet'!$B$9,Paramètres!$A$1:$I$89,3,0)*0.475*44/12</f>
        <v>4.4664933604732431</v>
      </c>
      <c r="AB66" s="21">
        <f>EXP(-LN(2)/2)*AB65+(1-EXP(-LN(2)/2))/(LN(2)/2)*V66*Y66*VLOOKUP('Données projet'!$B$9,Paramètres!$A$1:$I$89,3,0)*0.475*44/12</f>
        <v>1.1915086592718222E-4</v>
      </c>
      <c r="AC66" s="22">
        <f t="shared" si="3"/>
        <v>9.1880495545003917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6</v>
      </c>
      <c r="AI66" s="13">
        <f>IF('Données projet'!$A$62&gt;35,AI65+AH66-AQ65,IF(A66&lt;'Données projet'!$A$62,$AF$205^A66,IF(A66='Données projet'!$A$62,'Données projet'!$B$62,AI65+AH66-AQ65)))</f>
        <v>234.00000000000026</v>
      </c>
      <c r="AJ66" s="13">
        <f>AI66*VLOOKUP('Données projet'!$B$10,Paramètres!$A$1:$I$89,3,0)*VLOOKUP('Données projet'!$B$10,Paramètres!$A$1:$I$89,5,0)</f>
        <v>204.42240000000027</v>
      </c>
      <c r="AK66" s="13">
        <f t="shared" si="35"/>
        <v>50.714836797527354</v>
      </c>
      <c r="AL66" s="20">
        <f t="shared" si="4"/>
        <v>444.36402075569396</v>
      </c>
      <c r="AM66" s="59">
        <f t="shared" si="5"/>
        <v>737.69735408902727</v>
      </c>
      <c r="AN66" s="59">
        <f ca="1">AVERAGE(OFFSET($AM$3,0,0,'Données projet'!$E$10+1,1))-AVERAGE(OFFSET($H$3,0,0,'Données projet'!$E$10+1,1))</f>
        <v>321.23599968992932</v>
      </c>
      <c r="AO66" s="59">
        <f t="shared" si="36"/>
        <v>388.05195847800502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3.5239017636395422</v>
      </c>
      <c r="AV66" s="21">
        <f>EXP(-LN(2)/25)*AV65+(1-EXP(-LN(2)/25))/(LN(2)/25)*Calculateur!AQ66*Calculateur!AS66*VLOOKUP('Données projet'!$B$10,Paramètres!$A$1:$I$89,3,0)*0.475*44/12</f>
        <v>6.1290113895178306</v>
      </c>
      <c r="AW66" s="21">
        <f>EXP(-LN(2)/2)*AW65+(1-EXP(-LN(2)/2))/(LN(2)/2)*AQ66*AT66*VLOOKUP('Données projet'!$B$10,Paramètres!$A$1:$I$89,3,0)*0.475*44/12</f>
        <v>1.8257397873027134E-4</v>
      </c>
      <c r="AX66" s="21">
        <f t="shared" si="6"/>
        <v>9.6530957271361029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1.1368683772161603E-13</v>
      </c>
      <c r="BE66" s="13">
        <f>BD66*VLOOKUP('Données projet'!$B$11,Paramètres!$A$1:$I$89,3,0)*VLOOKUP('Données projet'!$B$11,Paramètres!$A$1:$I$89,5,0)</f>
        <v>6.7984728957526396E-14</v>
      </c>
      <c r="BF66" s="13">
        <f t="shared" si="37"/>
        <v>1.0682447123141398E-12</v>
      </c>
      <c r="BG66" s="20">
        <f t="shared" si="7"/>
        <v>1.978932943548152E-12</v>
      </c>
      <c r="BH66" s="59">
        <f t="shared" si="8"/>
        <v>293.3333333333353</v>
      </c>
      <c r="BI66" s="59">
        <f ca="1">AVERAGE(OFFSET($BH$3,0,0,'Données projet'!$E$11+1,1))-AVERAGE(OFFSET($H$3,0,0,'Données projet'!$E$11+1,1))</f>
        <v>258.31845364515124</v>
      </c>
      <c r="BJ66" s="59">
        <f t="shared" si="38"/>
        <v>280.26155987300996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5.97118126004536</v>
      </c>
      <c r="BQ66" s="21">
        <f>EXP(-LN(2)/25)*BQ65+(1-EXP(-LN(2)/25))/(LN(2)/25)*Calculateur!BL66*Calculateur!BN66*VLOOKUP('Données projet'!$B$11,Paramètres!$A$1:$I$89,3,0)*0.475*44/12</f>
        <v>3.7758791073609101</v>
      </c>
      <c r="BR66" s="21">
        <f>EXP(-LN(2)/2)*BR65+(1-EXP(-LN(2)/2))/(LN(2)/2)*BL66*BO66*VLOOKUP('Données projet'!$B$11,Paramètres!$A$1:$I$89,3,0)*0.475*44/12</f>
        <v>4.8866029022292703E-5</v>
      </c>
      <c r="BS66" s="22">
        <f t="shared" si="9"/>
        <v>9.7471092334352925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-5.6843418860808015E-14</v>
      </c>
      <c r="BZ66" s="13">
        <f>BY66*VLOOKUP('Données projet'!$B$12,Paramètres!$A$1:$I$89,3,0)*VLOOKUP('Données projet'!$B$12,Paramètres!$A$1:$I$89,5,0)</f>
        <v>-5.1431925385259088E-14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366.86025470473652</v>
      </c>
      <c r="CE66" s="59">
        <f t="shared" si="40"/>
        <v>513.80016421153414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1.33940683361312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3.9943608912428001E-5</v>
      </c>
      <c r="CN66" s="22">
        <f t="shared" si="12"/>
        <v>1.3394467772220324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-5.6843418860808015E-14</v>
      </c>
      <c r="CU66" s="17">
        <f>CT66*VLOOKUP('Données projet'!$B$13,Paramètres!$A$1:$I$89,3,0)*VLOOKUP('Données projet'!$B$13,Paramètres!$A$1:$I$89,5,0)</f>
        <v>-3.1036506698001178E-14</v>
      </c>
      <c r="CV66" s="13" t="e">
        <f t="shared" si="41"/>
        <v>#NUM!</v>
      </c>
      <c r="CW66" s="20" t="e">
        <f t="shared" si="13"/>
        <v>#NUM!</v>
      </c>
      <c r="CX66" s="59" t="e">
        <f t="shared" si="14"/>
        <v>#NUM!</v>
      </c>
      <c r="CY66" s="59">
        <f ca="1">AVERAGE(OFFSET($CX$3,0,0,'Données projet'!$E$13+1,1))-AVERAGE(OFFSET($H$3,0,0,'Données projet'!$E$13+1,1))</f>
        <v>207.02306964567629</v>
      </c>
      <c r="CZ66" s="59">
        <f t="shared" si="42"/>
        <v>342.06887933351783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3.4362721780796988</v>
      </c>
      <c r="DG66" s="21">
        <f>EXP(-LN(2)/25)*DG65+(1-EXP(-LN(2)/25))/(LN(2)/25)*Calculateur!DB66*Calculateur!DD66*VLOOKUP('Données projet'!$B$13,Paramètres!$A$1:$I$89,3,0)*0.475*44/12</f>
        <v>15.588681090390399</v>
      </c>
      <c r="DH66" s="21">
        <f>EXP(-LN(2)/2)*DH65+(1-EXP(-LN(2)/2))/(LN(2)/2)*DB66*DE66*VLOOKUP('Données projet'!$B$13,Paramètres!$A$1:$I$89,3,0)*0.475*44/12</f>
        <v>1.4322162573823907E-4</v>
      </c>
      <c r="DI66" s="22">
        <f t="shared" si="15"/>
        <v>19.025096490095834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7">
        <f t="shared" si="1"/>
        <v>256.66666666666669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15.5</v>
      </c>
      <c r="N67" s="13">
        <f>IF('Données projet'!$A$36&gt;35,N66+M67-V66,IF(A67&lt;'Données projet'!$A$36,$K$205^A67,IF(A67='Données projet'!$A$36,'Données projet'!$B$36,N66+M67-V66)))</f>
        <v>330.49999999999989</v>
      </c>
      <c r="O67" s="13">
        <f>N67*VLOOKUP('Données projet'!$B$9,Paramètres!$A$1:$I$89,3,0)*VLOOKUP('Données projet'!$B$9,Paramètres!$A$1:$I$89,5,0)</f>
        <v>154.67399999999995</v>
      </c>
      <c r="P67" s="13">
        <f t="shared" si="33"/>
        <v>39.63886458604275</v>
      </c>
      <c r="Q67" s="20">
        <f t="shared" ref="Q67:Q98" si="54">(O67+P67)*0.475*44/12</f>
        <v>338.42823915402437</v>
      </c>
      <c r="R67" s="59">
        <f t="shared" ref="R67:R130" si="55">Q67+(I67+J67)*44/12</f>
        <v>631.76157248735763</v>
      </c>
      <c r="S67" s="59">
        <f ca="1">AVERAGE(OFFSET($R$3,0,0,'Données projet'!$E$9+1,1))-AVERAGE(OFFSET($H$3,0,0,'Données projet'!$E$9+1,1))</f>
        <v>319.22903094674564</v>
      </c>
      <c r="T67" s="59">
        <f t="shared" si="34"/>
        <v>254.58690973142848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4.6288525425370706</v>
      </c>
      <c r="AA67" s="21">
        <f>EXP(-LN(2)/25)*AA66+(1-EXP(-LN(2)/25))/(LN(2)/25)*Calculateur!V67*Calculateur!X67*VLOOKUP('Données projet'!$B$9,Paramètres!$A$1:$I$89,3,0)*0.475*44/12</f>
        <v>4.3443568646484243</v>
      </c>
      <c r="AB67" s="21">
        <f>EXP(-LN(2)/2)*AB66+(1-EXP(-LN(2)/2))/(LN(2)/2)*V67*Y67*VLOOKUP('Données projet'!$B$9,Paramètres!$A$1:$I$89,3,0)*0.475*44/12</f>
        <v>8.4252385281359705E-5</v>
      </c>
      <c r="AC67" s="22">
        <f t="shared" si="3"/>
        <v>8.9732936595707766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6</v>
      </c>
      <c r="AI67" s="13">
        <f>IF('Données projet'!$A$62&gt;35,AI66+AH67-AQ66,IF(A67&lt;'Données projet'!$A$62,$AF$205^A67,IF(A67='Données projet'!$A$62,'Données projet'!$B$62,AI66+AH67-AQ66)))</f>
        <v>240.00000000000026</v>
      </c>
      <c r="AJ67" s="13">
        <f>AI67*VLOOKUP('Données projet'!$B$10,Paramètres!$A$1:$I$89,3,0)*VLOOKUP('Données projet'!$B$10,Paramètres!$A$1:$I$89,5,0)</f>
        <v>209.66400000000024</v>
      </c>
      <c r="AK67" s="13">
        <f t="shared" si="35"/>
        <v>51.862154403304579</v>
      </c>
      <c r="AL67" s="20">
        <f t="shared" si="4"/>
        <v>455.49138558575584</v>
      </c>
      <c r="AM67" s="59">
        <f t="shared" si="5"/>
        <v>748.82471891908915</v>
      </c>
      <c r="AN67" s="59">
        <f ca="1">AVERAGE(OFFSET($AM$3,0,0,'Données projet'!$E$10+1,1))-AVERAGE(OFFSET($H$3,0,0,'Données projet'!$E$10+1,1))</f>
        <v>321.23599968992932</v>
      </c>
      <c r="AO67" s="59">
        <f t="shared" si="36"/>
        <v>388.05195847800502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3.4548001994224142</v>
      </c>
      <c r="AV67" s="21">
        <f>EXP(-LN(2)/25)*AV66+(1-EXP(-LN(2)/25))/(LN(2)/25)*Calculateur!AQ67*Calculateur!AS67*VLOOKUP('Données projet'!$B$10,Paramètres!$A$1:$I$89,3,0)*0.475*44/12</f>
        <v>5.9614132507607644</v>
      </c>
      <c r="AW67" s="21">
        <f>EXP(-LN(2)/2)*AW66+(1-EXP(-LN(2)/2))/(LN(2)/2)*AQ67*AT67*VLOOKUP('Données projet'!$B$10,Paramètres!$A$1:$I$89,3,0)*0.475*44/12</f>
        <v>1.2909929842838336E-4</v>
      </c>
      <c r="AX67" s="21">
        <f t="shared" si="6"/>
        <v>9.4163425494816071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1.1368683772161603E-13</v>
      </c>
      <c r="BE67" s="13">
        <f>BD67*VLOOKUP('Données projet'!$B$11,Paramètres!$A$1:$I$89,3,0)*VLOOKUP('Données projet'!$B$11,Paramètres!$A$1:$I$89,5,0)</f>
        <v>6.7984728957526396E-14</v>
      </c>
      <c r="BF67" s="13">
        <f t="shared" si="37"/>
        <v>1.0682447123141398E-12</v>
      </c>
      <c r="BG67" s="20">
        <f t="shared" si="7"/>
        <v>1.978932943548152E-12</v>
      </c>
      <c r="BH67" s="59">
        <f t="shared" si="8"/>
        <v>293.3333333333353</v>
      </c>
      <c r="BI67" s="59">
        <f ca="1">AVERAGE(OFFSET($BH$3,0,0,'Données projet'!$E$11+1,1))-AVERAGE(OFFSET($H$3,0,0,'Données projet'!$E$11+1,1))</f>
        <v>258.31845364515124</v>
      </c>
      <c r="BJ67" s="59">
        <f t="shared" si="38"/>
        <v>280.26155987300996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5.8540900375968157</v>
      </c>
      <c r="BQ67" s="21">
        <f>EXP(-LN(2)/25)*BQ66+(1-EXP(-LN(2)/25))/(LN(2)/25)*Calculateur!BL67*Calculateur!BN67*VLOOKUP('Données projet'!$B$11,Paramètres!$A$1:$I$89,3,0)*0.475*44/12</f>
        <v>3.6726274946052735</v>
      </c>
      <c r="BR67" s="21">
        <f>EXP(-LN(2)/2)*BR66+(1-EXP(-LN(2)/2))/(LN(2)/2)*BL67*BO67*VLOOKUP('Données projet'!$B$11,Paramètres!$A$1:$I$89,3,0)*0.475*44/12</f>
        <v>3.4553500491321807E-5</v>
      </c>
      <c r="BS67" s="22">
        <f t="shared" si="9"/>
        <v>9.5267520857025794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-5.6843418860808015E-14</v>
      </c>
      <c r="BZ67" s="13">
        <f>BY67*VLOOKUP('Données projet'!$B$12,Paramètres!$A$1:$I$89,3,0)*VLOOKUP('Données projet'!$B$12,Paramètres!$A$1:$I$89,5,0)</f>
        <v>-5.1431925385259088E-14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366.86025470473652</v>
      </c>
      <c r="CE67" s="59">
        <f t="shared" si="40"/>
        <v>513.80016421153414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1.3131418825634673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2.8244396727041256E-5</v>
      </c>
      <c r="CN67" s="22">
        <f t="shared" si="12"/>
        <v>1.3131701269601943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-5.6843418860808015E-14</v>
      </c>
      <c r="CU67" s="17">
        <f>CT67*VLOOKUP('Données projet'!$B$13,Paramètres!$A$1:$I$89,3,0)*VLOOKUP('Données projet'!$B$13,Paramètres!$A$1:$I$89,5,0)</f>
        <v>-3.1036506698001178E-14</v>
      </c>
      <c r="CV67" s="13" t="e">
        <f t="shared" si="41"/>
        <v>#NUM!</v>
      </c>
      <c r="CW67" s="20" t="e">
        <f t="shared" si="13"/>
        <v>#NUM!</v>
      </c>
      <c r="CX67" s="59" t="e">
        <f t="shared" si="14"/>
        <v>#NUM!</v>
      </c>
      <c r="CY67" s="59">
        <f ca="1">AVERAGE(OFFSET($CX$3,0,0,'Données projet'!$E$13+1,1))-AVERAGE(OFFSET($H$3,0,0,'Données projet'!$E$13+1,1))</f>
        <v>207.02306964567629</v>
      </c>
      <c r="CZ67" s="59">
        <f t="shared" si="42"/>
        <v>342.06887933351783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3.3688889765866299</v>
      </c>
      <c r="DG67" s="21">
        <f>EXP(-LN(2)/25)*DG66+(1-EXP(-LN(2)/25))/(LN(2)/25)*Calculateur!DB67*Calculateur!DD67*VLOOKUP('Données projet'!$B$13,Paramètres!$A$1:$I$89,3,0)*0.475*44/12</f>
        <v>15.162407786200562</v>
      </c>
      <c r="DH67" s="21">
        <f>EXP(-LN(2)/2)*DH66+(1-EXP(-LN(2)/2))/(LN(2)/2)*DB67*DE67*VLOOKUP('Données projet'!$B$13,Paramètres!$A$1:$I$89,3,0)*0.475*44/12</f>
        <v>1.0127298277207062E-4</v>
      </c>
      <c r="DI67" s="22">
        <f t="shared" si="15"/>
        <v>18.531398035769964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7">
        <f t="shared" ref="H68:H131" si="56">(B68+E68+F68)*44/12+(C68+D68)*0.475*44/12</f>
        <v>256.66666666666669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15.5</v>
      </c>
      <c r="N68" s="13">
        <f>IF('Données projet'!$A$36&gt;35,N67+M68-V67,IF(A68&lt;'Données projet'!$A$36,$K$205^A68,IF(A68='Données projet'!$A$36,'Données projet'!$B$36,N67+M68-V67)))</f>
        <v>345.99999999999989</v>
      </c>
      <c r="O68" s="13">
        <f>N68*VLOOKUP('Données projet'!$B$9,Paramètres!$A$1:$I$89,3,0)*VLOOKUP('Données projet'!$B$9,Paramètres!$A$1:$I$89,5,0)</f>
        <v>161.92799999999994</v>
      </c>
      <c r="P68" s="13">
        <f t="shared" si="33"/>
        <v>41.277077571585316</v>
      </c>
      <c r="Q68" s="20">
        <f t="shared" si="54"/>
        <v>353.91551010384433</v>
      </c>
      <c r="R68" s="59">
        <f t="shared" si="55"/>
        <v>647.24884343717758</v>
      </c>
      <c r="S68" s="59">
        <f ca="1">AVERAGE(OFFSET($R$3,0,0,'Données projet'!$E$9+1,1))-AVERAGE(OFFSET($H$3,0,0,'Données projet'!$E$9+1,1))</f>
        <v>319.22903094674564</v>
      </c>
      <c r="T68" s="59">
        <f t="shared" si="34"/>
        <v>254.58690973142848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4.5380835674991902</v>
      </c>
      <c r="AA68" s="21">
        <f>EXP(-LN(2)/25)*AA67+(1-EXP(-LN(2)/25))/(LN(2)/25)*Calculateur!V68*Calculateur!X68*VLOOKUP('Données projet'!$B$9,Paramètres!$A$1:$I$89,3,0)*0.475*44/12</f>
        <v>4.2255601977248149</v>
      </c>
      <c r="AB68" s="21">
        <f>EXP(-LN(2)/2)*AB67+(1-EXP(-LN(2)/2))/(LN(2)/2)*V68*Y68*VLOOKUP('Données projet'!$B$9,Paramètres!$A$1:$I$89,3,0)*0.475*44/12</f>
        <v>5.9575432963591118E-5</v>
      </c>
      <c r="AC68" s="22">
        <f t="shared" ref="AC68:AC131" si="57">SUM(Z68:AB68)</f>
        <v>8.7637033406569689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246</v>
      </c>
      <c r="AG68" s="12">
        <f>VLOOKUP(A68,'Données projet'!$A$61:$I$81,9,0)</f>
        <v>6</v>
      </c>
      <c r="AH68" s="12">
        <f t="array" ref="AH68">INDEX(AG:AG,MIN(IF(ISNUMBER(AG68:AG264),ROW(AG68:AG264),"")))</f>
        <v>6</v>
      </c>
      <c r="AI68" s="13">
        <f>IF('Données projet'!$A$62&gt;35,AI67+AH68-AQ67,IF(A68&lt;'Données projet'!$A$62,$AF$205^A68,IF(A68='Données projet'!$A$62,'Données projet'!$B$62,AI67+AH68-AQ67)))</f>
        <v>246.00000000000026</v>
      </c>
      <c r="AJ68" s="13">
        <f>AI68*VLOOKUP('Données projet'!$B$10,Paramètres!$A$1:$I$89,3,0)*VLOOKUP('Données projet'!$B$10,Paramètres!$A$1:$I$89,5,0)</f>
        <v>214.90560000000025</v>
      </c>
      <c r="AK68" s="13">
        <f t="shared" si="35"/>
        <v>53.006137800892375</v>
      </c>
      <c r="AL68" s="20">
        <f t="shared" ref="AL68:AL131" si="58">(AJ68+AK68)*0.475*44/12</f>
        <v>466.61294333655468</v>
      </c>
      <c r="AM68" s="59">
        <f t="shared" ref="AM68:AM131" si="59">AL68+(AD68+AE68)*44/12</f>
        <v>759.94627666988799</v>
      </c>
      <c r="AN68" s="59">
        <f ca="1">AVERAGE(OFFSET($AM$3,0,0,'Données projet'!$E$10+1,1))-AVERAGE(OFFSET($H$3,0,0,'Données projet'!$E$10+1,1))</f>
        <v>321.23599968992932</v>
      </c>
      <c r="AO68" s="59">
        <f t="shared" si="36"/>
        <v>388.05195847800502</v>
      </c>
      <c r="AP68" s="15">
        <f>IF(ISNA(VLOOKUP(A68,'Données projet'!$A$61:$I$81,3,0)),0,VLOOKUP(A68,'Données projet'!$A$61:$I$81,3,0))</f>
        <v>11</v>
      </c>
      <c r="AQ68" s="15">
        <f>IF(ISNA(VLOOKUP(A68,'Données projet'!$A$61:$I$81,4,0)),0,VLOOKUP(A68,'Données projet'!$A$61:$I$81,4,0))</f>
        <v>23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3.3870536747317916</v>
      </c>
      <c r="AV68" s="21">
        <f>EXP(-LN(2)/25)*AV67+(1-EXP(-LN(2)/25))/(LN(2)/25)*Calculateur!AQ68*Calculateur!AS68*VLOOKUP('Données projet'!$B$10,Paramètres!$A$1:$I$89,3,0)*0.475*44/12</f>
        <v>5.7983980919216132</v>
      </c>
      <c r="AW68" s="21">
        <f>EXP(-LN(2)/2)*AW67+(1-EXP(-LN(2)/2))/(LN(2)/2)*AQ68*AT68*VLOOKUP('Données projet'!$B$10,Paramètres!$A$1:$I$89,3,0)*0.475*44/12</f>
        <v>9.1286989365135668E-5</v>
      </c>
      <c r="AX68" s="21">
        <f t="shared" ref="AX68:AX131" si="60">SUM(AU68:AW68)</f>
        <v>9.1855430536427694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1.1368683772161603E-13</v>
      </c>
      <c r="BE68" s="13">
        <f>BD68*VLOOKUP('Données projet'!$B$11,Paramètres!$A$1:$I$89,3,0)*VLOOKUP('Données projet'!$B$11,Paramètres!$A$1:$I$89,5,0)</f>
        <v>6.7984728957526396E-14</v>
      </c>
      <c r="BF68" s="13">
        <f t="shared" si="37"/>
        <v>1.0682447123141398E-12</v>
      </c>
      <c r="BG68" s="20">
        <f t="shared" ref="BG68:BG131" si="61">(BE68+BF68)*0.475*44/12</f>
        <v>1.978932943548152E-12</v>
      </c>
      <c r="BH68" s="59">
        <f t="shared" ref="BH68:BH131" si="62">BG68+(AY68+AZ68)*44/12</f>
        <v>293.3333333333353</v>
      </c>
      <c r="BI68" s="59">
        <f ca="1">AVERAGE(OFFSET($BH$3,0,0,'Données projet'!$E$11+1,1))-AVERAGE(OFFSET($H$3,0,0,'Données projet'!$E$11+1,1))</f>
        <v>258.31845364515124</v>
      </c>
      <c r="BJ68" s="59">
        <f t="shared" si="38"/>
        <v>280.26155987300996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5.7392949026018938</v>
      </c>
      <c r="BQ68" s="21">
        <f>EXP(-LN(2)/25)*BQ67+(1-EXP(-LN(2)/25))/(LN(2)/25)*Calculateur!BL68*Calculateur!BN68*VLOOKUP('Données projet'!$B$11,Paramètres!$A$1:$I$89,3,0)*0.475*44/12</f>
        <v>3.5721993026302061</v>
      </c>
      <c r="BR68" s="21">
        <f>EXP(-LN(2)/2)*BR67+(1-EXP(-LN(2)/2))/(LN(2)/2)*BL68*BO68*VLOOKUP('Données projet'!$B$11,Paramètres!$A$1:$I$89,3,0)*0.475*44/12</f>
        <v>2.4433014511146352E-5</v>
      </c>
      <c r="BS68" s="22">
        <f t="shared" ref="BS68:BS131" si="63">SUM(BP68:BR68)</f>
        <v>9.3115186382466106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-5.6843418860808015E-14</v>
      </c>
      <c r="BZ68" s="13">
        <f>BY68*VLOOKUP('Données projet'!$B$12,Paramètres!$A$1:$I$89,3,0)*VLOOKUP('Données projet'!$B$12,Paramètres!$A$1:$I$89,5,0)</f>
        <v>-5.1431925385259088E-14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366.86025470473652</v>
      </c>
      <c r="CE68" s="59">
        <f t="shared" si="40"/>
        <v>513.80016421153414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1.2873919711838602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1.9971804456214E-5</v>
      </c>
      <c r="CN68" s="22">
        <f t="shared" ref="CN68:CN131" si="66">SUM(CK68:CM68)</f>
        <v>1.2874119429883164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-5.6843418860808015E-14</v>
      </c>
      <c r="CU68" s="17">
        <f>CT68*VLOOKUP('Données projet'!$B$13,Paramètres!$A$1:$I$89,3,0)*VLOOKUP('Données projet'!$B$13,Paramètres!$A$1:$I$89,5,0)</f>
        <v>-3.1036506698001178E-14</v>
      </c>
      <c r="CV68" s="13" t="e">
        <f t="shared" si="41"/>
        <v>#NUM!</v>
      </c>
      <c r="CW68" s="20" t="e">
        <f t="shared" ref="CW68:CW131" si="67">(CU68+CV68)*0.475*44/12</f>
        <v>#NUM!</v>
      </c>
      <c r="CX68" s="59" t="e">
        <f t="shared" ref="CX68:CX131" si="68">CW68+(CO68+CP68)*44/12</f>
        <v>#NUM!</v>
      </c>
      <c r="CY68" s="59">
        <f ca="1">AVERAGE(OFFSET($CX$3,0,0,'Données projet'!$E$13+1,1))-AVERAGE(OFFSET($H$3,0,0,'Données projet'!$E$13+1,1))</f>
        <v>207.02306964567629</v>
      </c>
      <c r="CZ68" s="59">
        <f t="shared" si="42"/>
        <v>342.06887933351783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3.3028271185751454</v>
      </c>
      <c r="DG68" s="21">
        <f>EXP(-LN(2)/25)*DG67+(1-EXP(-LN(2)/25))/(LN(2)/25)*Calculateur!DB68*Calculateur!DD68*VLOOKUP('Données projet'!$B$13,Paramètres!$A$1:$I$89,3,0)*0.475*44/12</f>
        <v>14.747790947930536</v>
      </c>
      <c r="DH68" s="21">
        <f>EXP(-LN(2)/2)*DH67+(1-EXP(-LN(2)/2))/(LN(2)/2)*DB68*DE68*VLOOKUP('Données projet'!$B$13,Paramètres!$A$1:$I$89,3,0)*0.475*44/12</f>
        <v>7.1610812869119536E-5</v>
      </c>
      <c r="DI68" s="22">
        <f t="shared" ref="DI68:DI131" si="69">SUM(DF68:DH68)</f>
        <v>18.050689677318552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7">
        <f t="shared" si="56"/>
        <v>256.66666666666669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15.5</v>
      </c>
      <c r="N69" s="13">
        <f>IF('Données projet'!$A$36&gt;35,N68+M69-V68,IF(A69&lt;'Données projet'!$A$36,$K$205^A69,IF(A69='Données projet'!$A$36,'Données projet'!$B$36,N68+M69-V68)))</f>
        <v>361.49999999999989</v>
      </c>
      <c r="O69" s="13">
        <f>N69*VLOOKUP('Données projet'!$B$9,Paramètres!$A$1:$I$89,3,0)*VLOOKUP('Données projet'!$B$9,Paramètres!$A$1:$I$89,5,0)</f>
        <v>169.18199999999996</v>
      </c>
      <c r="P69" s="13">
        <f t="shared" ref="P69:P132" si="87">EXP(-1.0587+0.8836*LN(O69)+0.284)</f>
        <v>42.906767398977124</v>
      </c>
      <c r="Q69" s="20">
        <f t="shared" si="54"/>
        <v>369.38793655321842</v>
      </c>
      <c r="R69" s="59">
        <f t="shared" si="55"/>
        <v>662.72126988655168</v>
      </c>
      <c r="S69" s="59">
        <f ca="1">AVERAGE(OFFSET($R$3,0,0,'Données projet'!$E$9+1,1))-AVERAGE(OFFSET($H$3,0,0,'Données projet'!$E$9+1,1))</f>
        <v>319.22903094674564</v>
      </c>
      <c r="T69" s="59">
        <f t="shared" ref="T69:T132" si="88">$T$3</f>
        <v>254.58690973142848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4.4490945166981941</v>
      </c>
      <c r="AA69" s="21">
        <f>EXP(-LN(2)/25)*AA68+(1-EXP(-LN(2)/25))/(LN(2)/25)*Calculateur!V69*Calculateur!X69*VLOOKUP('Données projet'!$B$9,Paramètres!$A$1:$I$89,3,0)*0.475*44/12</f>
        <v>4.1100120319054767</v>
      </c>
      <c r="AB69" s="21">
        <f>EXP(-LN(2)/2)*AB68+(1-EXP(-LN(2)/2))/(LN(2)/2)*V69*Y69*VLOOKUP('Données projet'!$B$9,Paramètres!$A$1:$I$89,3,0)*0.475*44/12</f>
        <v>4.212619264067986E-5</v>
      </c>
      <c r="AC69" s="22">
        <f t="shared" si="57"/>
        <v>8.5591486747963117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228.20000000000024</v>
      </c>
      <c r="AJ69" s="13">
        <f>AI69*VLOOKUP('Données projet'!$B$10,Paramètres!$A$1:$I$89,3,0)*VLOOKUP('Données projet'!$B$10,Paramètres!$A$1:$I$89,5,0)</f>
        <v>199.35552000000024</v>
      </c>
      <c r="AK69" s="13">
        <f t="shared" ref="AK69:AK132" si="89">EXP(-1.0587+0.8836*LN(AJ69)+0.284)</f>
        <v>49.602503932783272</v>
      </c>
      <c r="AL69" s="20">
        <f t="shared" si="58"/>
        <v>433.60189168293124</v>
      </c>
      <c r="AM69" s="59">
        <f t="shared" si="59"/>
        <v>726.93522501626455</v>
      </c>
      <c r="AN69" s="59">
        <f ca="1">AVERAGE(OFFSET($AM$3,0,0,'Données projet'!$E$10+1,1))-AVERAGE(OFFSET($H$3,0,0,'Données projet'!$E$10+1,1))</f>
        <v>321.23599968992932</v>
      </c>
      <c r="AO69" s="59">
        <f t="shared" ref="AO69:AO132" si="90">$AO$3</f>
        <v>388.05195847800502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3.3206356180690522</v>
      </c>
      <c r="AV69" s="21">
        <f>EXP(-LN(2)/25)*AV68+(1-EXP(-LN(2)/25))/(LN(2)/25)*Calculateur!AQ69*Calculateur!AS69*VLOOKUP('Données projet'!$B$10,Paramètres!$A$1:$I$89,3,0)*0.475*44/12</f>
        <v>5.6398405911735132</v>
      </c>
      <c r="AW69" s="21">
        <f>EXP(-LN(2)/2)*AW68+(1-EXP(-LN(2)/2))/(LN(2)/2)*AQ69*AT69*VLOOKUP('Données projet'!$B$10,Paramètres!$A$1:$I$89,3,0)*0.475*44/12</f>
        <v>6.4549649214191678E-5</v>
      </c>
      <c r="AX69" s="21">
        <f t="shared" si="60"/>
        <v>8.9605407588917778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1.1368683772161603E-13</v>
      </c>
      <c r="BE69" s="13">
        <f>BD69*VLOOKUP('Données projet'!$B$11,Paramètres!$A$1:$I$89,3,0)*VLOOKUP('Données projet'!$B$11,Paramètres!$A$1:$I$89,5,0)</f>
        <v>6.7984728957526396E-14</v>
      </c>
      <c r="BF69" s="13">
        <f t="shared" ref="BF69:BF132" si="91">EXP(-1.0587+0.8836*LN(BE69)+0.284)</f>
        <v>1.0682447123141398E-12</v>
      </c>
      <c r="BG69" s="20">
        <f t="shared" si="61"/>
        <v>1.978932943548152E-12</v>
      </c>
      <c r="BH69" s="59">
        <f t="shared" si="62"/>
        <v>293.3333333333353</v>
      </c>
      <c r="BI69" s="59">
        <f ca="1">AVERAGE(OFFSET($BH$3,0,0,'Données projet'!$E$11+1,1))-AVERAGE(OFFSET($H$3,0,0,'Données projet'!$E$11+1,1))</f>
        <v>258.31845364515124</v>
      </c>
      <c r="BJ69" s="59">
        <f t="shared" ref="BJ69:BJ132" si="92">$BJ$3</f>
        <v>280.26155987300996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5.6267508301861033</v>
      </c>
      <c r="BQ69" s="21">
        <f>EXP(-LN(2)/25)*BQ68+(1-EXP(-LN(2)/25))/(LN(2)/25)*Calculateur!BL69*Calculateur!BN69*VLOOKUP('Données projet'!$B$11,Paramètres!$A$1:$I$89,3,0)*0.475*44/12</f>
        <v>3.4745173248459862</v>
      </c>
      <c r="BR69" s="21">
        <f>EXP(-LN(2)/2)*BR68+(1-EXP(-LN(2)/2))/(LN(2)/2)*BL69*BO69*VLOOKUP('Données projet'!$B$11,Paramètres!$A$1:$I$89,3,0)*0.475*44/12</f>
        <v>1.7276750245660904E-5</v>
      </c>
      <c r="BS69" s="22">
        <f t="shared" si="63"/>
        <v>9.1012854317823351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-5.6843418860808015E-14</v>
      </c>
      <c r="BZ69" s="13">
        <f>BY69*VLOOKUP('Données projet'!$B$12,Paramètres!$A$1:$I$89,3,0)*VLOOKUP('Données projet'!$B$12,Paramètres!$A$1:$I$89,5,0)</f>
        <v>-5.1431925385259088E-14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366.86025470473652</v>
      </c>
      <c r="CE69" s="59">
        <f t="shared" ref="CE69:CE132" si="94">$CE$3</f>
        <v>513.80016421153414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1.2621469998605119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1.4122198363520628E-5</v>
      </c>
      <c r="CN69" s="22">
        <f t="shared" si="66"/>
        <v>1.2621611220588755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-5.6843418860808015E-14</v>
      </c>
      <c r="CU69" s="17">
        <f>CT69*VLOOKUP('Données projet'!$B$13,Paramètres!$A$1:$I$89,3,0)*VLOOKUP('Données projet'!$B$13,Paramètres!$A$1:$I$89,5,0)</f>
        <v>-3.1036506698001178E-14</v>
      </c>
      <c r="CV69" s="13" t="e">
        <f t="shared" ref="CV69:CV132" si="95">EXP(-1.0587+0.8836*LN(CU69)+0.284)</f>
        <v>#NUM!</v>
      </c>
      <c r="CW69" s="20" t="e">
        <f t="shared" si="67"/>
        <v>#NUM!</v>
      </c>
      <c r="CX69" s="59" t="e">
        <f t="shared" si="68"/>
        <v>#NUM!</v>
      </c>
      <c r="CY69" s="59">
        <f ca="1">AVERAGE(OFFSET($CX$3,0,0,'Données projet'!$E$13+1,1))-AVERAGE(OFFSET($H$3,0,0,'Données projet'!$E$13+1,1))</f>
        <v>207.02306964567629</v>
      </c>
      <c r="CZ69" s="59">
        <f t="shared" ref="CZ69:CZ132" si="96">$CZ$3</f>
        <v>342.06887933351783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3.2380606933055112</v>
      </c>
      <c r="DG69" s="21">
        <f>EXP(-LN(2)/25)*DG68+(1-EXP(-LN(2)/25))/(LN(2)/25)*Calculateur!DB69*Calculateur!DD69*VLOOKUP('Données projet'!$B$13,Paramètres!$A$1:$I$89,3,0)*0.475*44/12</f>
        <v>14.344511828906755</v>
      </c>
      <c r="DH69" s="21">
        <f>EXP(-LN(2)/2)*DH68+(1-EXP(-LN(2)/2))/(LN(2)/2)*DB69*DE69*VLOOKUP('Données projet'!$B$13,Paramètres!$A$1:$I$89,3,0)*0.475*44/12</f>
        <v>5.0636491386035311E-5</v>
      </c>
      <c r="DI69" s="22">
        <f t="shared" si="69"/>
        <v>17.582623158703655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7">
        <f t="shared" si="56"/>
        <v>256.66666666666669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15.5</v>
      </c>
      <c r="N70" s="13">
        <f>IF('Données projet'!$A$36&gt;35,N69+M70-V69,IF(A70&lt;'Données projet'!$A$36,$K$205^A70,IF(A70='Données projet'!$A$36,'Données projet'!$B$36,N69+M70-V69)))</f>
        <v>376.99999999999989</v>
      </c>
      <c r="O70" s="13">
        <f>N70*VLOOKUP('Données projet'!$B$9,Paramètres!$A$1:$I$89,3,0)*VLOOKUP('Données projet'!$B$9,Paramètres!$A$1:$I$89,5,0)</f>
        <v>176.43599999999992</v>
      </c>
      <c r="P70" s="13">
        <f t="shared" si="87"/>
        <v>44.52834129105058</v>
      </c>
      <c r="Q70" s="20">
        <f t="shared" si="54"/>
        <v>384.84622774857962</v>
      </c>
      <c r="R70" s="59">
        <f t="shared" si="55"/>
        <v>678.17956108191288</v>
      </c>
      <c r="S70" s="59">
        <f ca="1">AVERAGE(OFFSET($R$3,0,0,'Données projet'!$E$9+1,1))-AVERAGE(OFFSET($H$3,0,0,'Données projet'!$E$9+1,1))</f>
        <v>319.22903094674564</v>
      </c>
      <c r="T70" s="59">
        <f t="shared" si="88"/>
        <v>254.58690973142848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4.3618504869054444</v>
      </c>
      <c r="AA70" s="21">
        <f>EXP(-LN(2)/25)*AA69+(1-EXP(-LN(2)/25))/(LN(2)/25)*Calculateur!V70*Calculateur!X70*VLOOKUP('Données projet'!$B$9,Paramètres!$A$1:$I$89,3,0)*0.475*44/12</f>
        <v>3.9976235367568824</v>
      </c>
      <c r="AB70" s="21">
        <f>EXP(-LN(2)/2)*AB69+(1-EXP(-LN(2)/2))/(LN(2)/2)*V70*Y70*VLOOKUP('Données projet'!$B$9,Paramètres!$A$1:$I$89,3,0)*0.475*44/12</f>
        <v>2.9787716481795566E-5</v>
      </c>
      <c r="AC70" s="22">
        <f t="shared" si="57"/>
        <v>8.3595038113788078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233.40000000000023</v>
      </c>
      <c r="AJ70" s="13">
        <f>AI70*VLOOKUP('Données projet'!$B$10,Paramètres!$A$1:$I$89,3,0)*VLOOKUP('Données projet'!$B$10,Paramètres!$A$1:$I$89,5,0)</f>
        <v>203.89824000000024</v>
      </c>
      <c r="AK70" s="13">
        <f t="shared" si="89"/>
        <v>50.599918019430255</v>
      </c>
      <c r="AL70" s="20">
        <f t="shared" si="58"/>
        <v>443.25095855050807</v>
      </c>
      <c r="AM70" s="59">
        <f t="shared" si="59"/>
        <v>736.58429188384139</v>
      </c>
      <c r="AN70" s="59">
        <f ca="1">AVERAGE(OFFSET($AM$3,0,0,'Données projet'!$E$10+1,1))-AVERAGE(OFFSET($H$3,0,0,'Données projet'!$E$10+1,1))</f>
        <v>321.23599968992932</v>
      </c>
      <c r="AO70" s="59">
        <f t="shared" si="90"/>
        <v>388.05195847800502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3.2555199789864546</v>
      </c>
      <c r="AV70" s="21">
        <f>EXP(-LN(2)/25)*AV69+(1-EXP(-LN(2)/25))/(LN(2)/25)*Calculateur!AQ70*Calculateur!AS70*VLOOKUP('Données projet'!$B$10,Paramètres!$A$1:$I$89,3,0)*0.475*44/12</f>
        <v>5.4856188536215464</v>
      </c>
      <c r="AW70" s="21">
        <f>EXP(-LN(2)/2)*AW69+(1-EXP(-LN(2)/2))/(LN(2)/2)*AQ70*AT70*VLOOKUP('Données projet'!$B$10,Paramètres!$A$1:$I$89,3,0)*0.475*44/12</f>
        <v>4.5643494682567834E-5</v>
      </c>
      <c r="AX70" s="21">
        <f t="shared" si="60"/>
        <v>8.7411844761026849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1.1368683772161603E-13</v>
      </c>
      <c r="BE70" s="13">
        <f>BD70*VLOOKUP('Données projet'!$B$11,Paramètres!$A$1:$I$89,3,0)*VLOOKUP('Données projet'!$B$11,Paramètres!$A$1:$I$89,5,0)</f>
        <v>6.7984728957526396E-14</v>
      </c>
      <c r="BF70" s="13">
        <f t="shared" si="91"/>
        <v>1.0682447123141398E-12</v>
      </c>
      <c r="BG70" s="20">
        <f t="shared" si="61"/>
        <v>1.978932943548152E-12</v>
      </c>
      <c r="BH70" s="59">
        <f t="shared" si="62"/>
        <v>293.3333333333353</v>
      </c>
      <c r="BI70" s="59">
        <f ca="1">AVERAGE(OFFSET($BH$3,0,0,'Données projet'!$E$11+1,1))-AVERAGE(OFFSET($H$3,0,0,'Données projet'!$E$11+1,1))</f>
        <v>258.31845364515124</v>
      </c>
      <c r="BJ70" s="59">
        <f t="shared" si="92"/>
        <v>280.26155987300996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5.5164136783852804</v>
      </c>
      <c r="BQ70" s="21">
        <f>EXP(-LN(2)/25)*BQ69+(1-EXP(-LN(2)/25))/(LN(2)/25)*Calculateur!BL70*Calculateur!BN70*VLOOKUP('Données projet'!$B$11,Paramètres!$A$1:$I$89,3,0)*0.475*44/12</f>
        <v>3.3795064658811476</v>
      </c>
      <c r="BR70" s="21">
        <f>EXP(-LN(2)/2)*BR69+(1-EXP(-LN(2)/2))/(LN(2)/2)*BL70*BO70*VLOOKUP('Données projet'!$B$11,Paramètres!$A$1:$I$89,3,0)*0.475*44/12</f>
        <v>1.2216507255573176E-5</v>
      </c>
      <c r="BS70" s="22">
        <f t="shared" si="63"/>
        <v>8.8959323607736831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-5.6843418860808015E-14</v>
      </c>
      <c r="BZ70" s="13">
        <f>BY70*VLOOKUP('Données projet'!$B$12,Paramètres!$A$1:$I$89,3,0)*VLOOKUP('Données projet'!$B$12,Paramètres!$A$1:$I$89,5,0)</f>
        <v>-5.1431925385259088E-14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366.86025470473652</v>
      </c>
      <c r="CE70" s="59">
        <f t="shared" si="94"/>
        <v>513.80016421153414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1.2373970670269026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9.9859022281070002E-6</v>
      </c>
      <c r="CN70" s="22">
        <f t="shared" si="66"/>
        <v>1.2374070529291306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-5.6843418860808015E-14</v>
      </c>
      <c r="CU70" s="17">
        <f>CT70*VLOOKUP('Données projet'!$B$13,Paramètres!$A$1:$I$89,3,0)*VLOOKUP('Données projet'!$B$13,Paramètres!$A$1:$I$89,5,0)</f>
        <v>-3.1036506698001178E-14</v>
      </c>
      <c r="CV70" s="13" t="e">
        <f t="shared" si="95"/>
        <v>#NUM!</v>
      </c>
      <c r="CW70" s="20" t="e">
        <f t="shared" si="67"/>
        <v>#NUM!</v>
      </c>
      <c r="CX70" s="59" t="e">
        <f t="shared" si="68"/>
        <v>#NUM!</v>
      </c>
      <c r="CY70" s="59">
        <f ca="1">AVERAGE(OFFSET($CX$3,0,0,'Données projet'!$E$13+1,1))-AVERAGE(OFFSET($H$3,0,0,'Données projet'!$E$13+1,1))</f>
        <v>207.02306964567629</v>
      </c>
      <c r="CZ70" s="59">
        <f t="shared" si="96"/>
        <v>342.06887933351783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3.1745642981317959</v>
      </c>
      <c r="DG70" s="21">
        <f>EXP(-LN(2)/25)*DG69+(1-EXP(-LN(2)/25))/(LN(2)/25)*Calculateur!DB70*Calculateur!DD70*VLOOKUP('Données projet'!$B$13,Paramètres!$A$1:$I$89,3,0)*0.475*44/12</f>
        <v>13.952260398600208</v>
      </c>
      <c r="DH70" s="21">
        <f>EXP(-LN(2)/2)*DH69+(1-EXP(-LN(2)/2))/(LN(2)/2)*DB70*DE70*VLOOKUP('Données projet'!$B$13,Paramètres!$A$1:$I$89,3,0)*0.475*44/12</f>
        <v>3.5805406434559768E-5</v>
      </c>
      <c r="DI70" s="22">
        <f t="shared" si="69"/>
        <v>17.126860502138438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7">
        <f t="shared" si="56"/>
        <v>256.66666666666669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15.5</v>
      </c>
      <c r="N71" s="13">
        <f>IF('Données projet'!$A$36&gt;35,N70+M71-V70,IF(A71&lt;'Données projet'!$A$36,$K$205^A71,IF(A71='Données projet'!$A$36,'Données projet'!$B$36,N70+M71-V70)))</f>
        <v>392.49999999999989</v>
      </c>
      <c r="O71" s="13">
        <f>N71*VLOOKUP('Données projet'!$B$9,Paramètres!$A$1:$I$89,3,0)*VLOOKUP('Données projet'!$B$9,Paramètres!$A$1:$I$89,5,0)</f>
        <v>183.68999999999994</v>
      </c>
      <c r="P71" s="13">
        <f t="shared" si="87"/>
        <v>46.14217109072662</v>
      </c>
      <c r="Q71" s="20">
        <f t="shared" si="54"/>
        <v>400.29103131634878</v>
      </c>
      <c r="R71" s="59">
        <f t="shared" si="55"/>
        <v>693.62436464968209</v>
      </c>
      <c r="S71" s="59">
        <f ca="1">AVERAGE(OFFSET($R$3,0,0,'Données projet'!$E$9+1,1))-AVERAGE(OFFSET($H$3,0,0,'Données projet'!$E$9+1,1))</f>
        <v>319.22903094674564</v>
      </c>
      <c r="T71" s="59">
        <f t="shared" si="88"/>
        <v>254.58690973142848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4.2763172593233261</v>
      </c>
      <c r="AA71" s="21">
        <f>EXP(-LN(2)/25)*AA70+(1-EXP(-LN(2)/25))/(LN(2)/25)*Calculateur!V71*Calculateur!X71*VLOOKUP('Données projet'!$B$9,Paramètres!$A$1:$I$89,3,0)*0.475*44/12</f>
        <v>3.8883083109183803</v>
      </c>
      <c r="AB71" s="21">
        <f>EXP(-LN(2)/2)*AB70+(1-EXP(-LN(2)/2))/(LN(2)/2)*V71*Y71*VLOOKUP('Données projet'!$B$9,Paramètres!$A$1:$I$89,3,0)*0.475*44/12</f>
        <v>2.1063096320339933E-5</v>
      </c>
      <c r="AC71" s="22">
        <f t="shared" si="57"/>
        <v>8.1646466333380268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238.60000000000022</v>
      </c>
      <c r="AJ71" s="13">
        <f>AI71*VLOOKUP('Données projet'!$B$10,Paramètres!$A$1:$I$89,3,0)*VLOOKUP('Données projet'!$B$10,Paramètres!$A$1:$I$89,5,0)</f>
        <v>208.44096000000022</v>
      </c>
      <c r="AK71" s="13">
        <f t="shared" si="89"/>
        <v>51.594748621124261</v>
      </c>
      <c r="AL71" s="20">
        <f t="shared" si="58"/>
        <v>452.89552584845842</v>
      </c>
      <c r="AM71" s="59">
        <f t="shared" si="59"/>
        <v>746.22885918179168</v>
      </c>
      <c r="AN71" s="59">
        <f ca="1">AVERAGE(OFFSET($AM$3,0,0,'Données projet'!$E$10+1,1))-AVERAGE(OFFSET($H$3,0,0,'Données projet'!$E$10+1,1))</f>
        <v>321.23599968992932</v>
      </c>
      <c r="AO71" s="59">
        <f t="shared" si="90"/>
        <v>388.05195847800502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3.1916812178696485</v>
      </c>
      <c r="AV71" s="21">
        <f>EXP(-LN(2)/25)*AV70+(1-EXP(-LN(2)/25))/(LN(2)/25)*Calculateur!AQ71*Calculateur!AS71*VLOOKUP('Données projet'!$B$10,Paramètres!$A$1:$I$89,3,0)*0.475*44/12</f>
        <v>5.335614317593107</v>
      </c>
      <c r="AW71" s="21">
        <f>EXP(-LN(2)/2)*AW70+(1-EXP(-LN(2)/2))/(LN(2)/2)*AQ71*AT71*VLOOKUP('Données projet'!$B$10,Paramètres!$A$1:$I$89,3,0)*0.475*44/12</f>
        <v>3.2274824607095839E-5</v>
      </c>
      <c r="AX71" s="21">
        <f t="shared" si="60"/>
        <v>8.5273278102873622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1.1368683772161603E-13</v>
      </c>
      <c r="BE71" s="13">
        <f>BD71*VLOOKUP('Données projet'!$B$11,Paramètres!$A$1:$I$89,3,0)*VLOOKUP('Données projet'!$B$11,Paramètres!$A$1:$I$89,5,0)</f>
        <v>6.7984728957526396E-14</v>
      </c>
      <c r="BF71" s="13">
        <f t="shared" si="91"/>
        <v>1.0682447123141398E-12</v>
      </c>
      <c r="BG71" s="20">
        <f t="shared" si="61"/>
        <v>1.978932943548152E-12</v>
      </c>
      <c r="BH71" s="59">
        <f t="shared" si="62"/>
        <v>293.3333333333353</v>
      </c>
      <c r="BI71" s="59">
        <f ca="1">AVERAGE(OFFSET($BH$3,0,0,'Données projet'!$E$11+1,1))-AVERAGE(OFFSET($H$3,0,0,'Données projet'!$E$11+1,1))</f>
        <v>258.31845364515124</v>
      </c>
      <c r="BJ71" s="59">
        <f t="shared" si="92"/>
        <v>280.26155987300996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5.4082401708322543</v>
      </c>
      <c r="BQ71" s="21">
        <f>EXP(-LN(2)/25)*BQ70+(1-EXP(-LN(2)/25))/(LN(2)/25)*Calculateur!BL71*Calculateur!BN71*VLOOKUP('Données projet'!$B$11,Paramètres!$A$1:$I$89,3,0)*0.475*44/12</f>
        <v>3.2870936838511065</v>
      </c>
      <c r="BR71" s="21">
        <f>EXP(-LN(2)/2)*BR70+(1-EXP(-LN(2)/2))/(LN(2)/2)*BL71*BO71*VLOOKUP('Données projet'!$B$11,Paramètres!$A$1:$I$89,3,0)*0.475*44/12</f>
        <v>8.6383751228304518E-6</v>
      </c>
      <c r="BS71" s="22">
        <f t="shared" si="63"/>
        <v>8.6953424930584831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-5.6843418860808015E-14</v>
      </c>
      <c r="BZ71" s="13">
        <f>BY71*VLOOKUP('Données projet'!$B$12,Paramètres!$A$1:$I$89,3,0)*VLOOKUP('Données projet'!$B$12,Paramètres!$A$1:$I$89,5,0)</f>
        <v>-5.1431925385259088E-14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366.86025470473652</v>
      </c>
      <c r="CE71" s="59">
        <f t="shared" si="94"/>
        <v>513.80016421153414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1.2131324652801918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7.0610991817603141E-6</v>
      </c>
      <c r="CN71" s="22">
        <f t="shared" si="66"/>
        <v>1.2131395263793736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-5.6843418860808015E-14</v>
      </c>
      <c r="CU71" s="17">
        <f>CT71*VLOOKUP('Données projet'!$B$13,Paramètres!$A$1:$I$89,3,0)*VLOOKUP('Données projet'!$B$13,Paramètres!$A$1:$I$89,5,0)</f>
        <v>-3.1036506698001178E-14</v>
      </c>
      <c r="CV71" s="13" t="e">
        <f t="shared" si="95"/>
        <v>#NUM!</v>
      </c>
      <c r="CW71" s="20" t="e">
        <f t="shared" si="67"/>
        <v>#NUM!</v>
      </c>
      <c r="CX71" s="59" t="e">
        <f t="shared" si="68"/>
        <v>#NUM!</v>
      </c>
      <c r="CY71" s="59">
        <f ca="1">AVERAGE(OFFSET($CX$3,0,0,'Données projet'!$E$13+1,1))-AVERAGE(OFFSET($H$3,0,0,'Données projet'!$E$13+1,1))</f>
        <v>207.02306964567629</v>
      </c>
      <c r="CZ71" s="59">
        <f t="shared" si="96"/>
        <v>342.06887933351783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3.1123130285384599</v>
      </c>
      <c r="DG71" s="21">
        <f>EXP(-LN(2)/25)*DG70+(1-EXP(-LN(2)/25))/(LN(2)/25)*Calculateur!DB71*Calculateur!DD71*VLOOKUP('Données projet'!$B$13,Paramètres!$A$1:$I$89,3,0)*0.475*44/12</f>
        <v>13.570735104282999</v>
      </c>
      <c r="DH71" s="21">
        <f>EXP(-LN(2)/2)*DH70+(1-EXP(-LN(2)/2))/(LN(2)/2)*DB71*DE71*VLOOKUP('Données projet'!$B$13,Paramètres!$A$1:$I$89,3,0)*0.475*44/12</f>
        <v>2.5318245693017655E-5</v>
      </c>
      <c r="DI71" s="22">
        <f t="shared" si="69"/>
        <v>16.683073451067152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7">
        <f t="shared" si="56"/>
        <v>256.66666666666669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15.5</v>
      </c>
      <c r="N72" s="13">
        <f>IF('Données projet'!$A$36&gt;35,N71+M72-V71,IF(A72&lt;'Données projet'!$A$36,$K$205^A72,IF(A72='Données projet'!$A$36,'Données projet'!$B$36,N71+M72-V71)))</f>
        <v>407.99999999999989</v>
      </c>
      <c r="O72" s="13">
        <f>N72*VLOOKUP('Données projet'!$B$9,Paramètres!$A$1:$I$89,3,0)*VLOOKUP('Données projet'!$B$9,Paramètres!$A$1:$I$89,5,0)</f>
        <v>190.94399999999996</v>
      </c>
      <c r="P72" s="13">
        <f t="shared" si="87"/>
        <v>47.748597609826554</v>
      </c>
      <c r="Q72" s="20">
        <f t="shared" si="54"/>
        <v>415.72294083711449</v>
      </c>
      <c r="R72" s="59">
        <f t="shared" si="55"/>
        <v>709.05627417044775</v>
      </c>
      <c r="S72" s="59">
        <f ca="1">AVERAGE(OFFSET($R$3,0,0,'Données projet'!$E$9+1,1))-AVERAGE(OFFSET($H$3,0,0,'Données projet'!$E$9+1,1))</f>
        <v>319.22903094674564</v>
      </c>
      <c r="T72" s="59">
        <f t="shared" si="88"/>
        <v>254.58690973142848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4.1924612861639758</v>
      </c>
      <c r="AA72" s="21">
        <f>EXP(-LN(2)/25)*AA71+(1-EXP(-LN(2)/25))/(LN(2)/25)*Calculateur!V72*Calculateur!X72*VLOOKUP('Données projet'!$B$9,Paramètres!$A$1:$I$89,3,0)*0.475*44/12</f>
        <v>3.7819823156790697</v>
      </c>
      <c r="AB72" s="21">
        <f>EXP(-LN(2)/2)*AB71+(1-EXP(-LN(2)/2))/(LN(2)/2)*V72*Y72*VLOOKUP('Données projet'!$B$9,Paramètres!$A$1:$I$89,3,0)*0.475*44/12</f>
        <v>1.4893858240897785E-5</v>
      </c>
      <c r="AC72" s="22">
        <f t="shared" si="57"/>
        <v>7.9744584957012865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243.80000000000021</v>
      </c>
      <c r="AJ72" s="13">
        <f>AI72*VLOOKUP('Données projet'!$B$10,Paramètres!$A$1:$I$89,3,0)*VLOOKUP('Données projet'!$B$10,Paramètres!$A$1:$I$89,5,0)</f>
        <v>212.98368000000022</v>
      </c>
      <c r="AK72" s="13">
        <f t="shared" si="89"/>
        <v>52.587058525970413</v>
      </c>
      <c r="AL72" s="20">
        <f t="shared" si="58"/>
        <v>462.53570293273214</v>
      </c>
      <c r="AM72" s="59">
        <f t="shared" si="59"/>
        <v>755.86903626606545</v>
      </c>
      <c r="AN72" s="59">
        <f ca="1">AVERAGE(OFFSET($AM$3,0,0,'Données projet'!$E$10+1,1))-AVERAGE(OFFSET($H$3,0,0,'Données projet'!$E$10+1,1))</f>
        <v>321.23599968992932</v>
      </c>
      <c r="AO72" s="59">
        <f t="shared" si="90"/>
        <v>388.05195847800502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3.1290942959205439</v>
      </c>
      <c r="AV72" s="21">
        <f>EXP(-LN(2)/25)*AV71+(1-EXP(-LN(2)/25))/(LN(2)/25)*Calculateur!AQ72*Calculateur!AS72*VLOOKUP('Données projet'!$B$10,Paramètres!$A$1:$I$89,3,0)*0.475*44/12</f>
        <v>5.189711663490761</v>
      </c>
      <c r="AW72" s="21">
        <f>EXP(-LN(2)/2)*AW71+(1-EXP(-LN(2)/2))/(LN(2)/2)*AQ72*AT72*VLOOKUP('Données projet'!$B$10,Paramètres!$A$1:$I$89,3,0)*0.475*44/12</f>
        <v>2.2821747341283917E-5</v>
      </c>
      <c r="AX72" s="21">
        <f t="shared" si="60"/>
        <v>8.318828781158647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1.1368683772161603E-13</v>
      </c>
      <c r="BE72" s="13">
        <f>BD72*VLOOKUP('Données projet'!$B$11,Paramètres!$A$1:$I$89,3,0)*VLOOKUP('Données projet'!$B$11,Paramètres!$A$1:$I$89,5,0)</f>
        <v>6.7984728957526396E-14</v>
      </c>
      <c r="BF72" s="13">
        <f t="shared" si="91"/>
        <v>1.0682447123141398E-12</v>
      </c>
      <c r="BG72" s="20">
        <f t="shared" si="61"/>
        <v>1.978932943548152E-12</v>
      </c>
      <c r="BH72" s="59">
        <f t="shared" si="62"/>
        <v>293.3333333333353</v>
      </c>
      <c r="BI72" s="59">
        <f ca="1">AVERAGE(OFFSET($BH$3,0,0,'Données projet'!$E$11+1,1))-AVERAGE(OFFSET($H$3,0,0,'Données projet'!$E$11+1,1))</f>
        <v>258.31845364515124</v>
      </c>
      <c r="BJ72" s="59">
        <f t="shared" si="92"/>
        <v>280.26155987300996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5.302187879783018</v>
      </c>
      <c r="BQ72" s="21">
        <f>EXP(-LN(2)/25)*BQ71+(1-EXP(-LN(2)/25))/(LN(2)/25)*Calculateur!BL72*Calculateur!BN72*VLOOKUP('Données projet'!$B$11,Paramètres!$A$1:$I$89,3,0)*0.475*44/12</f>
        <v>3.197207934205454</v>
      </c>
      <c r="BR72" s="21">
        <f>EXP(-LN(2)/2)*BR71+(1-EXP(-LN(2)/2))/(LN(2)/2)*BL72*BO72*VLOOKUP('Données projet'!$B$11,Paramètres!$A$1:$I$89,3,0)*0.475*44/12</f>
        <v>6.1082536277865879E-6</v>
      </c>
      <c r="BS72" s="22">
        <f t="shared" si="63"/>
        <v>8.4994019222420985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-5.6843418860808015E-14</v>
      </c>
      <c r="BZ72" s="13">
        <f>BY72*VLOOKUP('Données projet'!$B$12,Paramètres!$A$1:$I$89,3,0)*VLOOKUP('Données projet'!$B$12,Paramètres!$A$1:$I$89,5,0)</f>
        <v>-5.1431925385259088E-14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366.86025470473652</v>
      </c>
      <c r="CE72" s="59">
        <f t="shared" si="94"/>
        <v>513.80016421153414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1.1893436775737882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4.9929511140535001E-6</v>
      </c>
      <c r="CN72" s="22">
        <f t="shared" si="66"/>
        <v>1.1893486705249023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-5.6843418860808015E-14</v>
      </c>
      <c r="CU72" s="17">
        <f>CT72*VLOOKUP('Données projet'!$B$13,Paramètres!$A$1:$I$89,3,0)*VLOOKUP('Données projet'!$B$13,Paramètres!$A$1:$I$89,5,0)</f>
        <v>-3.1036506698001178E-14</v>
      </c>
      <c r="CV72" s="13" t="e">
        <f t="shared" si="95"/>
        <v>#NUM!</v>
      </c>
      <c r="CW72" s="20" t="e">
        <f t="shared" si="67"/>
        <v>#NUM!</v>
      </c>
      <c r="CX72" s="59" t="e">
        <f t="shared" si="68"/>
        <v>#NUM!</v>
      </c>
      <c r="CY72" s="59">
        <f ca="1">AVERAGE(OFFSET($CX$3,0,0,'Données projet'!$E$13+1,1))-AVERAGE(OFFSET($H$3,0,0,'Données projet'!$E$13+1,1))</f>
        <v>207.02306964567629</v>
      </c>
      <c r="CZ72" s="59">
        <f t="shared" si="96"/>
        <v>342.06887933351783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3.0512824683723241</v>
      </c>
      <c r="DG72" s="21">
        <f>EXP(-LN(2)/25)*DG71+(1-EXP(-LN(2)/25))/(LN(2)/25)*Calculateur!DB72*Calculateur!DD72*VLOOKUP('Données projet'!$B$13,Paramètres!$A$1:$I$89,3,0)*0.475*44/12</f>
        <v>13.199642639202438</v>
      </c>
      <c r="DH72" s="21">
        <f>EXP(-LN(2)/2)*DH71+(1-EXP(-LN(2)/2))/(LN(2)/2)*DB72*DE72*VLOOKUP('Données projet'!$B$13,Paramètres!$A$1:$I$89,3,0)*0.475*44/12</f>
        <v>1.7902703217279884E-5</v>
      </c>
      <c r="DI72" s="22">
        <f t="shared" si="69"/>
        <v>16.250943010277979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7">
        <f t="shared" si="56"/>
        <v>256.66666666666669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423.5</v>
      </c>
      <c r="L73" s="12">
        <f>VLOOKUP(A73,'Données projet'!$A$35:$I$55,9,0)</f>
        <v>15.5</v>
      </c>
      <c r="M73" s="12">
        <f t="array" ref="M73">INDEX(L:L,MIN(IF(ISNUMBER(L73:L269),ROW(L73:L269),"")))</f>
        <v>15.5</v>
      </c>
      <c r="N73" s="13">
        <f>IF('Données projet'!$A$36&gt;35,N72+M73-V72,IF(A73&lt;'Données projet'!$A$36,$K$205^A73,IF(A73='Données projet'!$A$36,'Données projet'!$B$36,N72+M73-V72)))</f>
        <v>423.49999999999989</v>
      </c>
      <c r="O73" s="13">
        <f>N73*VLOOKUP('Données projet'!$B$9,Paramètres!$A$1:$I$89,3,0)*VLOOKUP('Données projet'!$B$9,Paramètres!$A$1:$I$89,5,0)</f>
        <v>198.19799999999995</v>
      </c>
      <c r="P73" s="13">
        <f t="shared" si="87"/>
        <v>49.347934298451406</v>
      </c>
      <c r="Q73" s="20">
        <f t="shared" si="54"/>
        <v>431.14250223646945</v>
      </c>
      <c r="R73" s="59">
        <f t="shared" si="55"/>
        <v>724.47583556980271</v>
      </c>
      <c r="S73" s="59">
        <f ca="1">AVERAGE(OFFSET($R$3,0,0,'Données projet'!$E$9+1,1))-AVERAGE(OFFSET($H$3,0,0,'Données projet'!$E$9+1,1))</f>
        <v>319.22903094674564</v>
      </c>
      <c r="T73" s="59">
        <f t="shared" si="88"/>
        <v>254.58690973142848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87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4.1102496774911872</v>
      </c>
      <c r="AA73" s="21">
        <f>EXP(-LN(2)/25)*AA72+(1-EXP(-LN(2)/25))/(LN(2)/25)*Calculateur!V73*Calculateur!X73*VLOOKUP('Données projet'!$B$9,Paramètres!$A$1:$I$89,3,0)*0.475*44/12</f>
        <v>3.6785638103710192</v>
      </c>
      <c r="AB73" s="21">
        <f>EXP(-LN(2)/2)*AB72+(1-EXP(-LN(2)/2))/(LN(2)/2)*V73*Y73*VLOOKUP('Données projet'!$B$9,Paramètres!$A$1:$I$89,3,0)*0.475*44/12</f>
        <v>1.0531548160169968E-5</v>
      </c>
      <c r="AC73" s="22">
        <f t="shared" si="57"/>
        <v>7.7888240194103666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249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249.0000000000002</v>
      </c>
      <c r="AJ73" s="13">
        <f>AI73*VLOOKUP('Données projet'!$B$10,Paramètres!$A$1:$I$89,3,0)*VLOOKUP('Données projet'!$B$10,Paramètres!$A$1:$I$89,5,0)</f>
        <v>217.52640000000019</v>
      </c>
      <c r="AK73" s="13">
        <f t="shared" si="89"/>
        <v>53.576907690651304</v>
      </c>
      <c r="AL73" s="20">
        <f t="shared" si="58"/>
        <v>472.17159422788467</v>
      </c>
      <c r="AM73" s="59">
        <f t="shared" si="59"/>
        <v>765.50492756121798</v>
      </c>
      <c r="AN73" s="59">
        <f ca="1">AVERAGE(OFFSET($AM$3,0,0,'Données projet'!$E$10+1,1))-AVERAGE(OFFSET($H$3,0,0,'Données projet'!$E$10+1,1))</f>
        <v>321.23599968992932</v>
      </c>
      <c r="AO73" s="59">
        <f t="shared" si="90"/>
        <v>388.05195847800502</v>
      </c>
      <c r="AP73" s="15">
        <f>IF(ISNA(VLOOKUP(A73,'Données projet'!$A$61:$I$81,3,0)),0,VLOOKUP(A73,'Données projet'!$A$61:$I$81,3,0))</f>
        <v>12</v>
      </c>
      <c r="AQ73" s="15">
        <f>IF(ISNA(VLOOKUP(A73,'Données projet'!$A$61:$I$81,4,0)),0,VLOOKUP(A73,'Données projet'!$A$61:$I$81,4,0))</f>
        <v>249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3.0677346653366078</v>
      </c>
      <c r="AV73" s="21">
        <f>EXP(-LN(2)/25)*AV72+(1-EXP(-LN(2)/25))/(LN(2)/25)*Calculateur!AQ73*Calculateur!AS73*VLOOKUP('Données projet'!$B$10,Paramètres!$A$1:$I$89,3,0)*0.475*44/12</f>
        <v>5.0477987251375307</v>
      </c>
      <c r="AW73" s="21">
        <f>EXP(-LN(2)/2)*AW72+(1-EXP(-LN(2)/2))/(LN(2)/2)*AQ73*AT73*VLOOKUP('Données projet'!$B$10,Paramètres!$A$1:$I$89,3,0)*0.475*44/12</f>
        <v>1.6137412303547919E-5</v>
      </c>
      <c r="AX73" s="21">
        <f t="shared" si="60"/>
        <v>8.1155495278864418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1.1368683772161603E-13</v>
      </c>
      <c r="BE73" s="13">
        <f>BD73*VLOOKUP('Données projet'!$B$11,Paramètres!$A$1:$I$89,3,0)*VLOOKUP('Données projet'!$B$11,Paramètres!$A$1:$I$89,5,0)</f>
        <v>6.7984728957526396E-14</v>
      </c>
      <c r="BF73" s="13">
        <f t="shared" si="91"/>
        <v>1.0682447123141398E-12</v>
      </c>
      <c r="BG73" s="20">
        <f t="shared" si="61"/>
        <v>1.978932943548152E-12</v>
      </c>
      <c r="BH73" s="59">
        <f t="shared" si="62"/>
        <v>293.3333333333353</v>
      </c>
      <c r="BI73" s="59">
        <f ca="1">AVERAGE(OFFSET($BH$3,0,0,'Données projet'!$E$11+1,1))-AVERAGE(OFFSET($H$3,0,0,'Données projet'!$E$11+1,1))</f>
        <v>258.31845364515124</v>
      </c>
      <c r="BJ73" s="59">
        <f t="shared" si="92"/>
        <v>280.26155987300996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5.1982152094757472</v>
      </c>
      <c r="BQ73" s="21">
        <f>EXP(-LN(2)/25)*BQ72+(1-EXP(-LN(2)/25))/(LN(2)/25)*Calculateur!BL73*Calculateur!BN73*VLOOKUP('Données projet'!$B$11,Paramètres!$A$1:$I$89,3,0)*0.475*44/12</f>
        <v>3.1097801151107478</v>
      </c>
      <c r="BR73" s="21">
        <f>EXP(-LN(2)/2)*BR72+(1-EXP(-LN(2)/2))/(LN(2)/2)*BL73*BO73*VLOOKUP('Données projet'!$B$11,Paramètres!$A$1:$I$89,3,0)*0.475*44/12</f>
        <v>4.3191875614152259E-6</v>
      </c>
      <c r="BS73" s="22">
        <f t="shared" si="63"/>
        <v>8.3079996437740569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-5.6843418860808015E-14</v>
      </c>
      <c r="BZ73" s="13">
        <f>BY73*VLOOKUP('Données projet'!$B$12,Paramètres!$A$1:$I$89,3,0)*VLOOKUP('Données projet'!$B$12,Paramètres!$A$1:$I$89,5,0)</f>
        <v>-5.1431925385259088E-14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366.86025470473652</v>
      </c>
      <c r="CE73" s="59">
        <f t="shared" si="94"/>
        <v>513.80016421153414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1.1660213734845795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3.530549590880157E-6</v>
      </c>
      <c r="CN73" s="22">
        <f t="shared" si="66"/>
        <v>1.1660249040341704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-5.6843418860808015E-14</v>
      </c>
      <c r="CU73" s="17">
        <f>CT73*VLOOKUP('Données projet'!$B$13,Paramètres!$A$1:$I$89,3,0)*VLOOKUP('Données projet'!$B$13,Paramètres!$A$1:$I$89,5,0)</f>
        <v>-3.1036506698001178E-14</v>
      </c>
      <c r="CV73" s="13" t="e">
        <f t="shared" si="95"/>
        <v>#NUM!</v>
      </c>
      <c r="CW73" s="20" t="e">
        <f t="shared" si="67"/>
        <v>#NUM!</v>
      </c>
      <c r="CX73" s="59" t="e">
        <f t="shared" si="68"/>
        <v>#NUM!</v>
      </c>
      <c r="CY73" s="59">
        <f ca="1">AVERAGE(OFFSET($CX$3,0,0,'Données projet'!$E$13+1,1))-AVERAGE(OFFSET($H$3,0,0,'Données projet'!$E$13+1,1))</f>
        <v>207.02306964567629</v>
      </c>
      <c r="CZ73" s="59">
        <f t="shared" si="96"/>
        <v>342.06887933351783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2.9914486802660805</v>
      </c>
      <c r="DG73" s="21">
        <f>EXP(-LN(2)/25)*DG72+(1-EXP(-LN(2)/25))/(LN(2)/25)*Calculateur!DB73*Calculateur!DD73*VLOOKUP('Données projet'!$B$13,Paramètres!$A$1:$I$89,3,0)*0.475*44/12</f>
        <v>12.838697717094409</v>
      </c>
      <c r="DH73" s="21">
        <f>EXP(-LN(2)/2)*DH72+(1-EXP(-LN(2)/2))/(LN(2)/2)*DB73*DE73*VLOOKUP('Données projet'!$B$13,Paramètres!$A$1:$I$89,3,0)*0.475*44/12</f>
        <v>1.2659122846508828E-5</v>
      </c>
      <c r="DI73" s="22">
        <f t="shared" si="69"/>
        <v>15.830159056483335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7">
        <f t="shared" si="56"/>
        <v>256.66666666666669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17</v>
      </c>
      <c r="N74" s="13">
        <f>IF('Données projet'!$A$36&gt;35,N73+M74-V73,IF(A74&lt;'Données projet'!$A$36,$K$205^A74,IF(A74='Données projet'!$A$36,'Données projet'!$B$36,N73+M74-V73)))</f>
        <v>353.49999999999989</v>
      </c>
      <c r="O74" s="13">
        <f>N74*VLOOKUP('Données projet'!$B$9,Paramètres!$A$1:$I$89,3,0)*VLOOKUP('Données projet'!$B$9,Paramètres!$A$1:$I$89,5,0)</f>
        <v>165.43799999999993</v>
      </c>
      <c r="P74" s="13">
        <f t="shared" si="87"/>
        <v>42.066675415215769</v>
      </c>
      <c r="Q74" s="20">
        <f t="shared" si="54"/>
        <v>361.40397634816736</v>
      </c>
      <c r="R74" s="59">
        <f t="shared" si="55"/>
        <v>654.73730968150062</v>
      </c>
      <c r="S74" s="59">
        <f ca="1">AVERAGE(OFFSET($R$3,0,0,'Données projet'!$E$9+1,1))-AVERAGE(OFFSET($H$3,0,0,'Données projet'!$E$9+1,1))</f>
        <v>319.22903094674564</v>
      </c>
      <c r="T74" s="59">
        <f t="shared" si="88"/>
        <v>254.58690973142848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4.0296501883203417</v>
      </c>
      <c r="AA74" s="21">
        <f>EXP(-LN(2)/25)*AA73+(1-EXP(-LN(2)/25))/(LN(2)/25)*Calculateur!V74*Calculateur!X74*VLOOKUP('Données projet'!$B$9,Paramètres!$A$1:$I$89,3,0)*0.475*44/12</f>
        <v>3.5779732895291603</v>
      </c>
      <c r="AB74" s="21">
        <f>EXP(-LN(2)/2)*AB73+(1-EXP(-LN(2)/2))/(LN(2)/2)*V74*Y74*VLOOKUP('Données projet'!$B$9,Paramètres!$A$1:$I$89,3,0)*0.475*44/12</f>
        <v>7.4469291204488931E-6</v>
      </c>
      <c r="AC74" s="22">
        <f t="shared" si="57"/>
        <v>7.6076309247786229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1.9895196601282805E-13</v>
      </c>
      <c r="AJ74" s="13">
        <f>AI74*VLOOKUP('Données projet'!$B$10,Paramètres!$A$1:$I$89,3,0)*VLOOKUP('Données projet'!$B$10,Paramètres!$A$1:$I$89,5,0)</f>
        <v>1.738044375088066E-13</v>
      </c>
      <c r="AK74" s="13">
        <f t="shared" si="89"/>
        <v>2.4483293633950478E-12</v>
      </c>
      <c r="AL74" s="20">
        <f t="shared" si="58"/>
        <v>4.566883036574213E-12</v>
      </c>
      <c r="AM74" s="59">
        <f t="shared" si="59"/>
        <v>293.33333333333786</v>
      </c>
      <c r="AN74" s="59">
        <f ca="1">AVERAGE(OFFSET($AM$3,0,0,'Données projet'!$E$10+1,1))-AVERAGE(OFFSET($H$3,0,0,'Données projet'!$E$10+1,1))</f>
        <v>321.23599968992932</v>
      </c>
      <c r="AO74" s="59">
        <f t="shared" si="90"/>
        <v>388.05195847800502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3.0075782596827438</v>
      </c>
      <c r="AV74" s="21">
        <f>EXP(-LN(2)/25)*AV73+(1-EXP(-LN(2)/25))/(LN(2)/25)*Calculateur!AQ74*Calculateur!AS74*VLOOKUP('Données projet'!$B$10,Paramètres!$A$1:$I$89,3,0)*0.475*44/12</f>
        <v>4.9097664035464472</v>
      </c>
      <c r="AW74" s="21">
        <f>EXP(-LN(2)/2)*AW73+(1-EXP(-LN(2)/2))/(LN(2)/2)*AQ74*AT74*VLOOKUP('Données projet'!$B$10,Paramètres!$A$1:$I$89,3,0)*0.475*44/12</f>
        <v>1.1410873670641959E-5</v>
      </c>
      <c r="AX74" s="21">
        <f t="shared" si="60"/>
        <v>7.9173560741028615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1.1368683772161603E-13</v>
      </c>
      <c r="BE74" s="13">
        <f>BD74*VLOOKUP('Données projet'!$B$11,Paramètres!$A$1:$I$89,3,0)*VLOOKUP('Données projet'!$B$11,Paramètres!$A$1:$I$89,5,0)</f>
        <v>6.7984728957526396E-14</v>
      </c>
      <c r="BF74" s="13">
        <f t="shared" si="91"/>
        <v>1.0682447123141398E-12</v>
      </c>
      <c r="BG74" s="20">
        <f t="shared" si="61"/>
        <v>1.978932943548152E-12</v>
      </c>
      <c r="BH74" s="59">
        <f t="shared" si="62"/>
        <v>293.3333333333353</v>
      </c>
      <c r="BI74" s="59">
        <f ca="1">AVERAGE(OFFSET($BH$3,0,0,'Données projet'!$E$11+1,1))-AVERAGE(OFFSET($H$3,0,0,'Données projet'!$E$11+1,1))</f>
        <v>258.31845364515124</v>
      </c>
      <c r="BJ74" s="59">
        <f t="shared" si="92"/>
        <v>280.26155987300996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5.0962813798161353</v>
      </c>
      <c r="BQ74" s="21">
        <f>EXP(-LN(2)/25)*BQ73+(1-EXP(-LN(2)/25))/(LN(2)/25)*Calculateur!BL74*Calculateur!BN74*VLOOKUP('Données projet'!$B$11,Paramètres!$A$1:$I$89,3,0)*0.475*44/12</f>
        <v>3.0247430143268157</v>
      </c>
      <c r="BR74" s="21">
        <f>EXP(-LN(2)/2)*BR73+(1-EXP(-LN(2)/2))/(LN(2)/2)*BL74*BO74*VLOOKUP('Données projet'!$B$11,Paramètres!$A$1:$I$89,3,0)*0.475*44/12</f>
        <v>3.0541268138932939E-6</v>
      </c>
      <c r="BS74" s="22">
        <f t="shared" si="63"/>
        <v>8.121027448269766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-5.6843418860808015E-14</v>
      </c>
      <c r="BZ74" s="13">
        <f>BY74*VLOOKUP('Données projet'!$B$12,Paramètres!$A$1:$I$89,3,0)*VLOOKUP('Données projet'!$B$12,Paramètres!$A$1:$I$89,5,0)</f>
        <v>-5.1431925385259088E-14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366.86025470473652</v>
      </c>
      <c r="CE74" s="59">
        <f t="shared" si="94"/>
        <v>513.80016421153414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1.1431564055533592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2.49647555702675E-6</v>
      </c>
      <c r="CN74" s="22">
        <f t="shared" si="66"/>
        <v>1.1431589020289161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-5.6843418860808015E-14</v>
      </c>
      <c r="CU74" s="17">
        <f>CT74*VLOOKUP('Données projet'!$B$13,Paramètres!$A$1:$I$89,3,0)*VLOOKUP('Données projet'!$B$13,Paramètres!$A$1:$I$89,5,0)</f>
        <v>-3.1036506698001178E-14</v>
      </c>
      <c r="CV74" s="13" t="e">
        <f t="shared" si="95"/>
        <v>#NUM!</v>
      </c>
      <c r="CW74" s="20" t="e">
        <f t="shared" si="67"/>
        <v>#NUM!</v>
      </c>
      <c r="CX74" s="59" t="e">
        <f t="shared" si="68"/>
        <v>#NUM!</v>
      </c>
      <c r="CY74" s="59">
        <f ca="1">AVERAGE(OFFSET($CX$3,0,0,'Données projet'!$E$13+1,1))-AVERAGE(OFFSET($H$3,0,0,'Données projet'!$E$13+1,1))</f>
        <v>207.02306964567629</v>
      </c>
      <c r="CZ74" s="59">
        <f t="shared" si="96"/>
        <v>342.06887933351783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2.932788196249593</v>
      </c>
      <c r="DG74" s="21">
        <f>EXP(-LN(2)/25)*DG73+(1-EXP(-LN(2)/25))/(LN(2)/25)*Calculateur!DB74*Calculateur!DD74*VLOOKUP('Données projet'!$B$13,Paramètres!$A$1:$I$89,3,0)*0.475*44/12</f>
        <v>12.487622852862692</v>
      </c>
      <c r="DH74" s="21">
        <f>EXP(-LN(2)/2)*DH73+(1-EXP(-LN(2)/2))/(LN(2)/2)*DB74*DE74*VLOOKUP('Données projet'!$B$13,Paramètres!$A$1:$I$89,3,0)*0.475*44/12</f>
        <v>8.951351608639942E-6</v>
      </c>
      <c r="DI74" s="22">
        <f t="shared" si="69"/>
        <v>15.420420000463894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7">
        <f t="shared" si="56"/>
        <v>256.66666666666669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17</v>
      </c>
      <c r="N75" s="13">
        <f>IF('Données projet'!$A$36&gt;35,N74+M75-V74,IF(A75&lt;'Données projet'!$A$36,$K$205^A75,IF(A75='Données projet'!$A$36,'Données projet'!$B$36,N74+M75-V74)))</f>
        <v>370.49999999999989</v>
      </c>
      <c r="O75" s="13">
        <f>N75*VLOOKUP('Données projet'!$B$9,Paramètres!$A$1:$I$89,3,0)*VLOOKUP('Données projet'!$B$9,Paramètres!$A$1:$I$89,5,0)</f>
        <v>173.39399999999998</v>
      </c>
      <c r="P75" s="13">
        <f t="shared" si="87"/>
        <v>43.849289930196633</v>
      </c>
      <c r="Q75" s="20">
        <f t="shared" si="54"/>
        <v>378.36539662842574</v>
      </c>
      <c r="R75" s="59">
        <f t="shared" si="55"/>
        <v>671.698729961759</v>
      </c>
      <c r="S75" s="59">
        <f ca="1">AVERAGE(OFFSET($R$3,0,0,'Données projet'!$E$9+1,1))-AVERAGE(OFFSET($H$3,0,0,'Données projet'!$E$9+1,1))</f>
        <v>319.22903094674564</v>
      </c>
      <c r="T75" s="59">
        <f t="shared" si="88"/>
        <v>254.58690973142848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3.9506312059713027</v>
      </c>
      <c r="AA75" s="21">
        <f>EXP(-LN(2)/25)*AA74+(1-EXP(-LN(2)/25))/(LN(2)/25)*Calculateur!V75*Calculateur!X75*VLOOKUP('Données projet'!$B$9,Paramètres!$A$1:$I$89,3,0)*0.475*44/12</f>
        <v>3.4801334217695477</v>
      </c>
      <c r="AB75" s="21">
        <f>EXP(-LN(2)/2)*AB74+(1-EXP(-LN(2)/2))/(LN(2)/2)*V75*Y75*VLOOKUP('Données projet'!$B$9,Paramètres!$A$1:$I$89,3,0)*0.475*44/12</f>
        <v>5.265774080084985E-6</v>
      </c>
      <c r="AC75" s="22">
        <f t="shared" si="57"/>
        <v>7.4307698935149302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1.9895196601282805E-13</v>
      </c>
      <c r="AJ75" s="13">
        <f>AI75*VLOOKUP('Données projet'!$B$10,Paramètres!$A$1:$I$89,3,0)*VLOOKUP('Données projet'!$B$10,Paramètres!$A$1:$I$89,5,0)</f>
        <v>1.738044375088066E-13</v>
      </c>
      <c r="AK75" s="13">
        <f t="shared" si="89"/>
        <v>2.4483293633950478E-12</v>
      </c>
      <c r="AL75" s="20">
        <f t="shared" si="58"/>
        <v>4.566883036574213E-12</v>
      </c>
      <c r="AM75" s="59">
        <f t="shared" si="59"/>
        <v>293.33333333333786</v>
      </c>
      <c r="AN75" s="59">
        <f ca="1">AVERAGE(OFFSET($AM$3,0,0,'Données projet'!$E$10+1,1))-AVERAGE(OFFSET($H$3,0,0,'Données projet'!$E$10+1,1))</f>
        <v>321.23599968992932</v>
      </c>
      <c r="AO75" s="59">
        <f t="shared" si="90"/>
        <v>388.05195847800502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2.9486014844519675</v>
      </c>
      <c r="AV75" s="21">
        <f>EXP(-LN(2)/25)*AV74+(1-EXP(-LN(2)/25))/(LN(2)/25)*Calculateur!AQ75*Calculateur!AS75*VLOOKUP('Données projet'!$B$10,Paramètres!$A$1:$I$89,3,0)*0.475*44/12</f>
        <v>4.7755085830480759</v>
      </c>
      <c r="AW75" s="21">
        <f>EXP(-LN(2)/2)*AW74+(1-EXP(-LN(2)/2))/(LN(2)/2)*AQ75*AT75*VLOOKUP('Données projet'!$B$10,Paramètres!$A$1:$I$89,3,0)*0.475*44/12</f>
        <v>8.0687061517739597E-6</v>
      </c>
      <c r="AX75" s="21">
        <f t="shared" si="60"/>
        <v>7.7241181362061955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1.1368683772161603E-13</v>
      </c>
      <c r="BE75" s="13">
        <f>BD75*VLOOKUP('Données projet'!$B$11,Paramètres!$A$1:$I$89,3,0)*VLOOKUP('Données projet'!$B$11,Paramètres!$A$1:$I$89,5,0)</f>
        <v>6.7984728957526396E-14</v>
      </c>
      <c r="BF75" s="13">
        <f t="shared" si="91"/>
        <v>1.0682447123141398E-12</v>
      </c>
      <c r="BG75" s="20">
        <f t="shared" si="61"/>
        <v>1.978932943548152E-12</v>
      </c>
      <c r="BH75" s="59">
        <f t="shared" si="62"/>
        <v>293.3333333333353</v>
      </c>
      <c r="BI75" s="59">
        <f ca="1">AVERAGE(OFFSET($BH$3,0,0,'Données projet'!$E$11+1,1))-AVERAGE(OFFSET($H$3,0,0,'Données projet'!$E$11+1,1))</f>
        <v>258.31845364515124</v>
      </c>
      <c r="BJ75" s="59">
        <f t="shared" si="92"/>
        <v>280.26155987300996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4.9963464103826514</v>
      </c>
      <c r="BQ75" s="21">
        <f>EXP(-LN(2)/25)*BQ74+(1-EXP(-LN(2)/25))/(LN(2)/25)*Calculateur!BL75*Calculateur!BN75*VLOOKUP('Données projet'!$B$11,Paramètres!$A$1:$I$89,3,0)*0.475*44/12</f>
        <v>2.942031257535727</v>
      </c>
      <c r="BR75" s="21">
        <f>EXP(-LN(2)/2)*BR74+(1-EXP(-LN(2)/2))/(LN(2)/2)*BL75*BO75*VLOOKUP('Données projet'!$B$11,Paramètres!$A$1:$I$89,3,0)*0.475*44/12</f>
        <v>2.1595937807076129E-6</v>
      </c>
      <c r="BS75" s="22">
        <f t="shared" si="63"/>
        <v>7.9383798275121595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-5.6843418860808015E-14</v>
      </c>
      <c r="BZ75" s="13">
        <f>BY75*VLOOKUP('Données projet'!$B$12,Paramètres!$A$1:$I$89,3,0)*VLOOKUP('Données projet'!$B$12,Paramètres!$A$1:$I$89,5,0)</f>
        <v>-5.1431925385259088E-14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366.86025470473652</v>
      </c>
      <c r="CE75" s="59">
        <f t="shared" si="94"/>
        <v>513.80016421153414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1.1207398056970168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1.7652747954400785E-6</v>
      </c>
      <c r="CN75" s="22">
        <f t="shared" si="66"/>
        <v>1.1207415709718123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-5.6843418860808015E-14</v>
      </c>
      <c r="CU75" s="17">
        <f>CT75*VLOOKUP('Données projet'!$B$13,Paramètres!$A$1:$I$89,3,0)*VLOOKUP('Données projet'!$B$13,Paramètres!$A$1:$I$89,5,0)</f>
        <v>-3.1036506698001178E-14</v>
      </c>
      <c r="CV75" s="13" t="e">
        <f t="shared" si="95"/>
        <v>#NUM!</v>
      </c>
      <c r="CW75" s="20" t="e">
        <f t="shared" si="67"/>
        <v>#NUM!</v>
      </c>
      <c r="CX75" s="59" t="e">
        <f t="shared" si="68"/>
        <v>#NUM!</v>
      </c>
      <c r="CY75" s="59">
        <f ca="1">AVERAGE(OFFSET($CX$3,0,0,'Données projet'!$E$13+1,1))-AVERAGE(OFFSET($H$3,0,0,'Données projet'!$E$13+1,1))</f>
        <v>207.02306964567629</v>
      </c>
      <c r="CZ75" s="59">
        <f t="shared" si="96"/>
        <v>342.06887933351783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2.8752780085453065</v>
      </c>
      <c r="DG75" s="21">
        <f>EXP(-LN(2)/25)*DG74+(1-EXP(-LN(2)/25))/(LN(2)/25)*Calculateur!DB75*Calculateur!DD75*VLOOKUP('Données projet'!$B$13,Paramètres!$A$1:$I$89,3,0)*0.475*44/12</f>
        <v>12.146148149255618</v>
      </c>
      <c r="DH75" s="21">
        <f>EXP(-LN(2)/2)*DH74+(1-EXP(-LN(2)/2))/(LN(2)/2)*DB75*DE75*VLOOKUP('Données projet'!$B$13,Paramètres!$A$1:$I$89,3,0)*0.475*44/12</f>
        <v>6.3295614232544138E-6</v>
      </c>
      <c r="DI75" s="22">
        <f t="shared" si="69"/>
        <v>15.021432487362347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7">
        <f t="shared" si="56"/>
        <v>256.66666666666669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17</v>
      </c>
      <c r="N76" s="13">
        <f>IF('Données projet'!$A$36&gt;35,N75+M76-V75,IF(A76&lt;'Données projet'!$A$36,$K$205^A76,IF(A76='Données projet'!$A$36,'Données projet'!$B$36,N75+M76-V75)))</f>
        <v>387.49999999999989</v>
      </c>
      <c r="O76" s="13">
        <f>N76*VLOOKUP('Données projet'!$B$9,Paramètres!$A$1:$I$89,3,0)*VLOOKUP('Données projet'!$B$9,Paramètres!$A$1:$I$89,5,0)</f>
        <v>181.34999999999994</v>
      </c>
      <c r="P76" s="13">
        <f t="shared" si="87"/>
        <v>45.622405555921837</v>
      </c>
      <c r="Q76" s="20">
        <f t="shared" si="54"/>
        <v>395.310273009897</v>
      </c>
      <c r="R76" s="59">
        <f t="shared" si="55"/>
        <v>688.64360634323032</v>
      </c>
      <c r="S76" s="59">
        <f ca="1">AVERAGE(OFFSET($R$3,0,0,'Données projet'!$E$9+1,1))-AVERAGE(OFFSET($H$3,0,0,'Données projet'!$E$9+1,1))</f>
        <v>319.22903094674564</v>
      </c>
      <c r="T76" s="59">
        <f t="shared" si="88"/>
        <v>254.58690973142848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3.8731617376693084</v>
      </c>
      <c r="AA76" s="21">
        <f>EXP(-LN(2)/25)*AA75+(1-EXP(-LN(2)/25))/(LN(2)/25)*Calculateur!V76*Calculateur!X76*VLOOKUP('Données projet'!$B$9,Paramètres!$A$1:$I$89,3,0)*0.475*44/12</f>
        <v>3.3849689903389968</v>
      </c>
      <c r="AB76" s="21">
        <f>EXP(-LN(2)/2)*AB75+(1-EXP(-LN(2)/2))/(LN(2)/2)*V76*Y76*VLOOKUP('Données projet'!$B$9,Paramètres!$A$1:$I$89,3,0)*0.475*44/12</f>
        <v>3.7234645602244474E-6</v>
      </c>
      <c r="AC76" s="22">
        <f t="shared" si="57"/>
        <v>7.2581344514728654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1.9895196601282805E-13</v>
      </c>
      <c r="AJ76" s="13">
        <f>AI76*VLOOKUP('Données projet'!$B$10,Paramètres!$A$1:$I$89,3,0)*VLOOKUP('Données projet'!$B$10,Paramètres!$A$1:$I$89,5,0)</f>
        <v>1.738044375088066E-13</v>
      </c>
      <c r="AK76" s="13">
        <f t="shared" si="89"/>
        <v>2.4483293633950478E-12</v>
      </c>
      <c r="AL76" s="20">
        <f t="shared" si="58"/>
        <v>4.566883036574213E-12</v>
      </c>
      <c r="AM76" s="59">
        <f t="shared" si="59"/>
        <v>293.33333333333786</v>
      </c>
      <c r="AN76" s="59">
        <f ca="1">AVERAGE(OFFSET($AM$3,0,0,'Données projet'!$E$10+1,1))-AVERAGE(OFFSET($H$3,0,0,'Données projet'!$E$10+1,1))</f>
        <v>321.23599968992932</v>
      </c>
      <c r="AO76" s="59">
        <f t="shared" si="90"/>
        <v>388.05195847800502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2.8907812078111856</v>
      </c>
      <c r="AV76" s="21">
        <f>EXP(-LN(2)/25)*AV75+(1-EXP(-LN(2)/25))/(LN(2)/25)*Calculateur!AQ76*Calculateur!AS76*VLOOKUP('Données projet'!$B$10,Paramètres!$A$1:$I$89,3,0)*0.475*44/12</f>
        <v>4.6449220497115444</v>
      </c>
      <c r="AW76" s="21">
        <f>EXP(-LN(2)/2)*AW75+(1-EXP(-LN(2)/2))/(LN(2)/2)*AQ76*AT76*VLOOKUP('Données projet'!$B$10,Paramètres!$A$1:$I$89,3,0)*0.475*44/12</f>
        <v>5.7054368353209793E-6</v>
      </c>
      <c r="AX76" s="21">
        <f t="shared" si="60"/>
        <v>7.535708962959565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1.1368683772161603E-13</v>
      </c>
      <c r="BE76" s="13">
        <f>BD76*VLOOKUP('Données projet'!$B$11,Paramètres!$A$1:$I$89,3,0)*VLOOKUP('Données projet'!$B$11,Paramètres!$A$1:$I$89,5,0)</f>
        <v>6.7984728957526396E-14</v>
      </c>
      <c r="BF76" s="13">
        <f t="shared" si="91"/>
        <v>1.0682447123141398E-12</v>
      </c>
      <c r="BG76" s="20">
        <f t="shared" si="61"/>
        <v>1.978932943548152E-12</v>
      </c>
      <c r="BH76" s="59">
        <f t="shared" si="62"/>
        <v>293.3333333333353</v>
      </c>
      <c r="BI76" s="59">
        <f ca="1">AVERAGE(OFFSET($BH$3,0,0,'Données projet'!$E$11+1,1))-AVERAGE(OFFSET($H$3,0,0,'Données projet'!$E$11+1,1))</f>
        <v>258.31845364515124</v>
      </c>
      <c r="BJ76" s="59">
        <f t="shared" si="92"/>
        <v>280.26155987300996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4.8983711047454452</v>
      </c>
      <c r="BQ76" s="21">
        <f>EXP(-LN(2)/25)*BQ75+(1-EXP(-LN(2)/25))/(LN(2)/25)*Calculateur!BL76*Calculateur!BN76*VLOOKUP('Données projet'!$B$11,Paramètres!$A$1:$I$89,3,0)*0.475*44/12</f>
        <v>2.8615812580837128</v>
      </c>
      <c r="BR76" s="21">
        <f>EXP(-LN(2)/2)*BR75+(1-EXP(-LN(2)/2))/(LN(2)/2)*BL76*BO76*VLOOKUP('Données projet'!$B$11,Paramètres!$A$1:$I$89,3,0)*0.475*44/12</f>
        <v>1.527063406946647E-6</v>
      </c>
      <c r="BS76" s="22">
        <f t="shared" si="63"/>
        <v>7.7599538898925653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-5.6843418860808015E-14</v>
      </c>
      <c r="BZ76" s="13">
        <f>BY76*VLOOKUP('Données projet'!$B$12,Paramètres!$A$1:$I$89,3,0)*VLOOKUP('Données projet'!$B$12,Paramètres!$A$1:$I$89,5,0)</f>
        <v>-5.1431925385259088E-14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366.86025470473652</v>
      </c>
      <c r="CE76" s="59">
        <f t="shared" si="94"/>
        <v>513.80016421153414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1.0987627816910814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1.248237778513375E-6</v>
      </c>
      <c r="CN76" s="22">
        <f t="shared" si="66"/>
        <v>1.0987640299288599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-5.6843418860808015E-14</v>
      </c>
      <c r="CU76" s="17">
        <f>CT76*VLOOKUP('Données projet'!$B$13,Paramètres!$A$1:$I$89,3,0)*VLOOKUP('Données projet'!$B$13,Paramètres!$A$1:$I$89,5,0)</f>
        <v>-3.1036506698001178E-14</v>
      </c>
      <c r="CV76" s="13" t="e">
        <f t="shared" si="95"/>
        <v>#NUM!</v>
      </c>
      <c r="CW76" s="20" t="e">
        <f t="shared" si="67"/>
        <v>#NUM!</v>
      </c>
      <c r="CX76" s="59" t="e">
        <f t="shared" si="68"/>
        <v>#NUM!</v>
      </c>
      <c r="CY76" s="59">
        <f ca="1">AVERAGE(OFFSET($CX$3,0,0,'Données projet'!$E$13+1,1))-AVERAGE(OFFSET($H$3,0,0,'Données projet'!$E$13+1,1))</f>
        <v>207.02306964567629</v>
      </c>
      <c r="CZ76" s="59">
        <f t="shared" si="96"/>
        <v>342.06887933351783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2.8188955605441501</v>
      </c>
      <c r="DG76" s="21">
        <f>EXP(-LN(2)/25)*DG75+(1-EXP(-LN(2)/25))/(LN(2)/25)*Calculateur!DB76*Calculateur!DD76*VLOOKUP('Données projet'!$B$13,Paramètres!$A$1:$I$89,3,0)*0.475*44/12</f>
        <v>11.814011089376052</v>
      </c>
      <c r="DH76" s="21">
        <f>EXP(-LN(2)/2)*DH75+(1-EXP(-LN(2)/2))/(LN(2)/2)*DB76*DE76*VLOOKUP('Données projet'!$B$13,Paramètres!$A$1:$I$89,3,0)*0.475*44/12</f>
        <v>4.475675804319971E-6</v>
      </c>
      <c r="DI76" s="22">
        <f t="shared" si="69"/>
        <v>14.632911125596006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7">
        <f t="shared" si="56"/>
        <v>256.66666666666669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17</v>
      </c>
      <c r="N77" s="13">
        <f>IF('Données projet'!$A$36&gt;35,N76+M77-V76,IF(A77&lt;'Données projet'!$A$36,$K$205^A77,IF(A77='Données projet'!$A$36,'Données projet'!$B$36,N76+M77-V76)))</f>
        <v>404.49999999999989</v>
      </c>
      <c r="O77" s="13">
        <f>N77*VLOOKUP('Données projet'!$B$9,Paramètres!$A$1:$I$89,3,0)*VLOOKUP('Données projet'!$B$9,Paramètres!$A$1:$I$89,5,0)</f>
        <v>189.30599999999993</v>
      </c>
      <c r="P77" s="13">
        <f t="shared" si="87"/>
        <v>47.386486642979079</v>
      </c>
      <c r="Q77" s="20">
        <f t="shared" si="54"/>
        <v>412.23941423652178</v>
      </c>
      <c r="R77" s="59">
        <f t="shared" si="55"/>
        <v>705.5727475698551</v>
      </c>
      <c r="S77" s="59">
        <f ca="1">AVERAGE(OFFSET($R$3,0,0,'Données projet'!$E$9+1,1))-AVERAGE(OFFSET($H$3,0,0,'Données projet'!$E$9+1,1))</f>
        <v>319.22903094674564</v>
      </c>
      <c r="T77" s="59">
        <f t="shared" si="88"/>
        <v>254.58690973142848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3.7972113983890061</v>
      </c>
      <c r="AA77" s="21">
        <f>EXP(-LN(2)/25)*AA76+(1-EXP(-LN(2)/25))/(LN(2)/25)*Calculateur!V77*Calculateur!X77*VLOOKUP('Données projet'!$B$9,Paramètres!$A$1:$I$89,3,0)*0.475*44/12</f>
        <v>3.2924068352903944</v>
      </c>
      <c r="AB77" s="21">
        <f>EXP(-LN(2)/2)*AB76+(1-EXP(-LN(2)/2))/(LN(2)/2)*V77*Y77*VLOOKUP('Données projet'!$B$9,Paramètres!$A$1:$I$89,3,0)*0.475*44/12</f>
        <v>2.6328870400424929E-6</v>
      </c>
      <c r="AC77" s="22">
        <f t="shared" si="57"/>
        <v>7.0896208665664409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1.9895196601282805E-13</v>
      </c>
      <c r="AJ77" s="13">
        <f>AI77*VLOOKUP('Données projet'!$B$10,Paramètres!$A$1:$I$89,3,0)*VLOOKUP('Données projet'!$B$10,Paramètres!$A$1:$I$89,5,0)</f>
        <v>1.738044375088066E-13</v>
      </c>
      <c r="AK77" s="13">
        <f t="shared" si="89"/>
        <v>2.4483293633950478E-12</v>
      </c>
      <c r="AL77" s="20">
        <f t="shared" si="58"/>
        <v>4.566883036574213E-12</v>
      </c>
      <c r="AM77" s="59">
        <f t="shared" si="59"/>
        <v>293.33333333333786</v>
      </c>
      <c r="AN77" s="59">
        <f ca="1">AVERAGE(OFFSET($AM$3,0,0,'Données projet'!$E$10+1,1))-AVERAGE(OFFSET($H$3,0,0,'Données projet'!$E$10+1,1))</f>
        <v>321.23599968992932</v>
      </c>
      <c r="AO77" s="59">
        <f t="shared" si="90"/>
        <v>388.05195847800502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2.8340947515284434</v>
      </c>
      <c r="AV77" s="21">
        <f>EXP(-LN(2)/25)*AV76+(1-EXP(-LN(2)/25))/(LN(2)/25)*Calculateur!AQ77*Calculateur!AS77*VLOOKUP('Données projet'!$B$10,Paramètres!$A$1:$I$89,3,0)*0.475*44/12</f>
        <v>4.5179064119963481</v>
      </c>
      <c r="AW77" s="21">
        <f>EXP(-LN(2)/2)*AW76+(1-EXP(-LN(2)/2))/(LN(2)/2)*AQ77*AT77*VLOOKUP('Données projet'!$B$10,Paramètres!$A$1:$I$89,3,0)*0.475*44/12</f>
        <v>4.0343530758869799E-6</v>
      </c>
      <c r="AX77" s="21">
        <f t="shared" si="60"/>
        <v>7.3520051978778671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1.1368683772161603E-13</v>
      </c>
      <c r="BE77" s="13">
        <f>BD77*VLOOKUP('Données projet'!$B$11,Paramètres!$A$1:$I$89,3,0)*VLOOKUP('Données projet'!$B$11,Paramètres!$A$1:$I$89,5,0)</f>
        <v>6.7984728957526396E-14</v>
      </c>
      <c r="BF77" s="13">
        <f t="shared" si="91"/>
        <v>1.0682447123141398E-12</v>
      </c>
      <c r="BG77" s="20">
        <f t="shared" si="61"/>
        <v>1.978932943548152E-12</v>
      </c>
      <c r="BH77" s="59">
        <f t="shared" si="62"/>
        <v>293.3333333333353</v>
      </c>
      <c r="BI77" s="59">
        <f ca="1">AVERAGE(OFFSET($BH$3,0,0,'Données projet'!$E$11+1,1))-AVERAGE(OFFSET($H$3,0,0,'Données projet'!$E$11+1,1))</f>
        <v>258.31845364515124</v>
      </c>
      <c r="BJ77" s="59">
        <f t="shared" si="92"/>
        <v>280.26155987300996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4.8023170350927487</v>
      </c>
      <c r="BQ77" s="21">
        <f>EXP(-LN(2)/25)*BQ76+(1-EXP(-LN(2)/25))/(LN(2)/25)*Calculateur!BL77*Calculateur!BN77*VLOOKUP('Données projet'!$B$11,Paramètres!$A$1:$I$89,3,0)*0.475*44/12</f>
        <v>2.7833311680973956</v>
      </c>
      <c r="BR77" s="21">
        <f>EXP(-LN(2)/2)*BR76+(1-EXP(-LN(2)/2))/(LN(2)/2)*BL77*BO77*VLOOKUP('Données projet'!$B$11,Paramètres!$A$1:$I$89,3,0)*0.475*44/12</f>
        <v>1.0797968903538065E-6</v>
      </c>
      <c r="BS77" s="22">
        <f t="shared" si="63"/>
        <v>7.5856492829870348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-5.6843418860808015E-14</v>
      </c>
      <c r="BZ77" s="13">
        <f>BY77*VLOOKUP('Données projet'!$B$12,Paramètres!$A$1:$I$89,3,0)*VLOOKUP('Données projet'!$B$12,Paramètres!$A$1:$I$89,5,0)</f>
        <v>-5.1431925385259088E-14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366.86025470473652</v>
      </c>
      <c r="CE77" s="59">
        <f t="shared" si="94"/>
        <v>513.80016421153414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1.0772167137212414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8.8263739772003926E-7</v>
      </c>
      <c r="CN77" s="22">
        <f t="shared" si="66"/>
        <v>1.077217596358639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-5.6843418860808015E-14</v>
      </c>
      <c r="CU77" s="17">
        <f>CT77*VLOOKUP('Données projet'!$B$13,Paramètres!$A$1:$I$89,3,0)*VLOOKUP('Données projet'!$B$13,Paramètres!$A$1:$I$89,5,0)</f>
        <v>-3.1036506698001178E-14</v>
      </c>
      <c r="CV77" s="13" t="e">
        <f t="shared" si="95"/>
        <v>#NUM!</v>
      </c>
      <c r="CW77" s="20" t="e">
        <f t="shared" si="67"/>
        <v>#NUM!</v>
      </c>
      <c r="CX77" s="59" t="e">
        <f t="shared" si="68"/>
        <v>#NUM!</v>
      </c>
      <c r="CY77" s="59">
        <f ca="1">AVERAGE(OFFSET($CX$3,0,0,'Données projet'!$E$13+1,1))-AVERAGE(OFFSET($H$3,0,0,'Données projet'!$E$13+1,1))</f>
        <v>207.02306964567629</v>
      </c>
      <c r="CZ77" s="59">
        <f t="shared" si="96"/>
        <v>342.06887933351783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2.763618737958399</v>
      </c>
      <c r="DG77" s="21">
        <f>EXP(-LN(2)/25)*DG76+(1-EXP(-LN(2)/25))/(LN(2)/25)*Calculateur!DB77*Calculateur!DD77*VLOOKUP('Données projet'!$B$13,Paramètres!$A$1:$I$89,3,0)*0.475*44/12</f>
        <v>11.490956334865222</v>
      </c>
      <c r="DH77" s="21">
        <f>EXP(-LN(2)/2)*DH76+(1-EXP(-LN(2)/2))/(LN(2)/2)*DB77*DE77*VLOOKUP('Données projet'!$B$13,Paramètres!$A$1:$I$89,3,0)*0.475*44/12</f>
        <v>3.1647807116272069E-6</v>
      </c>
      <c r="DI77" s="22">
        <f t="shared" si="69"/>
        <v>14.254578237604333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7">
        <f t="shared" si="56"/>
        <v>256.66666666666669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17</v>
      </c>
      <c r="N78" s="13">
        <f>IF('Données projet'!$A$36&gt;35,N77+M78-V77,IF(A78&lt;'Données projet'!$A$36,$K$205^A78,IF(A78='Données projet'!$A$36,'Données projet'!$B$36,N77+M78-V77)))</f>
        <v>421.49999999999989</v>
      </c>
      <c r="O78" s="13">
        <f>N78*VLOOKUP('Données projet'!$B$9,Paramètres!$A$1:$I$89,3,0)*VLOOKUP('Données projet'!$B$9,Paramètres!$A$1:$I$89,5,0)</f>
        <v>197.26199999999994</v>
      </c>
      <c r="P78" s="13">
        <f t="shared" si="87"/>
        <v>49.141956303266518</v>
      </c>
      <c r="Q78" s="20">
        <f t="shared" si="54"/>
        <v>429.15355722818907</v>
      </c>
      <c r="R78" s="59">
        <f t="shared" si="55"/>
        <v>722.48689056152239</v>
      </c>
      <c r="S78" s="59">
        <f ca="1">AVERAGE(OFFSET($R$3,0,0,'Données projet'!$E$9+1,1))-AVERAGE(OFFSET($H$3,0,0,'Données projet'!$E$9+1,1))</f>
        <v>319.22903094674564</v>
      </c>
      <c r="T78" s="59">
        <f t="shared" si="88"/>
        <v>254.58690973142848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3.7227503989368578</v>
      </c>
      <c r="AA78" s="21">
        <f>EXP(-LN(2)/25)*AA77+(1-EXP(-LN(2)/25))/(LN(2)/25)*Calculateur!V78*Calculateur!X78*VLOOKUP('Données projet'!$B$9,Paramètres!$A$1:$I$89,3,0)*0.475*44/12</f>
        <v>3.2023757972392279</v>
      </c>
      <c r="AB78" s="21">
        <f>EXP(-LN(2)/2)*AB77+(1-EXP(-LN(2)/2))/(LN(2)/2)*V78*Y78*VLOOKUP('Données projet'!$B$9,Paramètres!$A$1:$I$89,3,0)*0.475*44/12</f>
        <v>1.8617322801122239E-6</v>
      </c>
      <c r="AC78" s="22">
        <f t="shared" si="57"/>
        <v>6.9251280579083661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1.9895196601282805E-13</v>
      </c>
      <c r="AJ78" s="13">
        <f>AI78*VLOOKUP('Données projet'!$B$10,Paramètres!$A$1:$I$89,3,0)*VLOOKUP('Données projet'!$B$10,Paramètres!$A$1:$I$89,5,0)</f>
        <v>1.738044375088066E-13</v>
      </c>
      <c r="AK78" s="13">
        <f t="shared" si="89"/>
        <v>2.4483293633950478E-12</v>
      </c>
      <c r="AL78" s="20">
        <f t="shared" si="58"/>
        <v>4.566883036574213E-12</v>
      </c>
      <c r="AM78" s="59">
        <f t="shared" si="59"/>
        <v>293.33333333333786</v>
      </c>
      <c r="AN78" s="59">
        <f ca="1">AVERAGE(OFFSET($AM$3,0,0,'Données projet'!$E$10+1,1))-AVERAGE(OFFSET($H$3,0,0,'Données projet'!$E$10+1,1))</f>
        <v>321.23599968992932</v>
      </c>
      <c r="AO78" s="59">
        <f t="shared" si="90"/>
        <v>388.05195847800502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2.7785198820780814</v>
      </c>
      <c r="AV78" s="21">
        <f>EXP(-LN(2)/25)*AV77+(1-EXP(-LN(2)/25))/(LN(2)/25)*Calculateur!AQ78*Calculateur!AS78*VLOOKUP('Données projet'!$B$10,Paramètres!$A$1:$I$89,3,0)*0.475*44/12</f>
        <v>4.3943640235739352</v>
      </c>
      <c r="AW78" s="21">
        <f>EXP(-LN(2)/2)*AW77+(1-EXP(-LN(2)/2))/(LN(2)/2)*AQ78*AT78*VLOOKUP('Données projet'!$B$10,Paramètres!$A$1:$I$89,3,0)*0.475*44/12</f>
        <v>2.8527184176604896E-6</v>
      </c>
      <c r="AX78" s="21">
        <f t="shared" si="60"/>
        <v>7.1728867583704341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1.1368683772161603E-13</v>
      </c>
      <c r="BE78" s="13">
        <f>BD78*VLOOKUP('Données projet'!$B$11,Paramètres!$A$1:$I$89,3,0)*VLOOKUP('Données projet'!$B$11,Paramètres!$A$1:$I$89,5,0)</f>
        <v>6.7984728957526396E-14</v>
      </c>
      <c r="BF78" s="13">
        <f t="shared" si="91"/>
        <v>1.0682447123141398E-12</v>
      </c>
      <c r="BG78" s="20">
        <f t="shared" si="61"/>
        <v>1.978932943548152E-12</v>
      </c>
      <c r="BH78" s="59">
        <f t="shared" si="62"/>
        <v>293.3333333333353</v>
      </c>
      <c r="BI78" s="59">
        <f ca="1">AVERAGE(OFFSET($BH$3,0,0,'Données projet'!$E$11+1,1))-AVERAGE(OFFSET($H$3,0,0,'Données projet'!$E$11+1,1))</f>
        <v>258.31845364515124</v>
      </c>
      <c r="BJ78" s="59">
        <f t="shared" si="92"/>
        <v>280.26155987300996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4.7081465271587444</v>
      </c>
      <c r="BQ78" s="21">
        <f>EXP(-LN(2)/25)*BQ77+(1-EXP(-LN(2)/25))/(LN(2)/25)*Calculateur!BL78*Calculateur!BN78*VLOOKUP('Données projet'!$B$11,Paramètres!$A$1:$I$89,3,0)*0.475*44/12</f>
        <v>2.7072208309367474</v>
      </c>
      <c r="BR78" s="21">
        <f>EXP(-LN(2)/2)*BR77+(1-EXP(-LN(2)/2))/(LN(2)/2)*BL78*BO78*VLOOKUP('Données projet'!$B$11,Paramètres!$A$1:$I$89,3,0)*0.475*44/12</f>
        <v>7.6353170347332349E-7</v>
      </c>
      <c r="BS78" s="22">
        <f t="shared" si="63"/>
        <v>7.4153681216271954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-5.6843418860808015E-14</v>
      </c>
      <c r="BZ78" s="13">
        <f>BY78*VLOOKUP('Données projet'!$B$12,Paramètres!$A$1:$I$89,3,0)*VLOOKUP('Données projet'!$B$12,Paramètres!$A$1:$I$89,5,0)</f>
        <v>-5.1431925385259088E-14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366.86025470473652</v>
      </c>
      <c r="CE78" s="59">
        <f t="shared" si="94"/>
        <v>513.80016421153414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1.0560931510024862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6.2411888925668751E-7</v>
      </c>
      <c r="CN78" s="22">
        <f t="shared" si="66"/>
        <v>1.0560937751213755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-5.6843418860808015E-14</v>
      </c>
      <c r="CU78" s="17">
        <f>CT78*VLOOKUP('Données projet'!$B$13,Paramètres!$A$1:$I$89,3,0)*VLOOKUP('Données projet'!$B$13,Paramètres!$A$1:$I$89,5,0)</f>
        <v>-3.1036506698001178E-14</v>
      </c>
      <c r="CV78" s="13" t="e">
        <f t="shared" si="95"/>
        <v>#NUM!</v>
      </c>
      <c r="CW78" s="20" t="e">
        <f t="shared" si="67"/>
        <v>#NUM!</v>
      </c>
      <c r="CX78" s="59" t="e">
        <f t="shared" si="68"/>
        <v>#NUM!</v>
      </c>
      <c r="CY78" s="59">
        <f ca="1">AVERAGE(OFFSET($CX$3,0,0,'Données projet'!$E$13+1,1))-AVERAGE(OFFSET($H$3,0,0,'Données projet'!$E$13+1,1))</f>
        <v>207.02306964567629</v>
      </c>
      <c r="CZ78" s="59">
        <f t="shared" si="96"/>
        <v>342.06887933351783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2.7094258601480217</v>
      </c>
      <c r="DG78" s="21">
        <f>EXP(-LN(2)/25)*DG77+(1-EXP(-LN(2)/25))/(LN(2)/25)*Calculateur!DB78*Calculateur!DD78*VLOOKUP('Données projet'!$B$13,Paramètres!$A$1:$I$89,3,0)*0.475*44/12</f>
        <v>11.176735529605201</v>
      </c>
      <c r="DH78" s="21">
        <f>EXP(-LN(2)/2)*DH77+(1-EXP(-LN(2)/2))/(LN(2)/2)*DB78*DE78*VLOOKUP('Données projet'!$B$13,Paramètres!$A$1:$I$89,3,0)*0.475*44/12</f>
        <v>2.2378379021599855E-6</v>
      </c>
      <c r="DI78" s="22">
        <f t="shared" si="69"/>
        <v>13.886163627591126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7">
        <f t="shared" si="56"/>
        <v>256.66666666666669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17</v>
      </c>
      <c r="N79" s="13">
        <f>IF('Données projet'!$A$36&gt;35,N78+M79-V78,IF(A79&lt;'Données projet'!$A$36,$K$205^A79,IF(A79='Données projet'!$A$36,'Données projet'!$B$36,N78+M79-V78)))</f>
        <v>438.49999999999989</v>
      </c>
      <c r="O79" s="13">
        <f>N79*VLOOKUP('Données projet'!$B$9,Paramètres!$A$1:$I$89,3,0)*VLOOKUP('Données projet'!$B$9,Paramètres!$A$1:$I$89,5,0)</f>
        <v>205.21799999999996</v>
      </c>
      <c r="P79" s="13">
        <f t="shared" si="87"/>
        <v>50.889201586985514</v>
      </c>
      <c r="Q79" s="20">
        <f t="shared" si="54"/>
        <v>446.05337609733306</v>
      </c>
      <c r="R79" s="59">
        <f t="shared" si="55"/>
        <v>739.38670943066631</v>
      </c>
      <c r="S79" s="59">
        <f ca="1">AVERAGE(OFFSET($R$3,0,0,'Données projet'!$E$9+1,1))-AVERAGE(OFFSET($H$3,0,0,'Données projet'!$E$9+1,1))</f>
        <v>319.22903094674564</v>
      </c>
      <c r="T79" s="59">
        <f t="shared" si="88"/>
        <v>254.58690973142848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3.649749534267241</v>
      </c>
      <c r="AA79" s="21">
        <f>EXP(-LN(2)/25)*AA78+(1-EXP(-LN(2)/25))/(LN(2)/25)*Calculateur!V79*Calculateur!X79*VLOOKUP('Données projet'!$B$9,Paramètres!$A$1:$I$89,3,0)*0.475*44/12</f>
        <v>3.114806662658097</v>
      </c>
      <c r="AB79" s="21">
        <f>EXP(-LN(2)/2)*AB78+(1-EXP(-LN(2)/2))/(LN(2)/2)*V79*Y79*VLOOKUP('Données projet'!$B$9,Paramètres!$A$1:$I$89,3,0)*0.475*44/12</f>
        <v>1.3164435200212467E-6</v>
      </c>
      <c r="AC79" s="22">
        <f t="shared" si="57"/>
        <v>6.7645575133688585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1.9895196601282805E-13</v>
      </c>
      <c r="AJ79" s="13">
        <f>AI79*VLOOKUP('Données projet'!$B$10,Paramètres!$A$1:$I$89,3,0)*VLOOKUP('Données projet'!$B$10,Paramètres!$A$1:$I$89,5,0)</f>
        <v>1.738044375088066E-13</v>
      </c>
      <c r="AK79" s="13">
        <f t="shared" si="89"/>
        <v>2.4483293633950478E-12</v>
      </c>
      <c r="AL79" s="20">
        <f t="shared" si="58"/>
        <v>4.566883036574213E-12</v>
      </c>
      <c r="AM79" s="59">
        <f t="shared" si="59"/>
        <v>293.33333333333786</v>
      </c>
      <c r="AN79" s="59">
        <f ca="1">AVERAGE(OFFSET($AM$3,0,0,'Données projet'!$E$10+1,1))-AVERAGE(OFFSET($H$3,0,0,'Données projet'!$E$10+1,1))</f>
        <v>321.23599968992932</v>
      </c>
      <c r="AO79" s="59">
        <f t="shared" si="90"/>
        <v>388.05195847800502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2.7240348019203178</v>
      </c>
      <c r="AV79" s="21">
        <f>EXP(-LN(2)/25)*AV78+(1-EXP(-LN(2)/25))/(LN(2)/25)*Calculateur!AQ79*Calculateur!AS79*VLOOKUP('Données projet'!$B$10,Paramètres!$A$1:$I$89,3,0)*0.475*44/12</f>
        <v>4.2741999082597451</v>
      </c>
      <c r="AW79" s="21">
        <f>EXP(-LN(2)/2)*AW78+(1-EXP(-LN(2)/2))/(LN(2)/2)*AQ79*AT79*VLOOKUP('Données projet'!$B$10,Paramètres!$A$1:$I$89,3,0)*0.475*44/12</f>
        <v>2.0171765379434899E-6</v>
      </c>
      <c r="AX79" s="21">
        <f t="shared" si="60"/>
        <v>6.9982367273566002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1.1368683772161603E-13</v>
      </c>
      <c r="BE79" s="13">
        <f>BD79*VLOOKUP('Données projet'!$B$11,Paramètres!$A$1:$I$89,3,0)*VLOOKUP('Données projet'!$B$11,Paramètres!$A$1:$I$89,5,0)</f>
        <v>6.7984728957526396E-14</v>
      </c>
      <c r="BF79" s="13">
        <f t="shared" si="91"/>
        <v>1.0682447123141398E-12</v>
      </c>
      <c r="BG79" s="20">
        <f t="shared" si="61"/>
        <v>1.978932943548152E-12</v>
      </c>
      <c r="BH79" s="59">
        <f t="shared" si="62"/>
        <v>293.3333333333353</v>
      </c>
      <c r="BI79" s="59">
        <f ca="1">AVERAGE(OFFSET($BH$3,0,0,'Données projet'!$E$11+1,1))-AVERAGE(OFFSET($H$3,0,0,'Données projet'!$E$11+1,1))</f>
        <v>258.31845364515124</v>
      </c>
      <c r="BJ79" s="59">
        <f t="shared" si="92"/>
        <v>280.26155987300996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4.6158226454469879</v>
      </c>
      <c r="BQ79" s="21">
        <f>EXP(-LN(2)/25)*BQ78+(1-EXP(-LN(2)/25))/(LN(2)/25)*Calculateur!BL79*Calculateur!BN79*VLOOKUP('Données projet'!$B$11,Paramètres!$A$1:$I$89,3,0)*0.475*44/12</f>
        <v>2.6331917349482259</v>
      </c>
      <c r="BR79" s="21">
        <f>EXP(-LN(2)/2)*BR78+(1-EXP(-LN(2)/2))/(LN(2)/2)*BL79*BO79*VLOOKUP('Données projet'!$B$11,Paramètres!$A$1:$I$89,3,0)*0.475*44/12</f>
        <v>5.3989844517690324E-7</v>
      </c>
      <c r="BS79" s="22">
        <f t="shared" si="63"/>
        <v>7.2490149202936589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-5.6843418860808015E-14</v>
      </c>
      <c r="BZ79" s="13">
        <f>BY79*VLOOKUP('Données projet'!$B$12,Paramètres!$A$1:$I$89,3,0)*VLOOKUP('Données projet'!$B$12,Paramètres!$A$1:$I$89,5,0)</f>
        <v>-5.1431925385259088E-14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366.86025470473652</v>
      </c>
      <c r="CE79" s="59">
        <f t="shared" si="94"/>
        <v>513.80016421153414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1.0353838084645448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4.4131869886001963E-7</v>
      </c>
      <c r="CN79" s="22">
        <f t="shared" si="66"/>
        <v>1.0353842497832437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-5.6843418860808015E-14</v>
      </c>
      <c r="CU79" s="17">
        <f>CT79*VLOOKUP('Données projet'!$B$13,Paramètres!$A$1:$I$89,3,0)*VLOOKUP('Données projet'!$B$13,Paramètres!$A$1:$I$89,5,0)</f>
        <v>-3.1036506698001178E-14</v>
      </c>
      <c r="CV79" s="13" t="e">
        <f t="shared" si="95"/>
        <v>#NUM!</v>
      </c>
      <c r="CW79" s="20" t="e">
        <f t="shared" si="67"/>
        <v>#NUM!</v>
      </c>
      <c r="CX79" s="59" t="e">
        <f t="shared" si="68"/>
        <v>#NUM!</v>
      </c>
      <c r="CY79" s="59">
        <f ca="1">AVERAGE(OFFSET($CX$3,0,0,'Données projet'!$E$13+1,1))-AVERAGE(OFFSET($H$3,0,0,'Données projet'!$E$13+1,1))</f>
        <v>207.02306964567629</v>
      </c>
      <c r="CZ79" s="59">
        <f t="shared" si="96"/>
        <v>342.06887933351783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2.6562956716171144</v>
      </c>
      <c r="DG79" s="21">
        <f>EXP(-LN(2)/25)*DG78+(1-EXP(-LN(2)/25))/(LN(2)/25)*Calculateur!DB79*Calculateur!DD79*VLOOKUP('Données projet'!$B$13,Paramètres!$A$1:$I$89,3,0)*0.475*44/12</f>
        <v>10.87110710878917</v>
      </c>
      <c r="DH79" s="21">
        <f>EXP(-LN(2)/2)*DH78+(1-EXP(-LN(2)/2))/(LN(2)/2)*DB79*DE79*VLOOKUP('Données projet'!$B$13,Paramètres!$A$1:$I$89,3,0)*0.475*44/12</f>
        <v>1.5823903558136035E-6</v>
      </c>
      <c r="DI79" s="22">
        <f t="shared" si="69"/>
        <v>13.52740436279664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7">
        <f t="shared" si="56"/>
        <v>256.66666666666669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17</v>
      </c>
      <c r="N80" s="13">
        <f>IF('Données projet'!$A$36&gt;35,N79+M80-V79,IF(A80&lt;'Données projet'!$A$36,$K$205^A80,IF(A80='Données projet'!$A$36,'Données projet'!$B$36,N79+M80-V79)))</f>
        <v>455.49999999999989</v>
      </c>
      <c r="O80" s="13">
        <f>N80*VLOOKUP('Données projet'!$B$9,Paramètres!$A$1:$I$89,3,0)*VLOOKUP('Données projet'!$B$9,Paramètres!$A$1:$I$89,5,0)</f>
        <v>213.17399999999995</v>
      </c>
      <c r="P80" s="13">
        <f t="shared" si="87"/>
        <v>52.628577834232573</v>
      </c>
      <c r="Q80" s="20">
        <f t="shared" si="54"/>
        <v>462.93948972795494</v>
      </c>
      <c r="R80" s="59">
        <f t="shared" si="55"/>
        <v>756.27282306128825</v>
      </c>
      <c r="S80" s="59">
        <f ca="1">AVERAGE(OFFSET($R$3,0,0,'Données projet'!$E$9+1,1))-AVERAGE(OFFSET($H$3,0,0,'Données projet'!$E$9+1,1))</f>
        <v>319.22903094674564</v>
      </c>
      <c r="T80" s="59">
        <f t="shared" si="88"/>
        <v>254.58690973142848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3.5781801720276647</v>
      </c>
      <c r="AA80" s="21">
        <f>EXP(-LN(2)/25)*AA79+(1-EXP(-LN(2)/25))/(LN(2)/25)*Calculateur!V80*Calculateur!X80*VLOOKUP('Données projet'!$B$9,Paramètres!$A$1:$I$89,3,0)*0.475*44/12</f>
        <v>3.0296321106671478</v>
      </c>
      <c r="AB80" s="21">
        <f>EXP(-LN(2)/2)*AB79+(1-EXP(-LN(2)/2))/(LN(2)/2)*V80*Y80*VLOOKUP('Données projet'!$B$9,Paramètres!$A$1:$I$89,3,0)*0.475*44/12</f>
        <v>9.3086614005611217E-7</v>
      </c>
      <c r="AC80" s="22">
        <f t="shared" si="57"/>
        <v>6.6078132135609522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1.9895196601282805E-13</v>
      </c>
      <c r="AJ80" s="13">
        <f>AI80*VLOOKUP('Données projet'!$B$10,Paramètres!$A$1:$I$89,3,0)*VLOOKUP('Données projet'!$B$10,Paramètres!$A$1:$I$89,5,0)</f>
        <v>1.738044375088066E-13</v>
      </c>
      <c r="AK80" s="13">
        <f t="shared" si="89"/>
        <v>2.4483293633950478E-12</v>
      </c>
      <c r="AL80" s="20">
        <f t="shared" si="58"/>
        <v>4.566883036574213E-12</v>
      </c>
      <c r="AM80" s="59">
        <f t="shared" si="59"/>
        <v>293.33333333333786</v>
      </c>
      <c r="AN80" s="59">
        <f ca="1">AVERAGE(OFFSET($AM$3,0,0,'Données projet'!$E$10+1,1))-AVERAGE(OFFSET($H$3,0,0,'Données projet'!$E$10+1,1))</f>
        <v>321.23599968992932</v>
      </c>
      <c r="AO80" s="59">
        <f t="shared" si="90"/>
        <v>388.05195847800502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2.6706181409518304</v>
      </c>
      <c r="AV80" s="21">
        <f>EXP(-LN(2)/25)*AV79+(1-EXP(-LN(2)/25))/(LN(2)/25)*Calculateur!AQ80*Calculateur!AS80*VLOOKUP('Données projet'!$B$10,Paramètres!$A$1:$I$89,3,0)*0.475*44/12</f>
        <v>4.1573216869979781</v>
      </c>
      <c r="AW80" s="21">
        <f>EXP(-LN(2)/2)*AW79+(1-EXP(-LN(2)/2))/(LN(2)/2)*AQ80*AT80*VLOOKUP('Données projet'!$B$10,Paramètres!$A$1:$I$89,3,0)*0.475*44/12</f>
        <v>1.4263592088302448E-6</v>
      </c>
      <c r="AX80" s="21">
        <f t="shared" si="60"/>
        <v>6.8279412543090174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1.1368683772161603E-13</v>
      </c>
      <c r="BE80" s="13">
        <f>BD80*VLOOKUP('Données projet'!$B$11,Paramètres!$A$1:$I$89,3,0)*VLOOKUP('Données projet'!$B$11,Paramètres!$A$1:$I$89,5,0)</f>
        <v>6.7984728957526396E-14</v>
      </c>
      <c r="BF80" s="13">
        <f t="shared" si="91"/>
        <v>1.0682447123141398E-12</v>
      </c>
      <c r="BG80" s="20">
        <f t="shared" si="61"/>
        <v>1.978932943548152E-12</v>
      </c>
      <c r="BH80" s="59">
        <f t="shared" si="62"/>
        <v>293.3333333333353</v>
      </c>
      <c r="BI80" s="59">
        <f ca="1">AVERAGE(OFFSET($BH$3,0,0,'Données projet'!$E$11+1,1))-AVERAGE(OFFSET($H$3,0,0,'Données projet'!$E$11+1,1))</f>
        <v>258.31845364515124</v>
      </c>
      <c r="BJ80" s="59">
        <f t="shared" si="92"/>
        <v>280.26155987300996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4.5253091787435915</v>
      </c>
      <c r="BQ80" s="21">
        <f>EXP(-LN(2)/25)*BQ79+(1-EXP(-LN(2)/25))/(LN(2)/25)*Calculateur!BL80*Calculateur!BN80*VLOOKUP('Données projet'!$B$11,Paramètres!$A$1:$I$89,3,0)*0.475*44/12</f>
        <v>2.5611869684825317</v>
      </c>
      <c r="BR80" s="21">
        <f>EXP(-LN(2)/2)*BR79+(1-EXP(-LN(2)/2))/(LN(2)/2)*BL80*BO80*VLOOKUP('Données projet'!$B$11,Paramètres!$A$1:$I$89,3,0)*0.475*44/12</f>
        <v>3.8176585173666174E-7</v>
      </c>
      <c r="BS80" s="22">
        <f t="shared" si="63"/>
        <v>7.086496528991975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-5.6843418860808015E-14</v>
      </c>
      <c r="BZ80" s="13">
        <f>BY80*VLOOKUP('Données projet'!$B$12,Paramètres!$A$1:$I$89,3,0)*VLOOKUP('Données projet'!$B$12,Paramètres!$A$1:$I$89,5,0)</f>
        <v>-5.1431925385259088E-14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366.86025470473652</v>
      </c>
      <c r="CE80" s="59">
        <f t="shared" si="94"/>
        <v>513.80016421153414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1.0150805635023206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3.1205944462834376E-7</v>
      </c>
      <c r="CN80" s="22">
        <f t="shared" si="66"/>
        <v>1.0150808755617653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-5.6843418860808015E-14</v>
      </c>
      <c r="CU80" s="17">
        <f>CT80*VLOOKUP('Données projet'!$B$13,Paramètres!$A$1:$I$89,3,0)*VLOOKUP('Données projet'!$B$13,Paramètres!$A$1:$I$89,5,0)</f>
        <v>-3.1036506698001178E-14</v>
      </c>
      <c r="CV80" s="13" t="e">
        <f t="shared" si="95"/>
        <v>#NUM!</v>
      </c>
      <c r="CW80" s="20" t="e">
        <f t="shared" si="67"/>
        <v>#NUM!</v>
      </c>
      <c r="CX80" s="59" t="e">
        <f t="shared" si="68"/>
        <v>#NUM!</v>
      </c>
      <c r="CY80" s="59">
        <f ca="1">AVERAGE(OFFSET($CX$3,0,0,'Données projet'!$E$13+1,1))-AVERAGE(OFFSET($H$3,0,0,'Données projet'!$E$13+1,1))</f>
        <v>207.02306964567629</v>
      </c>
      <c r="CZ80" s="59">
        <f t="shared" si="96"/>
        <v>342.06887933351783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2.604207333677083</v>
      </c>
      <c r="DG80" s="21">
        <f>EXP(-LN(2)/25)*DG79+(1-EXP(-LN(2)/25))/(LN(2)/25)*Calculateur!DB80*Calculateur!DD80*VLOOKUP('Données projet'!$B$13,Paramètres!$A$1:$I$89,3,0)*0.475*44/12</f>
        <v>10.573836113212653</v>
      </c>
      <c r="DH80" s="21">
        <f>EXP(-LN(2)/2)*DH79+(1-EXP(-LN(2)/2))/(LN(2)/2)*DB80*DE80*VLOOKUP('Données projet'!$B$13,Paramètres!$A$1:$I$89,3,0)*0.475*44/12</f>
        <v>1.1189189510799928E-6</v>
      </c>
      <c r="DI80" s="22">
        <f t="shared" si="69"/>
        <v>13.178044565808687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7">
        <f t="shared" si="56"/>
        <v>256.66666666666669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17</v>
      </c>
      <c r="N81" s="13">
        <f>IF('Données projet'!$A$36&gt;35,N80+M81-V80,IF(A81&lt;'Données projet'!$A$36,$K$205^A81,IF(A81='Données projet'!$A$36,'Données projet'!$B$36,N80+M81-V80)))</f>
        <v>472.49999999999989</v>
      </c>
      <c r="O81" s="13">
        <f>N81*VLOOKUP('Données projet'!$B$9,Paramètres!$A$1:$I$89,3,0)*VLOOKUP('Données projet'!$B$9,Paramètres!$A$1:$I$89,5,0)</f>
        <v>221.12999999999997</v>
      </c>
      <c r="P81" s="13">
        <f t="shared" si="87"/>
        <v>54.360412358692685</v>
      </c>
      <c r="Q81" s="20">
        <f t="shared" si="54"/>
        <v>479.81246819138977</v>
      </c>
      <c r="R81" s="59">
        <f t="shared" si="55"/>
        <v>773.14580152472308</v>
      </c>
      <c r="S81" s="59">
        <f ca="1">AVERAGE(OFFSET($R$3,0,0,'Données projet'!$E$9+1,1))-AVERAGE(OFFSET($H$3,0,0,'Données projet'!$E$9+1,1))</f>
        <v>319.22903094674564</v>
      </c>
      <c r="T81" s="59">
        <f t="shared" si="88"/>
        <v>254.58690973142848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3.5080142413286057</v>
      </c>
      <c r="AA81" s="21">
        <f>EXP(-LN(2)/25)*AA80+(1-EXP(-LN(2)/25))/(LN(2)/25)*Calculateur!V81*Calculateur!X81*VLOOKUP('Données projet'!$B$9,Paramètres!$A$1:$I$89,3,0)*0.475*44/12</f>
        <v>2.9467866612795262</v>
      </c>
      <c r="AB81" s="21">
        <f>EXP(-LN(2)/2)*AB80+(1-EXP(-LN(2)/2))/(LN(2)/2)*V81*Y81*VLOOKUP('Données projet'!$B$9,Paramètres!$A$1:$I$89,3,0)*0.475*44/12</f>
        <v>6.5822176001062344E-7</v>
      </c>
      <c r="AC81" s="22">
        <f t="shared" si="57"/>
        <v>6.4548015608298916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1.9895196601282805E-13</v>
      </c>
      <c r="AJ81" s="13">
        <f>AI81*VLOOKUP('Données projet'!$B$10,Paramètres!$A$1:$I$89,3,0)*VLOOKUP('Données projet'!$B$10,Paramètres!$A$1:$I$89,5,0)</f>
        <v>1.738044375088066E-13</v>
      </c>
      <c r="AK81" s="13">
        <f t="shared" si="89"/>
        <v>2.4483293633950478E-12</v>
      </c>
      <c r="AL81" s="20">
        <f t="shared" si="58"/>
        <v>4.566883036574213E-12</v>
      </c>
      <c r="AM81" s="59">
        <f t="shared" si="59"/>
        <v>293.33333333333786</v>
      </c>
      <c r="AN81" s="59">
        <f ca="1">AVERAGE(OFFSET($AM$3,0,0,'Données projet'!$E$10+1,1))-AVERAGE(OFFSET($H$3,0,0,'Données projet'!$E$10+1,1))</f>
        <v>321.23599968992932</v>
      </c>
      <c r="AO81" s="59">
        <f t="shared" si="90"/>
        <v>388.05195847800502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2.618248948123989</v>
      </c>
      <c r="AV81" s="21">
        <f>EXP(-LN(2)/25)*AV80+(1-EXP(-LN(2)/25))/(LN(2)/25)*Calculateur!AQ81*Calculateur!AS81*VLOOKUP('Données projet'!$B$10,Paramètres!$A$1:$I$89,3,0)*0.475*44/12</f>
        <v>4.0436395068429727</v>
      </c>
      <c r="AW81" s="21">
        <f>EXP(-LN(2)/2)*AW80+(1-EXP(-LN(2)/2))/(LN(2)/2)*AQ81*AT81*VLOOKUP('Données projet'!$B$10,Paramètres!$A$1:$I$89,3,0)*0.475*44/12</f>
        <v>1.008588268971745E-6</v>
      </c>
      <c r="AX81" s="21">
        <f t="shared" si="60"/>
        <v>6.6618894635552302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1.1368683772161603E-13</v>
      </c>
      <c r="BE81" s="13">
        <f>BD81*VLOOKUP('Données projet'!$B$11,Paramètres!$A$1:$I$89,3,0)*VLOOKUP('Données projet'!$B$11,Paramètres!$A$1:$I$89,5,0)</f>
        <v>6.7984728957526396E-14</v>
      </c>
      <c r="BF81" s="13">
        <f t="shared" si="91"/>
        <v>1.0682447123141398E-12</v>
      </c>
      <c r="BG81" s="20">
        <f t="shared" si="61"/>
        <v>1.978932943548152E-12</v>
      </c>
      <c r="BH81" s="59">
        <f t="shared" si="62"/>
        <v>293.3333333333353</v>
      </c>
      <c r="BI81" s="59">
        <f ca="1">AVERAGE(OFFSET($BH$3,0,0,'Données projet'!$E$11+1,1))-AVERAGE(OFFSET($H$3,0,0,'Données projet'!$E$11+1,1))</f>
        <v>258.31845364515124</v>
      </c>
      <c r="BJ81" s="59">
        <f t="shared" si="92"/>
        <v>280.26155987300996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4.4365706259144853</v>
      </c>
      <c r="BQ81" s="21">
        <f>EXP(-LN(2)/25)*BQ80+(1-EXP(-LN(2)/25))/(LN(2)/25)*Calculateur!BL81*Calculateur!BN81*VLOOKUP('Données projet'!$B$11,Paramètres!$A$1:$I$89,3,0)*0.475*44/12</f>
        <v>2.4911511761424077</v>
      </c>
      <c r="BR81" s="21">
        <f>EXP(-LN(2)/2)*BR80+(1-EXP(-LN(2)/2))/(LN(2)/2)*BL81*BO81*VLOOKUP('Données projet'!$B$11,Paramètres!$A$1:$I$89,3,0)*0.475*44/12</f>
        <v>2.6994922258845162E-7</v>
      </c>
      <c r="BS81" s="22">
        <f t="shared" si="63"/>
        <v>6.9277220720061159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-5.6843418860808015E-14</v>
      </c>
      <c r="BZ81" s="13">
        <f>BY81*VLOOKUP('Données projet'!$B$12,Paramètres!$A$1:$I$89,3,0)*VLOOKUP('Données projet'!$B$12,Paramètres!$A$1:$I$89,5,0)</f>
        <v>-5.1431925385259088E-14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366.86025470473652</v>
      </c>
      <c r="CE81" s="59">
        <f t="shared" si="94"/>
        <v>513.80016421153414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0.99517545279004904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2.2065934943000981E-7</v>
      </c>
      <c r="CN81" s="22">
        <f t="shared" si="66"/>
        <v>0.9951756734493985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-5.6843418860808015E-14</v>
      </c>
      <c r="CU81" s="17">
        <f>CT81*VLOOKUP('Données projet'!$B$13,Paramètres!$A$1:$I$89,3,0)*VLOOKUP('Données projet'!$B$13,Paramètres!$A$1:$I$89,5,0)</f>
        <v>-3.1036506698001178E-14</v>
      </c>
      <c r="CV81" s="13" t="e">
        <f t="shared" si="95"/>
        <v>#NUM!</v>
      </c>
      <c r="CW81" s="20" t="e">
        <f t="shared" si="67"/>
        <v>#NUM!</v>
      </c>
      <c r="CX81" s="59" t="e">
        <f t="shared" si="68"/>
        <v>#NUM!</v>
      </c>
      <c r="CY81" s="59">
        <f ca="1">AVERAGE(OFFSET($CX$3,0,0,'Données projet'!$E$13+1,1))-AVERAGE(OFFSET($H$3,0,0,'Données projet'!$E$13+1,1))</f>
        <v>207.02306964567629</v>
      </c>
      <c r="CZ81" s="59">
        <f t="shared" si="96"/>
        <v>342.06887933351783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2.5531404162733065</v>
      </c>
      <c r="DG81" s="21">
        <f>EXP(-LN(2)/25)*DG80+(1-EXP(-LN(2)/25))/(LN(2)/25)*Calculateur!DB81*Calculateur!DD81*VLOOKUP('Données projet'!$B$13,Paramètres!$A$1:$I$89,3,0)*0.475*44/12</f>
        <v>10.28469400864298</v>
      </c>
      <c r="DH81" s="21">
        <f>EXP(-LN(2)/2)*DH80+(1-EXP(-LN(2)/2))/(LN(2)/2)*DB81*DE81*VLOOKUP('Données projet'!$B$13,Paramètres!$A$1:$I$89,3,0)*0.475*44/12</f>
        <v>7.9119517790680173E-7</v>
      </c>
      <c r="DI81" s="22">
        <f t="shared" si="69"/>
        <v>12.837835216111465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7">
        <f t="shared" si="56"/>
        <v>256.66666666666669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17</v>
      </c>
      <c r="N82" s="13">
        <f>IF('Données projet'!$A$36&gt;35,N81+M82-V81,IF(A82&lt;'Données projet'!$A$36,$K$205^A82,IF(A82='Données projet'!$A$36,'Données projet'!$B$36,N81+M82-V81)))</f>
        <v>489.49999999999989</v>
      </c>
      <c r="O82" s="13">
        <f>N82*VLOOKUP('Données projet'!$B$9,Paramètres!$A$1:$I$89,3,0)*VLOOKUP('Données projet'!$B$9,Paramètres!$A$1:$I$89,5,0)</f>
        <v>229.08599999999993</v>
      </c>
      <c r="P82" s="13">
        <f t="shared" si="87"/>
        <v>56.085007586294346</v>
      </c>
      <c r="Q82" s="20">
        <f t="shared" si="54"/>
        <v>496.6728382127958</v>
      </c>
      <c r="R82" s="59">
        <f t="shared" si="55"/>
        <v>790.00617154612905</v>
      </c>
      <c r="S82" s="59">
        <f ca="1">AVERAGE(OFFSET($R$3,0,0,'Données projet'!$E$9+1,1))-AVERAGE(OFFSET($H$3,0,0,'Données projet'!$E$9+1,1))</f>
        <v>319.22903094674564</v>
      </c>
      <c r="T82" s="59">
        <f t="shared" si="88"/>
        <v>254.58690973142848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3.4392242217335633</v>
      </c>
      <c r="AA82" s="21">
        <f>EXP(-LN(2)/25)*AA81+(1-EXP(-LN(2)/25))/(LN(2)/25)*Calculateur!V82*Calculateur!X82*VLOOKUP('Données projet'!$B$9,Paramètres!$A$1:$I$89,3,0)*0.475*44/12</f>
        <v>2.8662066250620621</v>
      </c>
      <c r="AB82" s="21">
        <f>EXP(-LN(2)/2)*AB81+(1-EXP(-LN(2)/2))/(LN(2)/2)*V82*Y82*VLOOKUP('Données projet'!$B$9,Paramètres!$A$1:$I$89,3,0)*0.475*44/12</f>
        <v>4.6543307002805614E-7</v>
      </c>
      <c r="AC82" s="22">
        <f t="shared" si="57"/>
        <v>6.3054313122286949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1.9895196601282805E-13</v>
      </c>
      <c r="AJ82" s="13">
        <f>AI82*VLOOKUP('Données projet'!$B$10,Paramètres!$A$1:$I$89,3,0)*VLOOKUP('Données projet'!$B$10,Paramètres!$A$1:$I$89,5,0)</f>
        <v>1.738044375088066E-13</v>
      </c>
      <c r="AK82" s="13">
        <f t="shared" si="89"/>
        <v>2.4483293633950478E-12</v>
      </c>
      <c r="AL82" s="20">
        <f t="shared" si="58"/>
        <v>4.566883036574213E-12</v>
      </c>
      <c r="AM82" s="59">
        <f t="shared" si="59"/>
        <v>293.33333333333786</v>
      </c>
      <c r="AN82" s="59">
        <f ca="1">AVERAGE(OFFSET($AM$3,0,0,'Données projet'!$E$10+1,1))-AVERAGE(OFFSET($H$3,0,0,'Données projet'!$E$10+1,1))</f>
        <v>321.23599968992932</v>
      </c>
      <c r="AO82" s="59">
        <f t="shared" si="90"/>
        <v>388.05195847800502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2.5669066832254477</v>
      </c>
      <c r="AV82" s="21">
        <f>EXP(-LN(2)/25)*AV81+(1-EXP(-LN(2)/25))/(LN(2)/25)*Calculateur!AQ82*Calculateur!AS82*VLOOKUP('Données projet'!$B$10,Paramètres!$A$1:$I$89,3,0)*0.475*44/12</f>
        <v>3.9330659718825918</v>
      </c>
      <c r="AW82" s="21">
        <f>EXP(-LN(2)/2)*AW81+(1-EXP(-LN(2)/2))/(LN(2)/2)*AQ82*AT82*VLOOKUP('Données projet'!$B$10,Paramètres!$A$1:$I$89,3,0)*0.475*44/12</f>
        <v>7.1317960441512241E-7</v>
      </c>
      <c r="AX82" s="21">
        <f t="shared" si="60"/>
        <v>6.4999733682876437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1.1368683772161603E-13</v>
      </c>
      <c r="BE82" s="13">
        <f>BD82*VLOOKUP('Données projet'!$B$11,Paramètres!$A$1:$I$89,3,0)*VLOOKUP('Données projet'!$B$11,Paramètres!$A$1:$I$89,5,0)</f>
        <v>6.7984728957526396E-14</v>
      </c>
      <c r="BF82" s="13">
        <f t="shared" si="91"/>
        <v>1.0682447123141398E-12</v>
      </c>
      <c r="BG82" s="20">
        <f t="shared" si="61"/>
        <v>1.978932943548152E-12</v>
      </c>
      <c r="BH82" s="59">
        <f t="shared" si="62"/>
        <v>293.3333333333353</v>
      </c>
      <c r="BI82" s="59">
        <f ca="1">AVERAGE(OFFSET($BH$3,0,0,'Données projet'!$E$11+1,1))-AVERAGE(OFFSET($H$3,0,0,'Données projet'!$E$11+1,1))</f>
        <v>258.31845364515124</v>
      </c>
      <c r="BJ82" s="59">
        <f t="shared" si="92"/>
        <v>280.26155987300996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4.349572181981185</v>
      </c>
      <c r="BQ82" s="21">
        <f>EXP(-LN(2)/25)*BQ81+(1-EXP(-LN(2)/25))/(LN(2)/25)*Calculateur!BL82*Calculateur!BN82*VLOOKUP('Données projet'!$B$11,Paramètres!$A$1:$I$89,3,0)*0.475*44/12</f>
        <v>2.4230305162268468</v>
      </c>
      <c r="BR82" s="21">
        <f>EXP(-LN(2)/2)*BR81+(1-EXP(-LN(2)/2))/(LN(2)/2)*BL82*BO82*VLOOKUP('Données projet'!$B$11,Paramètres!$A$1:$I$89,3,0)*0.475*44/12</f>
        <v>1.9088292586833087E-7</v>
      </c>
      <c r="BS82" s="22">
        <f t="shared" si="63"/>
        <v>6.7726028890909573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-5.6843418860808015E-14</v>
      </c>
      <c r="BZ82" s="13">
        <f>BY82*VLOOKUP('Données projet'!$B$12,Paramètres!$A$1:$I$89,3,0)*VLOOKUP('Données projet'!$B$12,Paramètres!$A$1:$I$89,5,0)</f>
        <v>-5.1431925385259088E-14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366.86025470473652</v>
      </c>
      <c r="CE82" s="59">
        <f t="shared" si="94"/>
        <v>513.80016421153414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0.97566066915792637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1.5602972231417188E-7</v>
      </c>
      <c r="CN82" s="22">
        <f t="shared" si="66"/>
        <v>0.97566082518764874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-5.6843418860808015E-14</v>
      </c>
      <c r="CU82" s="17">
        <f>CT82*VLOOKUP('Données projet'!$B$13,Paramètres!$A$1:$I$89,3,0)*VLOOKUP('Données projet'!$B$13,Paramètres!$A$1:$I$89,5,0)</f>
        <v>-3.1036506698001178E-14</v>
      </c>
      <c r="CV82" s="13" t="e">
        <f t="shared" si="95"/>
        <v>#NUM!</v>
      </c>
      <c r="CW82" s="20" t="e">
        <f t="shared" si="67"/>
        <v>#NUM!</v>
      </c>
      <c r="CX82" s="59" t="e">
        <f t="shared" si="68"/>
        <v>#NUM!</v>
      </c>
      <c r="CY82" s="59">
        <f ca="1">AVERAGE(OFFSET($CX$3,0,0,'Données projet'!$E$13+1,1))-AVERAGE(OFFSET($H$3,0,0,'Données projet'!$E$13+1,1))</f>
        <v>207.02306964567629</v>
      </c>
      <c r="CZ82" s="59">
        <f t="shared" si="96"/>
        <v>342.06887933351783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2.5030748899720741</v>
      </c>
      <c r="DG82" s="21">
        <f>EXP(-LN(2)/25)*DG81+(1-EXP(-LN(2)/25))/(LN(2)/25)*Calculateur!DB82*Calculateur!DD82*VLOOKUP('Données projet'!$B$13,Paramètres!$A$1:$I$89,3,0)*0.475*44/12</f>
        <v>10.003458510128086</v>
      </c>
      <c r="DH82" s="21">
        <f>EXP(-LN(2)/2)*DH81+(1-EXP(-LN(2)/2))/(LN(2)/2)*DB82*DE82*VLOOKUP('Données projet'!$B$13,Paramètres!$A$1:$I$89,3,0)*0.475*44/12</f>
        <v>5.5945947553999638E-7</v>
      </c>
      <c r="DI82" s="22">
        <f t="shared" si="69"/>
        <v>12.506533959559636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7">
        <f t="shared" si="56"/>
        <v>256.66666666666669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506.5</v>
      </c>
      <c r="L83" s="12">
        <f>VLOOKUP(A83,'Données projet'!$A$35:$I$55,9,0)</f>
        <v>17</v>
      </c>
      <c r="M83" s="12">
        <f t="array" ref="M83">INDEX(L:L,MIN(IF(ISNUMBER(L83:L279),ROW(L83:L279),"")))</f>
        <v>17</v>
      </c>
      <c r="N83" s="13">
        <f>IF('Données projet'!$A$36&gt;35,N82+M83-V82,IF(A83&lt;'Données projet'!$A$36,$K$205^A83,IF(A83='Données projet'!$A$36,'Données projet'!$B$36,N82+M83-V82)))</f>
        <v>506.49999999999989</v>
      </c>
      <c r="O83" s="13">
        <f>N83*VLOOKUP('Données projet'!$B$9,Paramètres!$A$1:$I$89,3,0)*VLOOKUP('Données projet'!$B$9,Paramètres!$A$1:$I$89,5,0)</f>
        <v>237.04199999999994</v>
      </c>
      <c r="P83" s="13">
        <f t="shared" si="87"/>
        <v>57.802643745601223</v>
      </c>
      <c r="Q83" s="20">
        <f t="shared" si="54"/>
        <v>513.52108785692201</v>
      </c>
      <c r="R83" s="59">
        <f t="shared" si="55"/>
        <v>806.85442119025538</v>
      </c>
      <c r="S83" s="59">
        <f ca="1">AVERAGE(OFFSET($R$3,0,0,'Données projet'!$E$9+1,1))-AVERAGE(OFFSET($H$3,0,0,'Données projet'!$E$9+1,1))</f>
        <v>319.22903094674564</v>
      </c>
      <c r="T83" s="59">
        <f t="shared" si="88"/>
        <v>254.58690973142848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93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3.3717831324650107</v>
      </c>
      <c r="AA83" s="21">
        <f>EXP(-LN(2)/25)*AA82+(1-EXP(-LN(2)/25))/(LN(2)/25)*Calculateur!V83*Calculateur!X83*VLOOKUP('Données projet'!$B$9,Paramètres!$A$1:$I$89,3,0)*0.475*44/12</f>
        <v>2.7878300541724843</v>
      </c>
      <c r="AB83" s="21">
        <f>EXP(-LN(2)/2)*AB82+(1-EXP(-LN(2)/2))/(LN(2)/2)*V83*Y83*VLOOKUP('Données projet'!$B$9,Paramètres!$A$1:$I$89,3,0)*0.475*44/12</f>
        <v>3.2911088000531177E-7</v>
      </c>
      <c r="AC83" s="22">
        <f t="shared" si="57"/>
        <v>6.1596135157483749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1.9895196601282805E-13</v>
      </c>
      <c r="AJ83" s="13">
        <f>AI83*VLOOKUP('Données projet'!$B$10,Paramètres!$A$1:$I$89,3,0)*VLOOKUP('Données projet'!$B$10,Paramètres!$A$1:$I$89,5,0)</f>
        <v>1.738044375088066E-13</v>
      </c>
      <c r="AK83" s="13">
        <f t="shared" si="89"/>
        <v>2.4483293633950478E-12</v>
      </c>
      <c r="AL83" s="20">
        <f t="shared" si="58"/>
        <v>4.566883036574213E-12</v>
      </c>
      <c r="AM83" s="59">
        <f t="shared" si="59"/>
        <v>293.33333333333786</v>
      </c>
      <c r="AN83" s="59">
        <f ca="1">AVERAGE(OFFSET($AM$3,0,0,'Données projet'!$E$10+1,1))-AVERAGE(OFFSET($H$3,0,0,'Données projet'!$E$10+1,1))</f>
        <v>321.23599968992932</v>
      </c>
      <c r="AO83" s="59">
        <f t="shared" si="90"/>
        <v>388.05195847800502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2.5165712088258774</v>
      </c>
      <c r="AV83" s="21">
        <f>EXP(-LN(2)/25)*AV82+(1-EXP(-LN(2)/25))/(LN(2)/25)*Calculateur!AQ83*Calculateur!AS83*VLOOKUP('Données projet'!$B$10,Paramètres!$A$1:$I$89,3,0)*0.475*44/12</f>
        <v>3.825516076050512</v>
      </c>
      <c r="AW83" s="21">
        <f>EXP(-LN(2)/2)*AW82+(1-EXP(-LN(2)/2))/(LN(2)/2)*AQ83*AT83*VLOOKUP('Données projet'!$B$10,Paramètres!$A$1:$I$89,3,0)*0.475*44/12</f>
        <v>5.0429413448587248E-7</v>
      </c>
      <c r="AX83" s="21">
        <f t="shared" si="60"/>
        <v>6.3420877891705238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1.1368683772161603E-13</v>
      </c>
      <c r="BE83" s="13">
        <f>BD83*VLOOKUP('Données projet'!$B$11,Paramètres!$A$1:$I$89,3,0)*VLOOKUP('Données projet'!$B$11,Paramètres!$A$1:$I$89,5,0)</f>
        <v>6.7984728957526396E-14</v>
      </c>
      <c r="BF83" s="13">
        <f t="shared" si="91"/>
        <v>1.0682447123141398E-12</v>
      </c>
      <c r="BG83" s="20">
        <f t="shared" si="61"/>
        <v>1.978932943548152E-12</v>
      </c>
      <c r="BH83" s="59">
        <f t="shared" si="62"/>
        <v>293.3333333333353</v>
      </c>
      <c r="BI83" s="59">
        <f ca="1">AVERAGE(OFFSET($BH$3,0,0,'Données projet'!$E$11+1,1))-AVERAGE(OFFSET($H$3,0,0,'Données projet'!$E$11+1,1))</f>
        <v>258.31845364515124</v>
      </c>
      <c r="BJ83" s="59">
        <f t="shared" si="92"/>
        <v>280.26155987300996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4.2642797244696053</v>
      </c>
      <c r="BQ83" s="21">
        <f>EXP(-LN(2)/25)*BQ82+(1-EXP(-LN(2)/25))/(LN(2)/25)*Calculateur!BL83*Calculateur!BN83*VLOOKUP('Données projet'!$B$11,Paramètres!$A$1:$I$89,3,0)*0.475*44/12</f>
        <v>2.3567726193389866</v>
      </c>
      <c r="BR83" s="21">
        <f>EXP(-LN(2)/2)*BR82+(1-EXP(-LN(2)/2))/(LN(2)/2)*BL83*BO83*VLOOKUP('Données projet'!$B$11,Paramètres!$A$1:$I$89,3,0)*0.475*44/12</f>
        <v>1.3497461129422581E-7</v>
      </c>
      <c r="BS83" s="22">
        <f t="shared" si="63"/>
        <v>6.621052478783203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-5.6843418860808015E-14</v>
      </c>
      <c r="BZ83" s="13">
        <f>BY83*VLOOKUP('Données projet'!$B$12,Paramètres!$A$1:$I$89,3,0)*VLOOKUP('Données projet'!$B$12,Paramètres!$A$1:$I$89,5,0)</f>
        <v>-5.1431925385259088E-14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366.86025470473652</v>
      </c>
      <c r="CE83" s="59">
        <f t="shared" si="94"/>
        <v>513.80016421153414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0.95652855852998697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1.1032967471500491E-7</v>
      </c>
      <c r="CN83" s="22">
        <f t="shared" si="66"/>
        <v>0.9565286688596617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-5.6843418860808015E-14</v>
      </c>
      <c r="CU83" s="17">
        <f>CT83*VLOOKUP('Données projet'!$B$13,Paramètres!$A$1:$I$89,3,0)*VLOOKUP('Données projet'!$B$13,Paramètres!$A$1:$I$89,5,0)</f>
        <v>-3.1036506698001178E-14</v>
      </c>
      <c r="CV83" s="13" t="e">
        <f t="shared" si="95"/>
        <v>#NUM!</v>
      </c>
      <c r="CW83" s="20" t="e">
        <f t="shared" si="67"/>
        <v>#NUM!</v>
      </c>
      <c r="CX83" s="59" t="e">
        <f t="shared" si="68"/>
        <v>#NUM!</v>
      </c>
      <c r="CY83" s="59">
        <f ca="1">AVERAGE(OFFSET($CX$3,0,0,'Données projet'!$E$13+1,1))-AVERAGE(OFFSET($H$3,0,0,'Données projet'!$E$13+1,1))</f>
        <v>207.02306964567629</v>
      </c>
      <c r="CZ83" s="59">
        <f t="shared" si="96"/>
        <v>342.06887933351783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2.453991118104653</v>
      </c>
      <c r="DG83" s="21">
        <f>EXP(-LN(2)/25)*DG82+(1-EXP(-LN(2)/25))/(LN(2)/25)*Calculateur!DB83*Calculateur!DD83*VLOOKUP('Données projet'!$B$13,Paramètres!$A$1:$I$89,3,0)*0.475*44/12</f>
        <v>9.7299134111096137</v>
      </c>
      <c r="DH83" s="21">
        <f>EXP(-LN(2)/2)*DH82+(1-EXP(-LN(2)/2))/(LN(2)/2)*DB83*DE83*VLOOKUP('Données projet'!$B$13,Paramètres!$A$1:$I$89,3,0)*0.475*44/12</f>
        <v>3.9559758895340086E-7</v>
      </c>
      <c r="DI83" s="22">
        <f t="shared" si="69"/>
        <v>12.183904924811856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7">
        <f t="shared" si="56"/>
        <v>256.66666666666669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17.5</v>
      </c>
      <c r="N84" s="13">
        <f>IF('Données projet'!$A$36&gt;35,N83+M84-V83,IF(A84&lt;'Données projet'!$A$36,$K$205^A84,IF(A84='Données projet'!$A$36,'Données projet'!$B$36,N83+M84-V83)))</f>
        <v>430.99999999999989</v>
      </c>
      <c r="O84" s="13">
        <f>N84*VLOOKUP('Données projet'!$B$9,Paramètres!$A$1:$I$89,3,0)*VLOOKUP('Données projet'!$B$9,Paramètres!$A$1:$I$89,5,0)</f>
        <v>201.70799999999994</v>
      </c>
      <c r="P84" s="13">
        <f t="shared" si="87"/>
        <v>50.119348451854243</v>
      </c>
      <c r="Q84" s="20">
        <f t="shared" si="54"/>
        <v>438.59929855364607</v>
      </c>
      <c r="R84" s="59">
        <f t="shared" si="55"/>
        <v>731.93263188697938</v>
      </c>
      <c r="S84" s="59">
        <f ca="1">AVERAGE(OFFSET($R$3,0,0,'Données projet'!$E$9+1,1))-AVERAGE(OFFSET($H$3,0,0,'Données projet'!$E$9+1,1))</f>
        <v>319.22903094674564</v>
      </c>
      <c r="T84" s="59">
        <f t="shared" si="88"/>
        <v>254.58690973142848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3.305664521822012</v>
      </c>
      <c r="AA84" s="21">
        <f>EXP(-LN(2)/25)*AA83+(1-EXP(-LN(2)/25))/(LN(2)/25)*Calculateur!V84*Calculateur!X84*VLOOKUP('Données projet'!$B$9,Paramètres!$A$1:$I$89,3,0)*0.475*44/12</f>
        <v>2.711596694735527</v>
      </c>
      <c r="AB84" s="21">
        <f>EXP(-LN(2)/2)*AB83+(1-EXP(-LN(2)/2))/(LN(2)/2)*V84*Y84*VLOOKUP('Données projet'!$B$9,Paramètres!$A$1:$I$89,3,0)*0.475*44/12</f>
        <v>2.327165350140281E-7</v>
      </c>
      <c r="AC84" s="22">
        <f t="shared" si="57"/>
        <v>6.0172614492740744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1.9895196601282805E-13</v>
      </c>
      <c r="AJ84" s="13">
        <f>AI84*VLOOKUP('Données projet'!$B$10,Paramètres!$A$1:$I$89,3,0)*VLOOKUP('Données projet'!$B$10,Paramètres!$A$1:$I$89,5,0)</f>
        <v>1.738044375088066E-13</v>
      </c>
      <c r="AK84" s="13">
        <f t="shared" si="89"/>
        <v>2.4483293633950478E-12</v>
      </c>
      <c r="AL84" s="20">
        <f t="shared" si="58"/>
        <v>4.566883036574213E-12</v>
      </c>
      <c r="AM84" s="59">
        <f t="shared" si="59"/>
        <v>293.33333333333786</v>
      </c>
      <c r="AN84" s="59">
        <f ca="1">AVERAGE(OFFSET($AM$3,0,0,'Données projet'!$E$10+1,1))-AVERAGE(OFFSET($H$3,0,0,'Données projet'!$E$10+1,1))</f>
        <v>321.23599968992932</v>
      </c>
      <c r="AO84" s="59">
        <f t="shared" si="90"/>
        <v>388.05195847800502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2.4672227823776751</v>
      </c>
      <c r="AV84" s="21">
        <f>EXP(-LN(2)/25)*AV83+(1-EXP(-LN(2)/25))/(LN(2)/25)*Calculateur!AQ84*Calculateur!AS84*VLOOKUP('Données projet'!$B$10,Paramètres!$A$1:$I$89,3,0)*0.475*44/12</f>
        <v>3.7209071377757637</v>
      </c>
      <c r="AW84" s="21">
        <f>EXP(-LN(2)/2)*AW83+(1-EXP(-LN(2)/2))/(LN(2)/2)*AQ84*AT84*VLOOKUP('Données projet'!$B$10,Paramètres!$A$1:$I$89,3,0)*0.475*44/12</f>
        <v>3.565898022075612E-7</v>
      </c>
      <c r="AX84" s="21">
        <f t="shared" si="60"/>
        <v>6.1881302767432409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1.1368683772161603E-13</v>
      </c>
      <c r="BE84" s="13">
        <f>BD84*VLOOKUP('Données projet'!$B$11,Paramètres!$A$1:$I$89,3,0)*VLOOKUP('Données projet'!$B$11,Paramètres!$A$1:$I$89,5,0)</f>
        <v>6.7984728957526396E-14</v>
      </c>
      <c r="BF84" s="13">
        <f t="shared" si="91"/>
        <v>1.0682447123141398E-12</v>
      </c>
      <c r="BG84" s="20">
        <f t="shared" si="61"/>
        <v>1.978932943548152E-12</v>
      </c>
      <c r="BH84" s="59">
        <f t="shared" si="62"/>
        <v>293.3333333333353</v>
      </c>
      <c r="BI84" s="59">
        <f ca="1">AVERAGE(OFFSET($BH$3,0,0,'Données projet'!$E$11+1,1))-AVERAGE(OFFSET($H$3,0,0,'Données projet'!$E$11+1,1))</f>
        <v>258.31845364515124</v>
      </c>
      <c r="BJ84" s="59">
        <f t="shared" si="92"/>
        <v>280.26155987300996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4.1806598000265653</v>
      </c>
      <c r="BQ84" s="21">
        <f>EXP(-LN(2)/25)*BQ83+(1-EXP(-LN(2)/25))/(LN(2)/25)*Calculateur!BL84*Calculateur!BN84*VLOOKUP('Données projet'!$B$11,Paramètres!$A$1:$I$89,3,0)*0.475*44/12</f>
        <v>2.2923265481258763</v>
      </c>
      <c r="BR84" s="21">
        <f>EXP(-LN(2)/2)*BR83+(1-EXP(-LN(2)/2))/(LN(2)/2)*BL84*BO84*VLOOKUP('Données projet'!$B$11,Paramètres!$A$1:$I$89,3,0)*0.475*44/12</f>
        <v>9.5441462934165436E-8</v>
      </c>
      <c r="BS84" s="22">
        <f t="shared" si="63"/>
        <v>6.4729864435939044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-5.6843418860808015E-14</v>
      </c>
      <c r="BZ84" s="13">
        <f>BY84*VLOOKUP('Données projet'!$B$12,Paramètres!$A$1:$I$89,3,0)*VLOOKUP('Données projet'!$B$12,Paramètres!$A$1:$I$89,5,0)</f>
        <v>-5.1431925385259088E-14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366.86025470473652</v>
      </c>
      <c r="CE84" s="59">
        <f t="shared" si="94"/>
        <v>513.80016421153414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0.93777161692202626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7.8014861157085939E-8</v>
      </c>
      <c r="CN84" s="22">
        <f t="shared" si="66"/>
        <v>0.93777169493688739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-5.6843418860808015E-14</v>
      </c>
      <c r="CU84" s="17">
        <f>CT84*VLOOKUP('Données projet'!$B$13,Paramètres!$A$1:$I$89,3,0)*VLOOKUP('Données projet'!$B$13,Paramètres!$A$1:$I$89,5,0)</f>
        <v>-3.1036506698001178E-14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207.02306964567629</v>
      </c>
      <c r="CZ84" s="59">
        <f t="shared" si="96"/>
        <v>342.06887933351783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2.4058698490654074</v>
      </c>
      <c r="DG84" s="21">
        <f>EXP(-LN(2)/25)*DG83+(1-EXP(-LN(2)/25))/(LN(2)/25)*Calculateur!DB84*Calculateur!DD84*VLOOKUP('Données projet'!$B$13,Paramètres!$A$1:$I$89,3,0)*0.475*44/12</f>
        <v>9.4638484172089132</v>
      </c>
      <c r="DH84" s="21">
        <f>EXP(-LN(2)/2)*DH83+(1-EXP(-LN(2)/2))/(LN(2)/2)*DB84*DE84*VLOOKUP('Données projet'!$B$13,Paramètres!$A$1:$I$89,3,0)*0.475*44/12</f>
        <v>2.7972973776999819E-7</v>
      </c>
      <c r="DI84" s="22">
        <f t="shared" si="69"/>
        <v>11.869718546004059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7">
        <f t="shared" si="56"/>
        <v>256.66666666666669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17.5</v>
      </c>
      <c r="N85" s="13">
        <f>IF('Données projet'!$A$36&gt;35,N84+M85-V84,IF(A85&lt;'Données projet'!$A$36,$K$205^A85,IF(A85='Données projet'!$A$36,'Données projet'!$B$36,N84+M85-V84)))</f>
        <v>448.49999999999989</v>
      </c>
      <c r="O85" s="13">
        <f>N85*VLOOKUP('Données projet'!$B$9,Paramètres!$A$1:$I$89,3,0)*VLOOKUP('Données projet'!$B$9,Paramètres!$A$1:$I$89,5,0)</f>
        <v>209.89799999999994</v>
      </c>
      <c r="P85" s="13">
        <f t="shared" si="87"/>
        <v>51.913295501810218</v>
      </c>
      <c r="Q85" s="20">
        <f t="shared" si="54"/>
        <v>455.98800633231934</v>
      </c>
      <c r="R85" s="59">
        <f t="shared" si="55"/>
        <v>749.32133966565266</v>
      </c>
      <c r="S85" s="59">
        <f ca="1">AVERAGE(OFFSET($R$3,0,0,'Données projet'!$E$9+1,1))-AVERAGE(OFFSET($H$3,0,0,'Données projet'!$E$9+1,1))</f>
        <v>319.22903094674564</v>
      </c>
      <c r="T85" s="59">
        <f t="shared" si="88"/>
        <v>254.58690973142848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3.240842456805352</v>
      </c>
      <c r="AA85" s="21">
        <f>EXP(-LN(2)/25)*AA84+(1-EXP(-LN(2)/25))/(LN(2)/25)*Calculateur!V85*Calculateur!X85*VLOOKUP('Données projet'!$B$9,Paramètres!$A$1:$I$89,3,0)*0.475*44/12</f>
        <v>2.6374479405213114</v>
      </c>
      <c r="AB85" s="21">
        <f>EXP(-LN(2)/2)*AB84+(1-EXP(-LN(2)/2))/(LN(2)/2)*V85*Y85*VLOOKUP('Données projet'!$B$9,Paramètres!$A$1:$I$89,3,0)*0.475*44/12</f>
        <v>1.6455544000265591E-7</v>
      </c>
      <c r="AC85" s="22">
        <f t="shared" si="57"/>
        <v>5.8782905618821042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1.9895196601282805E-13</v>
      </c>
      <c r="AJ85" s="13">
        <f>AI85*VLOOKUP('Données projet'!$B$10,Paramètres!$A$1:$I$89,3,0)*VLOOKUP('Données projet'!$B$10,Paramètres!$A$1:$I$89,5,0)</f>
        <v>1.738044375088066E-13</v>
      </c>
      <c r="AK85" s="13">
        <f t="shared" si="89"/>
        <v>2.4483293633950478E-12</v>
      </c>
      <c r="AL85" s="20">
        <f t="shared" si="58"/>
        <v>4.566883036574213E-12</v>
      </c>
      <c r="AM85" s="59">
        <f t="shared" si="59"/>
        <v>293.33333333333786</v>
      </c>
      <c r="AN85" s="59">
        <f ca="1">AVERAGE(OFFSET($AM$3,0,0,'Données projet'!$E$10+1,1))-AVERAGE(OFFSET($H$3,0,0,'Données projet'!$E$10+1,1))</f>
        <v>321.23599968992932</v>
      </c>
      <c r="AO85" s="59">
        <f t="shared" si="90"/>
        <v>388.05195847800502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2.4188420484725537</v>
      </c>
      <c r="AV85" s="21">
        <f>EXP(-LN(2)/25)*AV84+(1-EXP(-LN(2)/25))/(LN(2)/25)*Calculateur!AQ85*Calculateur!AS85*VLOOKUP('Données projet'!$B$10,Paramètres!$A$1:$I$89,3,0)*0.475*44/12</f>
        <v>3.6191587364192834</v>
      </c>
      <c r="AW85" s="21">
        <f>EXP(-LN(2)/2)*AW84+(1-EXP(-LN(2)/2))/(LN(2)/2)*AQ85*AT85*VLOOKUP('Données projet'!$B$10,Paramètres!$A$1:$I$89,3,0)*0.475*44/12</f>
        <v>2.5214706724293624E-7</v>
      </c>
      <c r="AX85" s="21">
        <f t="shared" si="60"/>
        <v>6.0380010370389048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1.1368683772161603E-13</v>
      </c>
      <c r="BE85" s="13">
        <f>BD85*VLOOKUP('Données projet'!$B$11,Paramètres!$A$1:$I$89,3,0)*VLOOKUP('Données projet'!$B$11,Paramètres!$A$1:$I$89,5,0)</f>
        <v>6.7984728957526396E-14</v>
      </c>
      <c r="BF85" s="13">
        <f t="shared" si="91"/>
        <v>1.0682447123141398E-12</v>
      </c>
      <c r="BG85" s="20">
        <f t="shared" si="61"/>
        <v>1.978932943548152E-12</v>
      </c>
      <c r="BH85" s="59">
        <f t="shared" si="62"/>
        <v>293.3333333333353</v>
      </c>
      <c r="BI85" s="59">
        <f ca="1">AVERAGE(OFFSET($BH$3,0,0,'Données projet'!$E$11+1,1))-AVERAGE(OFFSET($H$3,0,0,'Données projet'!$E$11+1,1))</f>
        <v>258.31845364515124</v>
      </c>
      <c r="BJ85" s="59">
        <f t="shared" si="92"/>
        <v>280.26155987300996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4.0986796112987358</v>
      </c>
      <c r="BQ85" s="21">
        <f>EXP(-LN(2)/25)*BQ84+(1-EXP(-LN(2)/25))/(LN(2)/25)*Calculateur!BL85*Calculateur!BN85*VLOOKUP('Données projet'!$B$11,Paramètres!$A$1:$I$89,3,0)*0.475*44/12</f>
        <v>2.2296427581191605</v>
      </c>
      <c r="BR85" s="21">
        <f>EXP(-LN(2)/2)*BR84+(1-EXP(-LN(2)/2))/(LN(2)/2)*BL85*BO85*VLOOKUP('Données projet'!$B$11,Paramètres!$A$1:$I$89,3,0)*0.475*44/12</f>
        <v>6.7487305647112904E-8</v>
      </c>
      <c r="BS85" s="22">
        <f t="shared" si="63"/>
        <v>6.3283224369052018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-5.6843418860808015E-14</v>
      </c>
      <c r="BZ85" s="13">
        <f>BY85*VLOOKUP('Données projet'!$B$12,Paramètres!$A$1:$I$89,3,0)*VLOOKUP('Données projet'!$B$12,Paramètres!$A$1:$I$89,5,0)</f>
        <v>-5.1431925385259088E-14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366.86025470473652</v>
      </c>
      <c r="CE85" s="59">
        <f t="shared" si="94"/>
        <v>513.80016421153414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0.91938248749839291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5.5164837357502454E-8</v>
      </c>
      <c r="CN85" s="22">
        <f t="shared" si="66"/>
        <v>0.91938254266323027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-5.6843418860808015E-14</v>
      </c>
      <c r="CU85" s="17">
        <f>CT85*VLOOKUP('Données projet'!$B$13,Paramètres!$A$1:$I$89,3,0)*VLOOKUP('Données projet'!$B$13,Paramètres!$A$1:$I$89,5,0)</f>
        <v>-3.1036506698001178E-14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207.02306964567629</v>
      </c>
      <c r="CZ85" s="59">
        <f t="shared" si="96"/>
        <v>342.06887933351783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2.3586922087609454</v>
      </c>
      <c r="DG85" s="21">
        <f>EXP(-LN(2)/25)*DG84+(1-EXP(-LN(2)/25))/(LN(2)/25)*Calculateur!DB85*Calculateur!DD85*VLOOKUP('Données projet'!$B$13,Paramètres!$A$1:$I$89,3,0)*0.475*44/12</f>
        <v>9.2050589845581765</v>
      </c>
      <c r="DH85" s="21">
        <f>EXP(-LN(2)/2)*DH84+(1-EXP(-LN(2)/2))/(LN(2)/2)*DB85*DE85*VLOOKUP('Données projet'!$B$13,Paramètres!$A$1:$I$89,3,0)*0.475*44/12</f>
        <v>1.9779879447670043E-7</v>
      </c>
      <c r="DI85" s="22">
        <f t="shared" si="69"/>
        <v>11.563751391117917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7">
        <f t="shared" si="56"/>
        <v>256.66666666666669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17.5</v>
      </c>
      <c r="N86" s="13">
        <f>IF('Données projet'!$A$36&gt;35,N85+M86-V85,IF(A86&lt;'Données projet'!$A$36,$K$205^A86,IF(A86='Données projet'!$A$36,'Données projet'!$B$36,N85+M86-V85)))</f>
        <v>465.99999999999989</v>
      </c>
      <c r="O86" s="13">
        <f>N86*VLOOKUP('Données projet'!$B$9,Paramètres!$A$1:$I$89,3,0)*VLOOKUP('Données projet'!$B$9,Paramètres!$A$1:$I$89,5,0)</f>
        <v>218.08799999999997</v>
      </c>
      <c r="P86" s="13">
        <f t="shared" si="87"/>
        <v>53.699111087780629</v>
      </c>
      <c r="Q86" s="20">
        <f t="shared" si="54"/>
        <v>473.36255181121783</v>
      </c>
      <c r="R86" s="59">
        <f t="shared" si="55"/>
        <v>766.69588514455108</v>
      </c>
      <c r="S86" s="59">
        <f ca="1">AVERAGE(OFFSET($R$3,0,0,'Données projet'!$E$9+1,1))-AVERAGE(OFFSET($H$3,0,0,'Données projet'!$E$9+1,1))</f>
        <v>319.22903094674564</v>
      </c>
      <c r="T86" s="59">
        <f t="shared" si="88"/>
        <v>254.58690973142848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3.177291512946113</v>
      </c>
      <c r="AA86" s="21">
        <f>EXP(-LN(2)/25)*AA85+(1-EXP(-LN(2)/25))/(LN(2)/25)*Calculateur!V86*Calculateur!X86*VLOOKUP('Données projet'!$B$9,Paramètres!$A$1:$I$89,3,0)*0.475*44/12</f>
        <v>2.5653267878903967</v>
      </c>
      <c r="AB86" s="21">
        <f>EXP(-LN(2)/2)*AB85+(1-EXP(-LN(2)/2))/(LN(2)/2)*V86*Y86*VLOOKUP('Données projet'!$B$9,Paramètres!$A$1:$I$89,3,0)*0.475*44/12</f>
        <v>1.1635826750701407E-7</v>
      </c>
      <c r="AC86" s="22">
        <f t="shared" si="57"/>
        <v>5.7426184171947776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1.9895196601282805E-13</v>
      </c>
      <c r="AJ86" s="13">
        <f>AI86*VLOOKUP('Données projet'!$B$10,Paramètres!$A$1:$I$89,3,0)*VLOOKUP('Données projet'!$B$10,Paramètres!$A$1:$I$89,5,0)</f>
        <v>1.738044375088066E-13</v>
      </c>
      <c r="AK86" s="13">
        <f t="shared" si="89"/>
        <v>2.4483293633950478E-12</v>
      </c>
      <c r="AL86" s="20">
        <f t="shared" si="58"/>
        <v>4.566883036574213E-12</v>
      </c>
      <c r="AM86" s="59">
        <f t="shared" si="59"/>
        <v>293.33333333333786</v>
      </c>
      <c r="AN86" s="59">
        <f ca="1">AVERAGE(OFFSET($AM$3,0,0,'Données projet'!$E$10+1,1))-AVERAGE(OFFSET($H$3,0,0,'Données projet'!$E$10+1,1))</f>
        <v>321.23599968992932</v>
      </c>
      <c r="AO86" s="59">
        <f t="shared" si="90"/>
        <v>388.05195847800502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2.3714100312499782</v>
      </c>
      <c r="AV86" s="21">
        <f>EXP(-LN(2)/25)*AV85+(1-EXP(-LN(2)/25))/(LN(2)/25)*Calculateur!AQ86*Calculateur!AS86*VLOOKUP('Données projet'!$B$10,Paramètres!$A$1:$I$89,3,0)*0.475*44/12</f>
        <v>3.5201926504486121</v>
      </c>
      <c r="AW86" s="21">
        <f>EXP(-LN(2)/2)*AW85+(1-EXP(-LN(2)/2))/(LN(2)/2)*AQ86*AT86*VLOOKUP('Données projet'!$B$10,Paramètres!$A$1:$I$89,3,0)*0.475*44/12</f>
        <v>1.782949011037806E-7</v>
      </c>
      <c r="AX86" s="21">
        <f t="shared" si="60"/>
        <v>5.8916028599934913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1.1368683772161603E-13</v>
      </c>
      <c r="BE86" s="13">
        <f>BD86*VLOOKUP('Données projet'!$B$11,Paramètres!$A$1:$I$89,3,0)*VLOOKUP('Données projet'!$B$11,Paramètres!$A$1:$I$89,5,0)</f>
        <v>6.7984728957526396E-14</v>
      </c>
      <c r="BF86" s="13">
        <f t="shared" si="91"/>
        <v>1.0682447123141398E-12</v>
      </c>
      <c r="BG86" s="20">
        <f t="shared" si="61"/>
        <v>1.978932943548152E-12</v>
      </c>
      <c r="BH86" s="59">
        <f t="shared" si="62"/>
        <v>293.3333333333353</v>
      </c>
      <c r="BI86" s="59">
        <f ca="1">AVERAGE(OFFSET($BH$3,0,0,'Données projet'!$E$11+1,1))-AVERAGE(OFFSET($H$3,0,0,'Données projet'!$E$11+1,1))</f>
        <v>258.31845364515124</v>
      </c>
      <c r="BJ86" s="59">
        <f t="shared" si="92"/>
        <v>280.26155987300996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4.0183070040688813</v>
      </c>
      <c r="BQ86" s="21">
        <f>EXP(-LN(2)/25)*BQ85+(1-EXP(-LN(2)/25))/(LN(2)/25)*Calculateur!BL86*Calculateur!BN86*VLOOKUP('Données projet'!$B$11,Paramètres!$A$1:$I$89,3,0)*0.475*44/12</f>
        <v>2.1686730596465753</v>
      </c>
      <c r="BR86" s="21">
        <f>EXP(-LN(2)/2)*BR85+(1-EXP(-LN(2)/2))/(LN(2)/2)*BL86*BO86*VLOOKUP('Données projet'!$B$11,Paramètres!$A$1:$I$89,3,0)*0.475*44/12</f>
        <v>4.7720731467082718E-8</v>
      </c>
      <c r="BS86" s="22">
        <f t="shared" si="63"/>
        <v>6.1869801114361875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-5.6843418860808015E-14</v>
      </c>
      <c r="BZ86" s="13">
        <f>BY86*VLOOKUP('Données projet'!$B$12,Paramètres!$A$1:$I$89,3,0)*VLOOKUP('Données projet'!$B$12,Paramètres!$A$1:$I$89,5,0)</f>
        <v>-5.1431925385259088E-14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366.86025470473652</v>
      </c>
      <c r="CE86" s="59">
        <f t="shared" si="94"/>
        <v>513.80016421153414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0.90135395768649551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3.9007430578542969E-8</v>
      </c>
      <c r="CN86" s="22">
        <f t="shared" si="66"/>
        <v>0.90135399669392613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-5.6843418860808015E-14</v>
      </c>
      <c r="CU86" s="17">
        <f>CT86*VLOOKUP('Données projet'!$B$13,Paramètres!$A$1:$I$89,3,0)*VLOOKUP('Données projet'!$B$13,Paramètres!$A$1:$I$89,5,0)</f>
        <v>-3.1036506698001178E-14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207.02306964567629</v>
      </c>
      <c r="CZ86" s="59">
        <f t="shared" si="96"/>
        <v>342.06887933351783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2.3124396932073346</v>
      </c>
      <c r="DG86" s="21">
        <f>EXP(-LN(2)/25)*DG85+(1-EXP(-LN(2)/25))/(LN(2)/25)*Calculateur!DB86*Calculateur!DD86*VLOOKUP('Données projet'!$B$13,Paramètres!$A$1:$I$89,3,0)*0.475*44/12</f>
        <v>8.9533461625524193</v>
      </c>
      <c r="DH86" s="21">
        <f>EXP(-LN(2)/2)*DH85+(1-EXP(-LN(2)/2))/(LN(2)/2)*DB86*DE86*VLOOKUP('Données projet'!$B$13,Paramètres!$A$1:$I$89,3,0)*0.475*44/12</f>
        <v>1.3986486888499909E-7</v>
      </c>
      <c r="DI86" s="22">
        <f t="shared" si="69"/>
        <v>11.265785995624622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7">
        <f t="shared" si="56"/>
        <v>256.66666666666669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17.5</v>
      </c>
      <c r="N87" s="13">
        <f>IF('Données projet'!$A$36&gt;35,N86+M87-V86,IF(A87&lt;'Données projet'!$A$36,$K$205^A87,IF(A87='Données projet'!$A$36,'Données projet'!$B$36,N86+M87-V86)))</f>
        <v>483.49999999999989</v>
      </c>
      <c r="O87" s="13">
        <f>N87*VLOOKUP('Données projet'!$B$9,Paramètres!$A$1:$I$89,3,0)*VLOOKUP('Données projet'!$B$9,Paramètres!$A$1:$I$89,5,0)</f>
        <v>226.27799999999993</v>
      </c>
      <c r="P87" s="13">
        <f t="shared" si="87"/>
        <v>55.477135539319008</v>
      </c>
      <c r="Q87" s="20">
        <f t="shared" si="54"/>
        <v>490.72352773098049</v>
      </c>
      <c r="R87" s="59">
        <f t="shared" si="55"/>
        <v>784.05686106431381</v>
      </c>
      <c r="S87" s="59">
        <f ca="1">AVERAGE(OFFSET($R$3,0,0,'Données projet'!$E$9+1,1))-AVERAGE(OFFSET($H$3,0,0,'Données projet'!$E$9+1,1))</f>
        <v>319.22903094674564</v>
      </c>
      <c r="T87" s="59">
        <f t="shared" si="88"/>
        <v>254.58690973142848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3.1149867643337052</v>
      </c>
      <c r="AA87" s="21">
        <f>EXP(-LN(2)/25)*AA86+(1-EXP(-LN(2)/25))/(LN(2)/25)*Calculateur!V87*Calculateur!X87*VLOOKUP('Données projet'!$B$9,Paramètres!$A$1:$I$89,3,0)*0.475*44/12</f>
        <v>2.4951777919708613</v>
      </c>
      <c r="AB87" s="21">
        <f>EXP(-LN(2)/2)*AB86+(1-EXP(-LN(2)/2))/(LN(2)/2)*V87*Y87*VLOOKUP('Données projet'!$B$9,Paramètres!$A$1:$I$89,3,0)*0.475*44/12</f>
        <v>8.227772000132797E-8</v>
      </c>
      <c r="AC87" s="22">
        <f t="shared" si="57"/>
        <v>5.6101646385822859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1.9895196601282805E-13</v>
      </c>
      <c r="AJ87" s="13">
        <f>AI87*VLOOKUP('Données projet'!$B$10,Paramètres!$A$1:$I$89,3,0)*VLOOKUP('Données projet'!$B$10,Paramètres!$A$1:$I$89,5,0)</f>
        <v>1.738044375088066E-13</v>
      </c>
      <c r="AK87" s="13">
        <f t="shared" si="89"/>
        <v>2.4483293633950478E-12</v>
      </c>
      <c r="AL87" s="20">
        <f t="shared" si="58"/>
        <v>4.566883036574213E-12</v>
      </c>
      <c r="AM87" s="59">
        <f t="shared" si="59"/>
        <v>293.33333333333786</v>
      </c>
      <c r="AN87" s="59">
        <f ca="1">AVERAGE(OFFSET($AM$3,0,0,'Données projet'!$E$10+1,1))-AVERAGE(OFFSET($H$3,0,0,'Données projet'!$E$10+1,1))</f>
        <v>321.23599968992932</v>
      </c>
      <c r="AO87" s="59">
        <f t="shared" si="90"/>
        <v>388.05195847800502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2.3249081269544631</v>
      </c>
      <c r="AV87" s="21">
        <f>EXP(-LN(2)/25)*AV86+(1-EXP(-LN(2)/25))/(LN(2)/25)*Calculateur!AQ87*Calculateur!AS87*VLOOKUP('Données projet'!$B$10,Paramètres!$A$1:$I$89,3,0)*0.475*44/12</f>
        <v>3.423932797303209</v>
      </c>
      <c r="AW87" s="21">
        <f>EXP(-LN(2)/2)*AW86+(1-EXP(-LN(2)/2))/(LN(2)/2)*AQ87*AT87*VLOOKUP('Données projet'!$B$10,Paramètres!$A$1:$I$89,3,0)*0.475*44/12</f>
        <v>1.2607353362146812E-7</v>
      </c>
      <c r="AX87" s="21">
        <f t="shared" si="60"/>
        <v>5.7488410503312064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1.1368683772161603E-13</v>
      </c>
      <c r="BE87" s="13">
        <f>BD87*VLOOKUP('Données projet'!$B$11,Paramètres!$A$1:$I$89,3,0)*VLOOKUP('Données projet'!$B$11,Paramètres!$A$1:$I$89,5,0)</f>
        <v>6.7984728957526396E-14</v>
      </c>
      <c r="BF87" s="13">
        <f t="shared" si="91"/>
        <v>1.0682447123141398E-12</v>
      </c>
      <c r="BG87" s="20">
        <f t="shared" si="61"/>
        <v>1.978932943548152E-12</v>
      </c>
      <c r="BH87" s="59">
        <f t="shared" si="62"/>
        <v>293.3333333333353</v>
      </c>
      <c r="BI87" s="59">
        <f ca="1">AVERAGE(OFFSET($BH$3,0,0,'Données projet'!$E$11+1,1))-AVERAGE(OFFSET($H$3,0,0,'Données projet'!$E$11+1,1))</f>
        <v>258.31845364515124</v>
      </c>
      <c r="BJ87" s="59">
        <f t="shared" si="92"/>
        <v>280.26155987300996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3.9395104546443545</v>
      </c>
      <c r="BQ87" s="21">
        <f>EXP(-LN(2)/25)*BQ86+(1-EXP(-LN(2)/25))/(LN(2)/25)*Calculateur!BL87*Calculateur!BN87*VLOOKUP('Données projet'!$B$11,Paramètres!$A$1:$I$89,3,0)*0.475*44/12</f>
        <v>2.1093705807849799</v>
      </c>
      <c r="BR87" s="21">
        <f>EXP(-LN(2)/2)*BR86+(1-EXP(-LN(2)/2))/(LN(2)/2)*BL87*BO87*VLOOKUP('Données projet'!$B$11,Paramètres!$A$1:$I$89,3,0)*0.475*44/12</f>
        <v>3.3743652823556452E-8</v>
      </c>
      <c r="BS87" s="22">
        <f t="shared" si="63"/>
        <v>6.0488810691729871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-5.6843418860808015E-14</v>
      </c>
      <c r="BZ87" s="13">
        <f>BY87*VLOOKUP('Données projet'!$B$12,Paramètres!$A$1:$I$89,3,0)*VLOOKUP('Données projet'!$B$12,Paramètres!$A$1:$I$89,5,0)</f>
        <v>-5.1431925385259088E-14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366.86025470473652</v>
      </c>
      <c r="CE87" s="59">
        <f t="shared" si="94"/>
        <v>513.80016421153414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0.88367895634789206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2.7582418678751227E-8</v>
      </c>
      <c r="CN87" s="22">
        <f t="shared" si="66"/>
        <v>0.88367898393031075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-5.6843418860808015E-14</v>
      </c>
      <c r="CU87" s="17">
        <f>CT87*VLOOKUP('Données projet'!$B$13,Paramètres!$A$1:$I$89,3,0)*VLOOKUP('Données projet'!$B$13,Paramètres!$A$1:$I$89,5,0)</f>
        <v>-3.1036506698001178E-14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207.02306964567629</v>
      </c>
      <c r="CZ87" s="59">
        <f t="shared" si="96"/>
        <v>342.06887933351783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2.2670941612724813</v>
      </c>
      <c r="DG87" s="21">
        <f>EXP(-LN(2)/25)*DG86+(1-EXP(-LN(2)/25))/(LN(2)/25)*Calculateur!DB87*Calculateur!DD87*VLOOKUP('Données projet'!$B$13,Paramètres!$A$1:$I$89,3,0)*0.475*44/12</f>
        <v>8.7085164409014126</v>
      </c>
      <c r="DH87" s="21">
        <f>EXP(-LN(2)/2)*DH86+(1-EXP(-LN(2)/2))/(LN(2)/2)*DB87*DE87*VLOOKUP('Données projet'!$B$13,Paramètres!$A$1:$I$89,3,0)*0.475*44/12</f>
        <v>9.8899397238350216E-8</v>
      </c>
      <c r="DI87" s="22">
        <f t="shared" si="69"/>
        <v>10.975610701073292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7">
        <f t="shared" si="56"/>
        <v>256.66666666666669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17.5</v>
      </c>
      <c r="N88" s="13">
        <f>IF('Données projet'!$A$36&gt;35,N87+M88-V87,IF(A88&lt;'Données projet'!$A$36,$K$205^A88,IF(A88='Données projet'!$A$36,'Données projet'!$B$36,N87+M88-V87)))</f>
        <v>500.99999999999989</v>
      </c>
      <c r="O88" s="13">
        <f>N88*VLOOKUP('Données projet'!$B$9,Paramètres!$A$1:$I$89,3,0)*VLOOKUP('Données projet'!$B$9,Paramètres!$A$1:$I$89,5,0)</f>
        <v>234.46799999999996</v>
      </c>
      <c r="P88" s="13">
        <f t="shared" si="87"/>
        <v>57.247683153605394</v>
      </c>
      <c r="Q88" s="20">
        <f t="shared" si="54"/>
        <v>508.0714814925293</v>
      </c>
      <c r="R88" s="59">
        <f t="shared" si="55"/>
        <v>801.40481482586256</v>
      </c>
      <c r="S88" s="59">
        <f ca="1">AVERAGE(OFFSET($R$3,0,0,'Données projet'!$E$9+1,1))-AVERAGE(OFFSET($H$3,0,0,'Données projet'!$E$9+1,1))</f>
        <v>319.22903094674564</v>
      </c>
      <c r="T88" s="59">
        <f t="shared" si="88"/>
        <v>254.58690973142848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3.0539037738394428</v>
      </c>
      <c r="AA88" s="21">
        <f>EXP(-LN(2)/25)*AA87+(1-EXP(-LN(2)/25))/(LN(2)/25)*Calculateur!V88*Calculateur!X88*VLOOKUP('Données projet'!$B$9,Paramètres!$A$1:$I$89,3,0)*0.475*44/12</f>
        <v>2.426947024033721</v>
      </c>
      <c r="AB88" s="21">
        <f>EXP(-LN(2)/2)*AB87+(1-EXP(-LN(2)/2))/(LN(2)/2)*V88*Y88*VLOOKUP('Données projet'!$B$9,Paramètres!$A$1:$I$89,3,0)*0.475*44/12</f>
        <v>5.8179133753507044E-8</v>
      </c>
      <c r="AC88" s="22">
        <f t="shared" si="57"/>
        <v>5.4808508560522968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1.9895196601282805E-13</v>
      </c>
      <c r="AJ88" s="13">
        <f>AI88*VLOOKUP('Données projet'!$B$10,Paramètres!$A$1:$I$89,3,0)*VLOOKUP('Données projet'!$B$10,Paramètres!$A$1:$I$89,5,0)</f>
        <v>1.738044375088066E-13</v>
      </c>
      <c r="AK88" s="13">
        <f t="shared" si="89"/>
        <v>2.4483293633950478E-12</v>
      </c>
      <c r="AL88" s="20">
        <f t="shared" si="58"/>
        <v>4.566883036574213E-12</v>
      </c>
      <c r="AM88" s="59">
        <f t="shared" si="59"/>
        <v>293.33333333333786</v>
      </c>
      <c r="AN88" s="59">
        <f ca="1">AVERAGE(OFFSET($AM$3,0,0,'Données projet'!$E$10+1,1))-AVERAGE(OFFSET($H$3,0,0,'Données projet'!$E$10+1,1))</f>
        <v>321.23599968992932</v>
      </c>
      <c r="AO88" s="59">
        <f t="shared" si="90"/>
        <v>388.05195847800502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2.2793180966388222</v>
      </c>
      <c r="AV88" s="21">
        <f>EXP(-LN(2)/25)*AV87+(1-EXP(-LN(2)/25))/(LN(2)/25)*Calculateur!AQ88*Calculateur!AS88*VLOOKUP('Données projet'!$B$10,Paramètres!$A$1:$I$89,3,0)*0.475*44/12</f>
        <v>3.3303051749041526</v>
      </c>
      <c r="AW88" s="21">
        <f>EXP(-LN(2)/2)*AW87+(1-EXP(-LN(2)/2))/(LN(2)/2)*AQ88*AT88*VLOOKUP('Données projet'!$B$10,Paramètres!$A$1:$I$89,3,0)*0.475*44/12</f>
        <v>8.9147450551890301E-8</v>
      </c>
      <c r="AX88" s="21">
        <f t="shared" si="60"/>
        <v>5.6096233606904251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1.1368683772161603E-13</v>
      </c>
      <c r="BE88" s="13">
        <f>BD88*VLOOKUP('Données projet'!$B$11,Paramètres!$A$1:$I$89,3,0)*VLOOKUP('Données projet'!$B$11,Paramètres!$A$1:$I$89,5,0)</f>
        <v>6.7984728957526396E-14</v>
      </c>
      <c r="BF88" s="13">
        <f t="shared" si="91"/>
        <v>1.0682447123141398E-12</v>
      </c>
      <c r="BG88" s="20">
        <f t="shared" si="61"/>
        <v>1.978932943548152E-12</v>
      </c>
      <c r="BH88" s="59">
        <f t="shared" si="62"/>
        <v>293.3333333333353</v>
      </c>
      <c r="BI88" s="59">
        <f ca="1">AVERAGE(OFFSET($BH$3,0,0,'Données projet'!$E$11+1,1))-AVERAGE(OFFSET($H$3,0,0,'Données projet'!$E$11+1,1))</f>
        <v>258.31845364515124</v>
      </c>
      <c r="BJ88" s="59">
        <f t="shared" si="92"/>
        <v>280.26155987300996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3.862259057492893</v>
      </c>
      <c r="BQ88" s="21">
        <f>EXP(-LN(2)/25)*BQ87+(1-EXP(-LN(2)/25))/(LN(2)/25)*Calculateur!BL88*Calculateur!BN88*VLOOKUP('Données projet'!$B$11,Paramètres!$A$1:$I$89,3,0)*0.475*44/12</f>
        <v>2.0516897313264368</v>
      </c>
      <c r="BR88" s="21">
        <f>EXP(-LN(2)/2)*BR87+(1-EXP(-LN(2)/2))/(LN(2)/2)*BL88*BO88*VLOOKUP('Données projet'!$B$11,Paramètres!$A$1:$I$89,3,0)*0.475*44/12</f>
        <v>2.3860365733541359E-8</v>
      </c>
      <c r="BS88" s="22">
        <f t="shared" si="63"/>
        <v>5.9139488126796955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-5.6843418860808015E-14</v>
      </c>
      <c r="BZ88" s="13">
        <f>BY88*VLOOKUP('Données projet'!$B$12,Paramètres!$A$1:$I$89,3,0)*VLOOKUP('Données projet'!$B$12,Paramètres!$A$1:$I$89,5,0)</f>
        <v>-5.1431925385259088E-14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366.86025470473652</v>
      </c>
      <c r="CE88" s="59">
        <f t="shared" si="94"/>
        <v>513.80016421153414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0.86635055100485237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1.9503715289271485E-8</v>
      </c>
      <c r="CN88" s="22">
        <f t="shared" si="66"/>
        <v>0.86635057050856767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-5.6843418860808015E-14</v>
      </c>
      <c r="CU88" s="17">
        <f>CT88*VLOOKUP('Données projet'!$B$13,Paramètres!$A$1:$I$89,3,0)*VLOOKUP('Données projet'!$B$13,Paramètres!$A$1:$I$89,5,0)</f>
        <v>-3.1036506698001178E-14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207.02306964567629</v>
      </c>
      <c r="CZ88" s="59">
        <f t="shared" si="96"/>
        <v>342.06887933351783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2.2226378275608272</v>
      </c>
      <c r="DG88" s="21">
        <f>EXP(-LN(2)/25)*DG87+(1-EXP(-LN(2)/25))/(LN(2)/25)*Calculateur!DB88*Calculateur!DD88*VLOOKUP('Données projet'!$B$13,Paramètres!$A$1:$I$89,3,0)*0.475*44/12</f>
        <v>8.4703816008639876</v>
      </c>
      <c r="DH88" s="21">
        <f>EXP(-LN(2)/2)*DH87+(1-EXP(-LN(2)/2))/(LN(2)/2)*DB88*DE88*VLOOKUP('Données projet'!$B$13,Paramètres!$A$1:$I$89,3,0)*0.475*44/12</f>
        <v>6.9932434442499547E-8</v>
      </c>
      <c r="DI88" s="22">
        <f t="shared" si="69"/>
        <v>10.69301949835725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7">
        <f t="shared" si="56"/>
        <v>256.66666666666669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17.5</v>
      </c>
      <c r="N89" s="13">
        <f>IF('Données projet'!$A$36&gt;35,N88+M89-V88,IF(A89&lt;'Données projet'!$A$36,$K$205^A89,IF(A89='Données projet'!$A$36,'Données projet'!$B$36,N88+M89-V88)))</f>
        <v>518.49999999999989</v>
      </c>
      <c r="O89" s="13">
        <f>N89*VLOOKUP('Données projet'!$B$9,Paramètres!$A$1:$I$89,3,0)*VLOOKUP('Données projet'!$B$9,Paramètres!$A$1:$I$89,5,0)</f>
        <v>242.65799999999993</v>
      </c>
      <c r="P89" s="13">
        <f t="shared" si="87"/>
        <v>59.011045025839607</v>
      </c>
      <c r="Q89" s="20">
        <f t="shared" si="54"/>
        <v>525.40692008667054</v>
      </c>
      <c r="R89" s="59">
        <f t="shared" si="55"/>
        <v>818.74025342000391</v>
      </c>
      <c r="S89" s="59">
        <f ca="1">AVERAGE(OFFSET($R$3,0,0,'Données projet'!$E$9+1,1))-AVERAGE(OFFSET($H$3,0,0,'Données projet'!$E$9+1,1))</f>
        <v>319.22903094674564</v>
      </c>
      <c r="T89" s="59">
        <f t="shared" si="88"/>
        <v>254.58690973142848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2.9940185835318274</v>
      </c>
      <c r="AA89" s="21">
        <f>EXP(-LN(2)/25)*AA88+(1-EXP(-LN(2)/25))/(LN(2)/25)*Calculateur!V89*Calculateur!X89*VLOOKUP('Données projet'!$B$9,Paramètres!$A$1:$I$89,3,0)*0.475*44/12</f>
        <v>2.3605820300339215</v>
      </c>
      <c r="AB89" s="21">
        <f>EXP(-LN(2)/2)*AB88+(1-EXP(-LN(2)/2))/(LN(2)/2)*V89*Y89*VLOOKUP('Données projet'!$B$9,Paramètres!$A$1:$I$89,3,0)*0.475*44/12</f>
        <v>4.1138860000663991E-8</v>
      </c>
      <c r="AC89" s="22">
        <f t="shared" si="57"/>
        <v>5.3546006547046092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1.9895196601282805E-13</v>
      </c>
      <c r="AJ89" s="13">
        <f>AI89*VLOOKUP('Données projet'!$B$10,Paramètres!$A$1:$I$89,3,0)*VLOOKUP('Données projet'!$B$10,Paramètres!$A$1:$I$89,5,0)</f>
        <v>1.738044375088066E-13</v>
      </c>
      <c r="AK89" s="13">
        <f t="shared" si="89"/>
        <v>2.4483293633950478E-12</v>
      </c>
      <c r="AL89" s="20">
        <f t="shared" si="58"/>
        <v>4.566883036574213E-12</v>
      </c>
      <c r="AM89" s="59">
        <f t="shared" si="59"/>
        <v>293.33333333333786</v>
      </c>
      <c r="AN89" s="59">
        <f ca="1">AVERAGE(OFFSET($AM$3,0,0,'Données projet'!$E$10+1,1))-AVERAGE(OFFSET($H$3,0,0,'Données projet'!$E$10+1,1))</f>
        <v>321.23599968992932</v>
      </c>
      <c r="AO89" s="59">
        <f t="shared" si="90"/>
        <v>388.05195847800502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2.2346220590104986</v>
      </c>
      <c r="AV89" s="21">
        <f>EXP(-LN(2)/25)*AV88+(1-EXP(-LN(2)/25))/(LN(2)/25)*Calculateur!AQ89*Calculateur!AS89*VLOOKUP('Données projet'!$B$10,Paramètres!$A$1:$I$89,3,0)*0.475*44/12</f>
        <v>3.2392378047632611</v>
      </c>
      <c r="AW89" s="21">
        <f>EXP(-LN(2)/2)*AW88+(1-EXP(-LN(2)/2))/(LN(2)/2)*AQ89*AT89*VLOOKUP('Données projet'!$B$10,Paramètres!$A$1:$I$89,3,0)*0.475*44/12</f>
        <v>6.303676681073406E-8</v>
      </c>
      <c r="AX89" s="21">
        <f t="shared" si="60"/>
        <v>5.4738599268105261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1.1368683772161603E-13</v>
      </c>
      <c r="BE89" s="13">
        <f>BD89*VLOOKUP('Données projet'!$B$11,Paramètres!$A$1:$I$89,3,0)*VLOOKUP('Données projet'!$B$11,Paramètres!$A$1:$I$89,5,0)</f>
        <v>6.7984728957526396E-14</v>
      </c>
      <c r="BF89" s="13">
        <f t="shared" si="91"/>
        <v>1.0682447123141398E-12</v>
      </c>
      <c r="BG89" s="20">
        <f t="shared" si="61"/>
        <v>1.978932943548152E-12</v>
      </c>
      <c r="BH89" s="59">
        <f t="shared" si="62"/>
        <v>293.3333333333353</v>
      </c>
      <c r="BI89" s="59">
        <f ca="1">AVERAGE(OFFSET($BH$3,0,0,'Données projet'!$E$11+1,1))-AVERAGE(OFFSET($H$3,0,0,'Données projet'!$E$11+1,1))</f>
        <v>258.31845364515124</v>
      </c>
      <c r="BJ89" s="59">
        <f t="shared" si="92"/>
        <v>280.26155987300996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3.7865225131208717</v>
      </c>
      <c r="BQ89" s="21">
        <f>EXP(-LN(2)/25)*BQ88+(1-EXP(-LN(2)/25))/(LN(2)/25)*Calculateur!BL89*Calculateur!BN89*VLOOKUP('Données projet'!$B$11,Paramètres!$A$1:$I$89,3,0)*0.475*44/12</f>
        <v>1.9955861677296416</v>
      </c>
      <c r="BR89" s="21">
        <f>EXP(-LN(2)/2)*BR88+(1-EXP(-LN(2)/2))/(LN(2)/2)*BL89*BO89*VLOOKUP('Données projet'!$B$11,Paramètres!$A$1:$I$89,3,0)*0.475*44/12</f>
        <v>1.6871826411778226E-8</v>
      </c>
      <c r="BS89" s="22">
        <f t="shared" si="63"/>
        <v>5.7821086977223395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-5.6843418860808015E-14</v>
      </c>
      <c r="BZ89" s="13">
        <f>BY89*VLOOKUP('Données projet'!$B$12,Paramètres!$A$1:$I$89,3,0)*VLOOKUP('Données projet'!$B$12,Paramètres!$A$1:$I$89,5,0)</f>
        <v>-5.1431925385259088E-14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366.86025470473652</v>
      </c>
      <c r="CE89" s="59">
        <f t="shared" si="94"/>
        <v>513.80016421153414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0.84936194512130603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1.3791209339375613E-8</v>
      </c>
      <c r="CN89" s="22">
        <f t="shared" si="66"/>
        <v>0.84936195891251531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-5.6843418860808015E-14</v>
      </c>
      <c r="CU89" s="17">
        <f>CT89*VLOOKUP('Données projet'!$B$13,Paramètres!$A$1:$I$89,3,0)*VLOOKUP('Données projet'!$B$13,Paramètres!$A$1:$I$89,5,0)</f>
        <v>-3.1036506698001178E-14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207.02306964567629</v>
      </c>
      <c r="CZ89" s="59">
        <f t="shared" si="96"/>
        <v>342.06887933351783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2.1790532554375726</v>
      </c>
      <c r="DG89" s="21">
        <f>EXP(-LN(2)/25)*DG88+(1-EXP(-LN(2)/25))/(LN(2)/25)*Calculateur!DB89*Calculateur!DD89*VLOOKUP('Données projet'!$B$13,Paramètres!$A$1:$I$89,3,0)*0.475*44/12</f>
        <v>8.2387585705503525</v>
      </c>
      <c r="DH89" s="21">
        <f>EXP(-LN(2)/2)*DH88+(1-EXP(-LN(2)/2))/(LN(2)/2)*DB89*DE89*VLOOKUP('Données projet'!$B$13,Paramètres!$A$1:$I$89,3,0)*0.475*44/12</f>
        <v>4.9449698619175108E-8</v>
      </c>
      <c r="DI89" s="22">
        <f t="shared" si="69"/>
        <v>10.417811875437625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7">
        <f t="shared" si="56"/>
        <v>256.66666666666669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17.5</v>
      </c>
      <c r="N90" s="13">
        <f>IF('Données projet'!$A$36&gt;35,N89+M90-V89,IF(A90&lt;'Données projet'!$A$36,$K$205^A90,IF(A90='Données projet'!$A$36,'Données projet'!$B$36,N89+M90-V89)))</f>
        <v>535.99999999999989</v>
      </c>
      <c r="O90" s="13">
        <f>N90*VLOOKUP('Données projet'!$B$9,Paramètres!$A$1:$I$89,3,0)*VLOOKUP('Données projet'!$B$9,Paramètres!$A$1:$I$89,5,0)</f>
        <v>250.84799999999996</v>
      </c>
      <c r="P90" s="13">
        <f t="shared" si="87"/>
        <v>60.767491486783541</v>
      </c>
      <c r="Q90" s="20">
        <f t="shared" si="54"/>
        <v>542.7303143394812</v>
      </c>
      <c r="R90" s="59">
        <f t="shared" si="55"/>
        <v>836.06364767281457</v>
      </c>
      <c r="S90" s="59">
        <f ca="1">AVERAGE(OFFSET($R$3,0,0,'Données projet'!$E$9+1,1))-AVERAGE(OFFSET($H$3,0,0,'Données projet'!$E$9+1,1))</f>
        <v>319.22903094674564</v>
      </c>
      <c r="T90" s="59">
        <f t="shared" si="88"/>
        <v>254.58690973142848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2.9353077052797847</v>
      </c>
      <c r="AA90" s="21">
        <f>EXP(-LN(2)/25)*AA89+(1-EXP(-LN(2)/25))/(LN(2)/25)*Calculateur!V90*Calculateur!X90*VLOOKUP('Données projet'!$B$9,Paramètres!$A$1:$I$89,3,0)*0.475*44/12</f>
        <v>2.29603179028503</v>
      </c>
      <c r="AB90" s="21">
        <f>EXP(-LN(2)/2)*AB89+(1-EXP(-LN(2)/2))/(LN(2)/2)*V90*Y90*VLOOKUP('Données projet'!$B$9,Paramètres!$A$1:$I$89,3,0)*0.475*44/12</f>
        <v>2.9089566876753529E-8</v>
      </c>
      <c r="AC90" s="22">
        <f t="shared" si="57"/>
        <v>5.2313395246543815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1.9895196601282805E-13</v>
      </c>
      <c r="AJ90" s="13">
        <f>AI90*VLOOKUP('Données projet'!$B$10,Paramètres!$A$1:$I$89,3,0)*VLOOKUP('Données projet'!$B$10,Paramètres!$A$1:$I$89,5,0)</f>
        <v>1.738044375088066E-13</v>
      </c>
      <c r="AK90" s="13">
        <f t="shared" si="89"/>
        <v>2.4483293633950478E-12</v>
      </c>
      <c r="AL90" s="20">
        <f t="shared" si="58"/>
        <v>4.566883036574213E-12</v>
      </c>
      <c r="AM90" s="59">
        <f t="shared" si="59"/>
        <v>293.33333333333786</v>
      </c>
      <c r="AN90" s="59">
        <f ca="1">AVERAGE(OFFSET($AM$3,0,0,'Données projet'!$E$10+1,1))-AVERAGE(OFFSET($H$3,0,0,'Données projet'!$E$10+1,1))</f>
        <v>321.23599968992932</v>
      </c>
      <c r="AO90" s="59">
        <f t="shared" si="90"/>
        <v>388.05195847800502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2.190802483418175</v>
      </c>
      <c r="AV90" s="21">
        <f>EXP(-LN(2)/25)*AV89+(1-EXP(-LN(2)/25))/(LN(2)/25)*Calculateur!AQ90*Calculateur!AS90*VLOOKUP('Données projet'!$B$10,Paramètres!$A$1:$I$89,3,0)*0.475*44/12</f>
        <v>3.1506606766478971</v>
      </c>
      <c r="AW90" s="21">
        <f>EXP(-LN(2)/2)*AW89+(1-EXP(-LN(2)/2))/(LN(2)/2)*AQ90*AT90*VLOOKUP('Données projet'!$B$10,Paramètres!$A$1:$I$89,3,0)*0.475*44/12</f>
        <v>4.457372527594515E-8</v>
      </c>
      <c r="AX90" s="21">
        <f t="shared" si="60"/>
        <v>5.3414632046397967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1.1368683772161603E-13</v>
      </c>
      <c r="BE90" s="13">
        <f>BD90*VLOOKUP('Données projet'!$B$11,Paramètres!$A$1:$I$89,3,0)*VLOOKUP('Données projet'!$B$11,Paramètres!$A$1:$I$89,5,0)</f>
        <v>6.7984728957526396E-14</v>
      </c>
      <c r="BF90" s="13">
        <f t="shared" si="91"/>
        <v>1.0682447123141398E-12</v>
      </c>
      <c r="BG90" s="20">
        <f t="shared" si="61"/>
        <v>1.978932943548152E-12</v>
      </c>
      <c r="BH90" s="59">
        <f t="shared" si="62"/>
        <v>293.3333333333353</v>
      </c>
      <c r="BI90" s="59">
        <f ca="1">AVERAGE(OFFSET($BH$3,0,0,'Données projet'!$E$11+1,1))-AVERAGE(OFFSET($H$3,0,0,'Données projet'!$E$11+1,1))</f>
        <v>258.31845364515124</v>
      </c>
      <c r="BJ90" s="59">
        <f t="shared" si="92"/>
        <v>280.26155987300996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3.7122711161892554</v>
      </c>
      <c r="BQ90" s="21">
        <f>EXP(-LN(2)/25)*BQ89+(1-EXP(-LN(2)/25))/(LN(2)/25)*Calculateur!BL90*Calculateur!BN90*VLOOKUP('Données projet'!$B$11,Paramètres!$A$1:$I$89,3,0)*0.475*44/12</f>
        <v>1.9410167590297589</v>
      </c>
      <c r="BR90" s="21">
        <f>EXP(-LN(2)/2)*BR89+(1-EXP(-LN(2)/2))/(LN(2)/2)*BL90*BO90*VLOOKUP('Données projet'!$B$11,Paramètres!$A$1:$I$89,3,0)*0.475*44/12</f>
        <v>1.1930182866770679E-8</v>
      </c>
      <c r="BS90" s="22">
        <f t="shared" si="63"/>
        <v>5.6532878871491974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-5.6843418860808015E-14</v>
      </c>
      <c r="BZ90" s="13">
        <f>BY90*VLOOKUP('Données projet'!$B$12,Paramètres!$A$1:$I$89,3,0)*VLOOKUP('Données projet'!$B$12,Paramètres!$A$1:$I$89,5,0)</f>
        <v>-5.1431925385259088E-14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366.86025470473652</v>
      </c>
      <c r="CE90" s="59">
        <f t="shared" si="94"/>
        <v>513.80016421153414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0.83270647543710963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9.7518576446357424E-9</v>
      </c>
      <c r="CN90" s="22">
        <f t="shared" si="66"/>
        <v>0.83270648518896728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-5.6843418860808015E-14</v>
      </c>
      <c r="CU90" s="17">
        <f>CT90*VLOOKUP('Données projet'!$B$13,Paramètres!$A$1:$I$89,3,0)*VLOOKUP('Données projet'!$B$13,Paramètres!$A$1:$I$89,5,0)</f>
        <v>-3.1036506698001178E-14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207.02306964567629</v>
      </c>
      <c r="CZ90" s="59">
        <f t="shared" si="96"/>
        <v>342.06887933351783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2.1363233501896906</v>
      </c>
      <c r="DG90" s="21">
        <f>EXP(-LN(2)/25)*DG89+(1-EXP(-LN(2)/25))/(LN(2)/25)*Calculateur!DB90*Calculateur!DD90*VLOOKUP('Données projet'!$B$13,Paramètres!$A$1:$I$89,3,0)*0.475*44/12</f>
        <v>8.0134692841811699</v>
      </c>
      <c r="DH90" s="21">
        <f>EXP(-LN(2)/2)*DH89+(1-EXP(-LN(2)/2))/(LN(2)/2)*DB90*DE90*VLOOKUP('Données projet'!$B$13,Paramètres!$A$1:$I$89,3,0)*0.475*44/12</f>
        <v>3.4966217221249774E-8</v>
      </c>
      <c r="DI90" s="22">
        <f t="shared" si="69"/>
        <v>10.149792669337078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7">
        <f t="shared" si="56"/>
        <v>256.66666666666669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17.5</v>
      </c>
      <c r="N91" s="13">
        <f>IF('Données projet'!$A$36&gt;35,N90+M91-V90,IF(A91&lt;'Données projet'!$A$36,$K$205^A91,IF(A91='Données projet'!$A$36,'Données projet'!$B$36,N90+M91-V90)))</f>
        <v>553.49999999999989</v>
      </c>
      <c r="O91" s="13">
        <f>N91*VLOOKUP('Données projet'!$B$9,Paramètres!$A$1:$I$89,3,0)*VLOOKUP('Données projet'!$B$9,Paramètres!$A$1:$I$89,5,0)</f>
        <v>259.03799999999995</v>
      </c>
      <c r="P91" s="13">
        <f t="shared" si="87"/>
        <v>62.517274213025487</v>
      </c>
      <c r="Q91" s="20">
        <f t="shared" si="54"/>
        <v>560.04210258768592</v>
      </c>
      <c r="R91" s="59">
        <f t="shared" si="55"/>
        <v>853.37543592101929</v>
      </c>
      <c r="S91" s="59">
        <f ca="1">AVERAGE(OFFSET($R$3,0,0,'Données projet'!$E$9+1,1))-AVERAGE(OFFSET($H$3,0,0,'Données projet'!$E$9+1,1))</f>
        <v>319.22903094674564</v>
      </c>
      <c r="T91" s="59">
        <f t="shared" si="88"/>
        <v>254.58690973142848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2.8777481115401651</v>
      </c>
      <c r="AA91" s="21">
        <f>EXP(-LN(2)/25)*AA90+(1-EXP(-LN(2)/25))/(LN(2)/25)*Calculateur!V91*Calculateur!X91*VLOOKUP('Données projet'!$B$9,Paramètres!$A$1:$I$89,3,0)*0.475*44/12</f>
        <v>2.2332466802366215</v>
      </c>
      <c r="AB91" s="21">
        <f>EXP(-LN(2)/2)*AB90+(1-EXP(-LN(2)/2))/(LN(2)/2)*V91*Y91*VLOOKUP('Données projet'!$B$9,Paramètres!$A$1:$I$89,3,0)*0.475*44/12</f>
        <v>2.0569430000331999E-8</v>
      </c>
      <c r="AC91" s="22">
        <f t="shared" si="57"/>
        <v>5.1109948123462159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1.9895196601282805E-13</v>
      </c>
      <c r="AJ91" s="13">
        <f>AI91*VLOOKUP('Données projet'!$B$10,Paramètres!$A$1:$I$89,3,0)*VLOOKUP('Données projet'!$B$10,Paramètres!$A$1:$I$89,5,0)</f>
        <v>1.738044375088066E-13</v>
      </c>
      <c r="AK91" s="13">
        <f t="shared" si="89"/>
        <v>2.4483293633950478E-12</v>
      </c>
      <c r="AL91" s="20">
        <f t="shared" si="58"/>
        <v>4.566883036574213E-12</v>
      </c>
      <c r="AM91" s="59">
        <f t="shared" si="59"/>
        <v>293.33333333333786</v>
      </c>
      <c r="AN91" s="59">
        <f ca="1">AVERAGE(OFFSET($AM$3,0,0,'Données projet'!$E$10+1,1))-AVERAGE(OFFSET($H$3,0,0,'Données projet'!$E$10+1,1))</f>
        <v>321.23599968992932</v>
      </c>
      <c r="AO91" s="59">
        <f t="shared" si="90"/>
        <v>388.05195847800502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2.1478421829759151</v>
      </c>
      <c r="AV91" s="21">
        <f>EXP(-LN(2)/25)*AV90+(1-EXP(-LN(2)/25))/(LN(2)/25)*Calculateur!AQ91*Calculateur!AS91*VLOOKUP('Données projet'!$B$10,Paramètres!$A$1:$I$89,3,0)*0.475*44/12</f>
        <v>3.0645056947589162</v>
      </c>
      <c r="AW91" s="21">
        <f>EXP(-LN(2)/2)*AW90+(1-EXP(-LN(2)/2))/(LN(2)/2)*AQ91*AT91*VLOOKUP('Données projet'!$B$10,Paramètres!$A$1:$I$89,3,0)*0.475*44/12</f>
        <v>3.151838340536703E-8</v>
      </c>
      <c r="AX91" s="21">
        <f t="shared" si="60"/>
        <v>5.2123479092532152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1.1368683772161603E-13</v>
      </c>
      <c r="BE91" s="13">
        <f>BD91*VLOOKUP('Données projet'!$B$11,Paramètres!$A$1:$I$89,3,0)*VLOOKUP('Données projet'!$B$11,Paramètres!$A$1:$I$89,5,0)</f>
        <v>6.7984728957526396E-14</v>
      </c>
      <c r="BF91" s="13">
        <f t="shared" si="91"/>
        <v>1.0682447123141398E-12</v>
      </c>
      <c r="BG91" s="20">
        <f t="shared" si="61"/>
        <v>1.978932943548152E-12</v>
      </c>
      <c r="BH91" s="59">
        <f t="shared" si="62"/>
        <v>293.3333333333353</v>
      </c>
      <c r="BI91" s="59">
        <f ca="1">AVERAGE(OFFSET($BH$3,0,0,'Données projet'!$E$11+1,1))-AVERAGE(OFFSET($H$3,0,0,'Données projet'!$E$11+1,1))</f>
        <v>258.31845364515124</v>
      </c>
      <c r="BJ91" s="59">
        <f t="shared" si="92"/>
        <v>280.26155987300996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3.6394757438625875</v>
      </c>
      <c r="BQ91" s="21">
        <f>EXP(-LN(2)/25)*BQ90+(1-EXP(-LN(2)/25))/(LN(2)/25)*Calculateur!BL91*Calculateur!BN91*VLOOKUP('Données projet'!$B$11,Paramètres!$A$1:$I$89,3,0)*0.475*44/12</f>
        <v>1.8879395536804551</v>
      </c>
      <c r="BR91" s="21">
        <f>EXP(-LN(2)/2)*BR90+(1-EXP(-LN(2)/2))/(LN(2)/2)*BL91*BO91*VLOOKUP('Données projet'!$B$11,Paramètres!$A$1:$I$89,3,0)*0.475*44/12</f>
        <v>8.4359132058891131E-9</v>
      </c>
      <c r="BS91" s="22">
        <f t="shared" si="63"/>
        <v>5.5274153059789555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-5.6843418860808015E-14</v>
      </c>
      <c r="BZ91" s="13">
        <f>BY91*VLOOKUP('Données projet'!$B$12,Paramètres!$A$1:$I$89,3,0)*VLOOKUP('Données projet'!$B$12,Paramètres!$A$1:$I$89,5,0)</f>
        <v>-5.1431925385259088E-14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366.86025470473652</v>
      </c>
      <c r="CE91" s="59">
        <f t="shared" si="94"/>
        <v>513.80016421153414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0.81637760935458692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6.8956046696878067E-9</v>
      </c>
      <c r="CN91" s="22">
        <f t="shared" si="66"/>
        <v>0.81637761625019156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-5.6843418860808015E-14</v>
      </c>
      <c r="CU91" s="17">
        <f>CT91*VLOOKUP('Données projet'!$B$13,Paramètres!$A$1:$I$89,3,0)*VLOOKUP('Données projet'!$B$13,Paramètres!$A$1:$I$89,5,0)</f>
        <v>-3.1036506698001178E-14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207.02306964567629</v>
      </c>
      <c r="CZ91" s="59">
        <f t="shared" si="96"/>
        <v>342.06887933351783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2.0944313523210512</v>
      </c>
      <c r="DG91" s="21">
        <f>EXP(-LN(2)/25)*DG90+(1-EXP(-LN(2)/25))/(LN(2)/25)*Calculateur!DB91*Calculateur!DD91*VLOOKUP('Données projet'!$B$13,Paramètres!$A$1:$I$89,3,0)*0.475*44/12</f>
        <v>7.794340545195201</v>
      </c>
      <c r="DH91" s="21">
        <f>EXP(-LN(2)/2)*DH90+(1-EXP(-LN(2)/2))/(LN(2)/2)*DB91*DE91*VLOOKUP('Données projet'!$B$13,Paramètres!$A$1:$I$89,3,0)*0.475*44/12</f>
        <v>2.4724849309587554E-8</v>
      </c>
      <c r="DI91" s="22">
        <f t="shared" si="69"/>
        <v>9.8887719222411015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7">
        <f t="shared" si="56"/>
        <v>256.66666666666669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17.5</v>
      </c>
      <c r="N92" s="13">
        <f>IF('Données projet'!$A$36&gt;35,N91+M92-V91,IF(A92&lt;'Données projet'!$A$36,$K$205^A92,IF(A92='Données projet'!$A$36,'Données projet'!$B$36,N91+M92-V91)))</f>
        <v>570.99999999999989</v>
      </c>
      <c r="O92" s="13">
        <f>N92*VLOOKUP('Données projet'!$B$9,Paramètres!$A$1:$I$89,3,0)*VLOOKUP('Données projet'!$B$9,Paramètres!$A$1:$I$89,5,0)</f>
        <v>267.22799999999995</v>
      </c>
      <c r="P92" s="13">
        <f t="shared" si="87"/>
        <v>64.260628062866161</v>
      </c>
      <c r="Q92" s="20">
        <f t="shared" si="54"/>
        <v>577.34269387615848</v>
      </c>
      <c r="R92" s="59">
        <f t="shared" si="55"/>
        <v>870.67602720949185</v>
      </c>
      <c r="S92" s="59">
        <f ca="1">AVERAGE(OFFSET($R$3,0,0,'Données projet'!$E$9+1,1))-AVERAGE(OFFSET($H$3,0,0,'Données projet'!$E$9+1,1))</f>
        <v>319.22903094674564</v>
      </c>
      <c r="T92" s="59">
        <f t="shared" si="88"/>
        <v>254.58690973142848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2.8213172263258937</v>
      </c>
      <c r="AA92" s="21">
        <f>EXP(-LN(2)/25)*AA91+(1-EXP(-LN(2)/25))/(LN(2)/25)*Calculateur!V92*Calculateur!X92*VLOOKUP('Données projet'!$B$9,Paramètres!$A$1:$I$89,3,0)*0.475*44/12</f>
        <v>2.1721784323242121</v>
      </c>
      <c r="AB92" s="21">
        <f>EXP(-LN(2)/2)*AB91+(1-EXP(-LN(2)/2))/(LN(2)/2)*V92*Y92*VLOOKUP('Données projet'!$B$9,Paramètres!$A$1:$I$89,3,0)*0.475*44/12</f>
        <v>1.4544783438376766E-8</v>
      </c>
      <c r="AC92" s="22">
        <f t="shared" si="57"/>
        <v>4.9934956731948894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1.9895196601282805E-13</v>
      </c>
      <c r="AJ92" s="13">
        <f>AI92*VLOOKUP('Données projet'!$B$10,Paramètres!$A$1:$I$89,3,0)*VLOOKUP('Données projet'!$B$10,Paramètres!$A$1:$I$89,5,0)</f>
        <v>1.738044375088066E-13</v>
      </c>
      <c r="AK92" s="13">
        <f t="shared" si="89"/>
        <v>2.4483293633950478E-12</v>
      </c>
      <c r="AL92" s="20">
        <f t="shared" si="58"/>
        <v>4.566883036574213E-12</v>
      </c>
      <c r="AM92" s="59">
        <f t="shared" si="59"/>
        <v>293.33333333333786</v>
      </c>
      <c r="AN92" s="59">
        <f ca="1">AVERAGE(OFFSET($AM$3,0,0,'Données projet'!$E$10+1,1))-AVERAGE(OFFSET($H$3,0,0,'Données projet'!$E$10+1,1))</f>
        <v>321.23599968992932</v>
      </c>
      <c r="AO92" s="59">
        <f t="shared" si="90"/>
        <v>388.05195847800502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2.1057243078221317</v>
      </c>
      <c r="AV92" s="21">
        <f>EXP(-LN(2)/25)*AV91+(1-EXP(-LN(2)/25))/(LN(2)/25)*Calculateur!AQ92*Calculateur!AS92*VLOOKUP('Données projet'!$B$10,Paramètres!$A$1:$I$89,3,0)*0.475*44/12</f>
        <v>2.9807066253803831</v>
      </c>
      <c r="AW92" s="21">
        <f>EXP(-LN(2)/2)*AW91+(1-EXP(-LN(2)/2))/(LN(2)/2)*AQ92*AT92*VLOOKUP('Données projet'!$B$10,Paramètres!$A$1:$I$89,3,0)*0.475*44/12</f>
        <v>2.2286862637972575E-8</v>
      </c>
      <c r="AX92" s="21">
        <f t="shared" si="60"/>
        <v>5.0864309554893774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1.1368683772161603E-13</v>
      </c>
      <c r="BE92" s="13">
        <f>BD92*VLOOKUP('Données projet'!$B$11,Paramètres!$A$1:$I$89,3,0)*VLOOKUP('Données projet'!$B$11,Paramètres!$A$1:$I$89,5,0)</f>
        <v>6.7984728957526396E-14</v>
      </c>
      <c r="BF92" s="13">
        <f t="shared" si="91"/>
        <v>1.0682447123141398E-12</v>
      </c>
      <c r="BG92" s="20">
        <f t="shared" si="61"/>
        <v>1.978932943548152E-12</v>
      </c>
      <c r="BH92" s="59">
        <f t="shared" si="62"/>
        <v>293.3333333333353</v>
      </c>
      <c r="BI92" s="59">
        <f ca="1">AVERAGE(OFFSET($BH$3,0,0,'Données projet'!$E$11+1,1))-AVERAGE(OFFSET($H$3,0,0,'Données projet'!$E$11+1,1))</f>
        <v>258.31845364515124</v>
      </c>
      <c r="BJ92" s="59">
        <f t="shared" si="92"/>
        <v>280.26155987300996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3.5681078443864527</v>
      </c>
      <c r="BQ92" s="21">
        <f>EXP(-LN(2)/25)*BQ91+(1-EXP(-LN(2)/25))/(LN(2)/25)*Calculateur!BL92*Calculateur!BN92*VLOOKUP('Données projet'!$B$11,Paramètres!$A$1:$I$89,3,0)*0.475*44/12</f>
        <v>1.8363137473026367</v>
      </c>
      <c r="BR92" s="21">
        <f>EXP(-LN(2)/2)*BR91+(1-EXP(-LN(2)/2))/(LN(2)/2)*BL92*BO92*VLOOKUP('Données projet'!$B$11,Paramètres!$A$1:$I$89,3,0)*0.475*44/12</f>
        <v>5.9650914333853397E-9</v>
      </c>
      <c r="BS92" s="22">
        <f t="shared" si="63"/>
        <v>5.4044215976541814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-5.6843418860808015E-14</v>
      </c>
      <c r="BZ92" s="13">
        <f>BY92*VLOOKUP('Données projet'!$B$12,Paramètres!$A$1:$I$89,3,0)*VLOOKUP('Données projet'!$B$12,Paramètres!$A$1:$I$89,5,0)</f>
        <v>-5.1431925385259088E-14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366.86025470473652</v>
      </c>
      <c r="CE92" s="59">
        <f t="shared" si="94"/>
        <v>513.80016421153414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0.80036894237631762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4.8759288223178712E-9</v>
      </c>
      <c r="CN92" s="22">
        <f t="shared" si="66"/>
        <v>0.80036894725224639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-5.6843418860808015E-14</v>
      </c>
      <c r="CU92" s="17">
        <f>CT92*VLOOKUP('Données projet'!$B$13,Paramètres!$A$1:$I$89,3,0)*VLOOKUP('Données projet'!$B$13,Paramètres!$A$1:$I$89,5,0)</f>
        <v>-3.1036506698001178E-14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207.02306964567629</v>
      </c>
      <c r="CZ92" s="59">
        <f t="shared" si="96"/>
        <v>342.06887933351783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2.0533608309790199</v>
      </c>
      <c r="DG92" s="21">
        <f>EXP(-LN(2)/25)*DG91+(1-EXP(-LN(2)/25))/(LN(2)/25)*Calculateur!DB92*Calculateur!DD92*VLOOKUP('Données projet'!$B$13,Paramètres!$A$1:$I$89,3,0)*0.475*44/12</f>
        <v>7.581203893100283</v>
      </c>
      <c r="DH92" s="21">
        <f>EXP(-LN(2)/2)*DH91+(1-EXP(-LN(2)/2))/(LN(2)/2)*DB92*DE92*VLOOKUP('Données projet'!$B$13,Paramètres!$A$1:$I$89,3,0)*0.475*44/12</f>
        <v>1.7483108610624887E-8</v>
      </c>
      <c r="DI92" s="22">
        <f t="shared" si="69"/>
        <v>9.6345647415624107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7">
        <f t="shared" si="56"/>
        <v>256.66666666666669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>
        <f>VLOOKUP(A93,'Données projet'!$A$35:$I$55,2,0)</f>
        <v>588.5</v>
      </c>
      <c r="L93" s="12">
        <f>VLOOKUP(A93,'Données projet'!$A$35:$I$55,9,0)</f>
        <v>17.5</v>
      </c>
      <c r="M93" s="12">
        <f t="array" ref="M93">INDEX(L:L,MIN(IF(ISNUMBER(L93:L289),ROW(L93:L289),"")))</f>
        <v>17.5</v>
      </c>
      <c r="N93" s="13">
        <f>IF('Données projet'!$A$36&gt;35,N92+M93-V92,IF(A93&lt;'Données projet'!$A$36,$K$205^A93,IF(A93='Données projet'!$A$36,'Données projet'!$B$36,N92+M93-V92)))</f>
        <v>588.49999999999989</v>
      </c>
      <c r="O93" s="13">
        <f>N93*VLOOKUP('Données projet'!$B$9,Paramètres!$A$1:$I$89,3,0)*VLOOKUP('Données projet'!$B$9,Paramètres!$A$1:$I$89,5,0)</f>
        <v>275.41799999999995</v>
      </c>
      <c r="P93" s="13">
        <f t="shared" si="87"/>
        <v>65.997772680817278</v>
      </c>
      <c r="Q93" s="20">
        <f t="shared" si="54"/>
        <v>594.63247075242327</v>
      </c>
      <c r="R93" s="59">
        <f t="shared" si="55"/>
        <v>887.96580408575664</v>
      </c>
      <c r="S93" s="59">
        <f ca="1">AVERAGE(OFFSET($R$3,0,0,'Données projet'!$E$9+1,1))-AVERAGE(OFFSET($H$3,0,0,'Données projet'!$E$9+1,1))</f>
        <v>319.22903094674564</v>
      </c>
      <c r="T93" s="59">
        <f t="shared" si="88"/>
        <v>254.58690973142848</v>
      </c>
      <c r="U93" s="15">
        <f>IF(ISNA(VLOOKUP(A93,'Données projet'!$A$35:$I$55,3,0)),0,VLOOKUP(A93,'Données projet'!$A$35:$I$55,3,0))</f>
        <v>8</v>
      </c>
      <c r="V93" s="15">
        <f>IF(ISNA(VLOOKUP(A93,'Données projet'!$A$35:$I$55,4,0)),0,VLOOKUP(A93,'Données projet'!$A$35:$I$55,4,0))</f>
        <v>98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2.7659929163512329</v>
      </c>
      <c r="AA93" s="21">
        <f>EXP(-LN(2)/25)*AA92+(1-EXP(-LN(2)/25))/(LN(2)/25)*Calculateur!V93*Calculateur!X93*VLOOKUP('Données projet'!$B$9,Paramètres!$A$1:$I$89,3,0)*0.475*44/12</f>
        <v>2.1127800988624075</v>
      </c>
      <c r="AB93" s="21">
        <f>EXP(-LN(2)/2)*AB92+(1-EXP(-LN(2)/2))/(LN(2)/2)*V93*Y93*VLOOKUP('Données projet'!$B$9,Paramètres!$A$1:$I$89,3,0)*0.475*44/12</f>
        <v>1.0284715000166001E-8</v>
      </c>
      <c r="AC93" s="22">
        <f t="shared" si="57"/>
        <v>4.8787730254983561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1.9895196601282805E-13</v>
      </c>
      <c r="AJ93" s="13">
        <f>AI93*VLOOKUP('Données projet'!$B$10,Paramètres!$A$1:$I$89,3,0)*VLOOKUP('Données projet'!$B$10,Paramètres!$A$1:$I$89,5,0)</f>
        <v>1.738044375088066E-13</v>
      </c>
      <c r="AK93" s="13">
        <f t="shared" si="89"/>
        <v>2.4483293633950478E-12</v>
      </c>
      <c r="AL93" s="20">
        <f t="shared" si="58"/>
        <v>4.566883036574213E-12</v>
      </c>
      <c r="AM93" s="59">
        <f t="shared" si="59"/>
        <v>293.33333333333786</v>
      </c>
      <c r="AN93" s="59">
        <f ca="1">AVERAGE(OFFSET($AM$3,0,0,'Données projet'!$E$10+1,1))-AVERAGE(OFFSET($H$3,0,0,'Données projet'!$E$10+1,1))</f>
        <v>321.23599968992932</v>
      </c>
      <c r="AO93" s="59">
        <f t="shared" si="90"/>
        <v>388.05195847800502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2.064432338510747</v>
      </c>
      <c r="AV93" s="21">
        <f>EXP(-LN(2)/25)*AV92+(1-EXP(-LN(2)/25))/(LN(2)/25)*Calculateur!AQ93*Calculateur!AS93*VLOOKUP('Données projet'!$B$10,Paramètres!$A$1:$I$89,3,0)*0.475*44/12</f>
        <v>2.8991990459608075</v>
      </c>
      <c r="AW93" s="21">
        <f>EXP(-LN(2)/2)*AW92+(1-EXP(-LN(2)/2))/(LN(2)/2)*AQ93*AT93*VLOOKUP('Données projet'!$B$10,Paramètres!$A$1:$I$89,3,0)*0.475*44/12</f>
        <v>1.5759191702683515E-8</v>
      </c>
      <c r="AX93" s="21">
        <f t="shared" si="60"/>
        <v>4.9636314002307458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1.1368683772161603E-13</v>
      </c>
      <c r="BE93" s="13">
        <f>BD93*VLOOKUP('Données projet'!$B$11,Paramètres!$A$1:$I$89,3,0)*VLOOKUP('Données projet'!$B$11,Paramètres!$A$1:$I$89,5,0)</f>
        <v>6.7984728957526396E-14</v>
      </c>
      <c r="BF93" s="13">
        <f t="shared" si="91"/>
        <v>1.0682447123141398E-12</v>
      </c>
      <c r="BG93" s="20">
        <f t="shared" si="61"/>
        <v>1.978932943548152E-12</v>
      </c>
      <c r="BH93" s="59">
        <f t="shared" si="62"/>
        <v>293.3333333333353</v>
      </c>
      <c r="BI93" s="59">
        <f ca="1">AVERAGE(OFFSET($BH$3,0,0,'Données projet'!$E$11+1,1))-AVERAGE(OFFSET($H$3,0,0,'Données projet'!$E$11+1,1))</f>
        <v>258.31845364515124</v>
      </c>
      <c r="BJ93" s="59">
        <f t="shared" si="92"/>
        <v>280.26155987300996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3.4981394258889247</v>
      </c>
      <c r="BQ93" s="21">
        <f>EXP(-LN(2)/25)*BQ92+(1-EXP(-LN(2)/25))/(LN(2)/25)*Calculateur!BL93*Calculateur!BN93*VLOOKUP('Données projet'!$B$11,Paramètres!$A$1:$I$89,3,0)*0.475*44/12</f>
        <v>1.7860996513151031</v>
      </c>
      <c r="BR93" s="21">
        <f>EXP(-LN(2)/2)*BR92+(1-EXP(-LN(2)/2))/(LN(2)/2)*BL93*BO93*VLOOKUP('Données projet'!$B$11,Paramètres!$A$1:$I$89,3,0)*0.475*44/12</f>
        <v>4.2179566029445565E-9</v>
      </c>
      <c r="BS93" s="22">
        <f t="shared" si="63"/>
        <v>5.2842390814219842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-5.6843418860808015E-14</v>
      </c>
      <c r="BZ93" s="13">
        <f>BY93*VLOOKUP('Données projet'!$B$12,Paramètres!$A$1:$I$89,3,0)*VLOOKUP('Données projet'!$B$12,Paramètres!$A$1:$I$89,5,0)</f>
        <v>-5.1431925385259088E-14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366.86025470473652</v>
      </c>
      <c r="CE93" s="59">
        <f t="shared" si="94"/>
        <v>513.80016421153414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0.78467419559316942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3.4478023348439034E-9</v>
      </c>
      <c r="CN93" s="22">
        <f t="shared" si="66"/>
        <v>0.7846741990409718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-5.6843418860808015E-14</v>
      </c>
      <c r="CU93" s="17">
        <f>CT93*VLOOKUP('Données projet'!$B$13,Paramètres!$A$1:$I$89,3,0)*VLOOKUP('Données projet'!$B$13,Paramètres!$A$1:$I$89,5,0)</f>
        <v>-3.1036506698001178E-14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207.02306964567629</v>
      </c>
      <c r="CZ93" s="59">
        <f t="shared" si="96"/>
        <v>342.06887933351783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2.0130956775099613</v>
      </c>
      <c r="DG93" s="21">
        <f>EXP(-LN(2)/25)*DG92+(1-EXP(-LN(2)/25))/(LN(2)/25)*Calculateur!DB93*Calculateur!DD93*VLOOKUP('Données projet'!$B$13,Paramètres!$A$1:$I$89,3,0)*0.475*44/12</f>
        <v>7.3738954739652698</v>
      </c>
      <c r="DH93" s="21">
        <f>EXP(-LN(2)/2)*DH92+(1-EXP(-LN(2)/2))/(LN(2)/2)*DB93*DE93*VLOOKUP('Données projet'!$B$13,Paramètres!$A$1:$I$89,3,0)*0.475*44/12</f>
        <v>1.2362424654793777E-8</v>
      </c>
      <c r="DI93" s="22">
        <f t="shared" si="69"/>
        <v>9.3869911638376546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7">
        <f t="shared" si="56"/>
        <v>256.66666666666669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18.5</v>
      </c>
      <c r="N94" s="13">
        <f>IF('Données projet'!$A$36&gt;35,N93+M94-V93,IF(A94&lt;'Données projet'!$A$36,$K$205^A94,IF(A94='Données projet'!$A$36,'Données projet'!$B$36,N93+M94-V93)))</f>
        <v>508.99999999999989</v>
      </c>
      <c r="O94" s="13">
        <f>N94*VLOOKUP('Données projet'!$B$9,Paramètres!$A$1:$I$89,3,0)*VLOOKUP('Données projet'!$B$9,Paramètres!$A$1:$I$89,5,0)</f>
        <v>238.21199999999993</v>
      </c>
      <c r="P94" s="13">
        <f t="shared" si="87"/>
        <v>58.054666307163771</v>
      </c>
      <c r="Q94" s="20">
        <f t="shared" si="54"/>
        <v>515.99777715164339</v>
      </c>
      <c r="R94" s="59">
        <f t="shared" si="55"/>
        <v>809.33111048497676</v>
      </c>
      <c r="S94" s="59">
        <f ca="1">AVERAGE(OFFSET($R$3,0,0,'Données projet'!$E$9+1,1))-AVERAGE(OFFSET($H$3,0,0,'Données projet'!$E$9+1,1))</f>
        <v>319.22903094674564</v>
      </c>
      <c r="T94" s="59">
        <f t="shared" si="88"/>
        <v>254.58690973142848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2.7117534823506779</v>
      </c>
      <c r="AA94" s="21">
        <f>EXP(-LN(2)/25)*AA93+(1-EXP(-LN(2)/25))/(LN(2)/25)*Calculateur!V94*Calculateur!X94*VLOOKUP('Données projet'!$B$9,Paramètres!$A$1:$I$89,3,0)*0.475*44/12</f>
        <v>2.0550060159527384</v>
      </c>
      <c r="AB94" s="21">
        <f>EXP(-LN(2)/2)*AB93+(1-EXP(-LN(2)/2))/(LN(2)/2)*V94*Y94*VLOOKUP('Données projet'!$B$9,Paramètres!$A$1:$I$89,3,0)*0.475*44/12</f>
        <v>7.2723917191883838E-9</v>
      </c>
      <c r="AC94" s="22">
        <f t="shared" si="57"/>
        <v>4.7667595055758083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1.9895196601282805E-13</v>
      </c>
      <c r="AJ94" s="13">
        <f>AI94*VLOOKUP('Données projet'!$B$10,Paramètres!$A$1:$I$89,3,0)*VLOOKUP('Données projet'!$B$10,Paramètres!$A$1:$I$89,5,0)</f>
        <v>1.738044375088066E-13</v>
      </c>
      <c r="AK94" s="13">
        <f t="shared" si="89"/>
        <v>2.4483293633950478E-12</v>
      </c>
      <c r="AL94" s="20">
        <f t="shared" si="58"/>
        <v>4.566883036574213E-12</v>
      </c>
      <c r="AM94" s="59">
        <f t="shared" si="59"/>
        <v>293.33333333333786</v>
      </c>
      <c r="AN94" s="59">
        <f ca="1">AVERAGE(OFFSET($AM$3,0,0,'Données projet'!$E$10+1,1))-AVERAGE(OFFSET($H$3,0,0,'Données projet'!$E$10+1,1))</f>
        <v>321.23599968992932</v>
      </c>
      <c r="AO94" s="59">
        <f t="shared" si="90"/>
        <v>388.05195847800502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2.0239500795319443</v>
      </c>
      <c r="AV94" s="21">
        <f>EXP(-LN(2)/25)*AV93+(1-EXP(-LN(2)/25))/(LN(2)/25)*Calculateur!AQ94*Calculateur!AS94*VLOOKUP('Données projet'!$B$10,Paramètres!$A$1:$I$89,3,0)*0.475*44/12</f>
        <v>2.8199202955867575</v>
      </c>
      <c r="AW94" s="21">
        <f>EXP(-LN(2)/2)*AW93+(1-EXP(-LN(2)/2))/(LN(2)/2)*AQ94*AT94*VLOOKUP('Données projet'!$B$10,Paramètres!$A$1:$I$89,3,0)*0.475*44/12</f>
        <v>1.1143431318986288E-8</v>
      </c>
      <c r="AX94" s="21">
        <f t="shared" si="60"/>
        <v>4.8438703862621324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1.1368683772161603E-13</v>
      </c>
      <c r="BE94" s="13">
        <f>BD94*VLOOKUP('Données projet'!$B$11,Paramètres!$A$1:$I$89,3,0)*VLOOKUP('Données projet'!$B$11,Paramètres!$A$1:$I$89,5,0)</f>
        <v>6.7984728957526396E-14</v>
      </c>
      <c r="BF94" s="13">
        <f t="shared" si="91"/>
        <v>1.0682447123141398E-12</v>
      </c>
      <c r="BG94" s="20">
        <f t="shared" si="61"/>
        <v>1.978932943548152E-12</v>
      </c>
      <c r="BH94" s="59">
        <f t="shared" si="62"/>
        <v>293.3333333333353</v>
      </c>
      <c r="BI94" s="59">
        <f ca="1">AVERAGE(OFFSET($BH$3,0,0,'Données projet'!$E$11+1,1))-AVERAGE(OFFSET($H$3,0,0,'Données projet'!$E$11+1,1))</f>
        <v>258.31845364515124</v>
      </c>
      <c r="BJ94" s="59">
        <f t="shared" si="92"/>
        <v>280.26155987300996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3.4295430454016116</v>
      </c>
      <c r="BQ94" s="21">
        <f>EXP(-LN(2)/25)*BQ93+(1-EXP(-LN(2)/25))/(LN(2)/25)*Calculateur!BL94*Calculateur!BN94*VLOOKUP('Données projet'!$B$11,Paramètres!$A$1:$I$89,3,0)*0.475*44/12</f>
        <v>1.7372586624229931</v>
      </c>
      <c r="BR94" s="21">
        <f>EXP(-LN(2)/2)*BR93+(1-EXP(-LN(2)/2))/(LN(2)/2)*BL94*BO94*VLOOKUP('Données projet'!$B$11,Paramètres!$A$1:$I$89,3,0)*0.475*44/12</f>
        <v>2.9825457166926699E-9</v>
      </c>
      <c r="BS94" s="22">
        <f t="shared" si="63"/>
        <v>5.1668017108071504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-5.6843418860808015E-14</v>
      </c>
      <c r="BZ94" s="13">
        <f>BY94*VLOOKUP('Données projet'!$B$12,Paramètres!$A$1:$I$89,3,0)*VLOOKUP('Données projet'!$B$12,Paramètres!$A$1:$I$89,5,0)</f>
        <v>-5.1431925385259088E-14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366.86025470473652</v>
      </c>
      <c r="CE94" s="59">
        <f t="shared" si="94"/>
        <v>513.80016421153414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0.76928721322158844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2.4379644111589356E-9</v>
      </c>
      <c r="CN94" s="22">
        <f t="shared" si="66"/>
        <v>0.76928721565955283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-5.6843418860808015E-14</v>
      </c>
      <c r="CU94" s="17">
        <f>CT94*VLOOKUP('Données projet'!$B$13,Paramètres!$A$1:$I$89,3,0)*VLOOKUP('Données projet'!$B$13,Paramètres!$A$1:$I$89,5,0)</f>
        <v>-3.1036506698001178E-14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207.02306964567629</v>
      </c>
      <c r="CZ94" s="59">
        <f t="shared" si="96"/>
        <v>342.06887933351783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1.9736200991411124</v>
      </c>
      <c r="DG94" s="21">
        <f>EXP(-LN(2)/25)*DG93+(1-EXP(-LN(2)/25))/(LN(2)/25)*Calculateur!DB94*Calculateur!DD94*VLOOKUP('Données projet'!$B$13,Paramètres!$A$1:$I$89,3,0)*0.475*44/12</f>
        <v>7.1722559144533795</v>
      </c>
      <c r="DH94" s="21">
        <f>EXP(-LN(2)/2)*DH93+(1-EXP(-LN(2)/2))/(LN(2)/2)*DB94*DE94*VLOOKUP('Données projet'!$B$13,Paramètres!$A$1:$I$89,3,0)*0.475*44/12</f>
        <v>8.7415543053124434E-9</v>
      </c>
      <c r="DI94" s="22">
        <f t="shared" si="69"/>
        <v>9.1458760223360471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7">
        <f t="shared" si="56"/>
        <v>256.66666666666669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18.5</v>
      </c>
      <c r="N95" s="13">
        <f>IF('Données projet'!$A$36&gt;35,N94+M95-V94,IF(A95&lt;'Données projet'!$A$36,$K$205^A95,IF(A95='Données projet'!$A$36,'Données projet'!$B$36,N94+M95-V94)))</f>
        <v>527.49999999999989</v>
      </c>
      <c r="O95" s="13">
        <f>N95*VLOOKUP('Données projet'!$B$9,Paramètres!$A$1:$I$89,3,0)*VLOOKUP('Données projet'!$B$9,Paramètres!$A$1:$I$89,5,0)</f>
        <v>246.86999999999995</v>
      </c>
      <c r="P95" s="13">
        <f t="shared" si="87"/>
        <v>59.91520778876734</v>
      </c>
      <c r="Q95" s="20">
        <f t="shared" si="54"/>
        <v>534.31757023210309</v>
      </c>
      <c r="R95" s="59">
        <f t="shared" si="55"/>
        <v>827.65090356543647</v>
      </c>
      <c r="S95" s="59">
        <f ca="1">AVERAGE(OFFSET($R$3,0,0,'Données projet'!$E$9+1,1))-AVERAGE(OFFSET($H$3,0,0,'Données projet'!$E$9+1,1))</f>
        <v>319.22903094674564</v>
      </c>
      <c r="T95" s="59">
        <f t="shared" si="88"/>
        <v>254.58690973142848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2.6585776505680858</v>
      </c>
      <c r="AA95" s="21">
        <f>EXP(-LN(2)/25)*AA94+(1-EXP(-LN(2)/25))/(LN(2)/25)*Calculateur!V95*Calculateur!X95*VLOOKUP('Données projet'!$B$9,Paramètres!$A$1:$I$89,3,0)*0.475*44/12</f>
        <v>1.9988117683784412</v>
      </c>
      <c r="AB95" s="21">
        <f>EXP(-LN(2)/2)*AB94+(1-EXP(-LN(2)/2))/(LN(2)/2)*V95*Y95*VLOOKUP('Données projet'!$B$9,Paramètres!$A$1:$I$89,3,0)*0.475*44/12</f>
        <v>5.1423575000830014E-9</v>
      </c>
      <c r="AC95" s="22">
        <f t="shared" si="57"/>
        <v>4.6573894240888851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1.9895196601282805E-13</v>
      </c>
      <c r="AJ95" s="13">
        <f>AI95*VLOOKUP('Données projet'!$B$10,Paramètres!$A$1:$I$89,3,0)*VLOOKUP('Données projet'!$B$10,Paramètres!$A$1:$I$89,5,0)</f>
        <v>1.738044375088066E-13</v>
      </c>
      <c r="AK95" s="13">
        <f t="shared" si="89"/>
        <v>2.4483293633950478E-12</v>
      </c>
      <c r="AL95" s="20">
        <f t="shared" si="58"/>
        <v>4.566883036574213E-12</v>
      </c>
      <c r="AM95" s="59">
        <f t="shared" si="59"/>
        <v>293.33333333333786</v>
      </c>
      <c r="AN95" s="59">
        <f ca="1">AVERAGE(OFFSET($AM$3,0,0,'Données projet'!$E$10+1,1))-AVERAGE(OFFSET($H$3,0,0,'Données projet'!$E$10+1,1))</f>
        <v>321.23599968992932</v>
      </c>
      <c r="AO95" s="59">
        <f t="shared" si="90"/>
        <v>388.05195847800502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1.9842616529599759</v>
      </c>
      <c r="AV95" s="21">
        <f>EXP(-LN(2)/25)*AV94+(1-EXP(-LN(2)/25))/(LN(2)/25)*Calculateur!AQ95*Calculateur!AS95*VLOOKUP('Données projet'!$B$10,Paramètres!$A$1:$I$89,3,0)*0.475*44/12</f>
        <v>2.7428094268107741</v>
      </c>
      <c r="AW95" s="21">
        <f>EXP(-LN(2)/2)*AW94+(1-EXP(-LN(2)/2))/(LN(2)/2)*AQ95*AT95*VLOOKUP('Données projet'!$B$10,Paramètres!$A$1:$I$89,3,0)*0.475*44/12</f>
        <v>7.8795958513417576E-9</v>
      </c>
      <c r="AX95" s="21">
        <f t="shared" si="60"/>
        <v>4.7270710876503461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1.1368683772161603E-13</v>
      </c>
      <c r="BE95" s="13">
        <f>BD95*VLOOKUP('Données projet'!$B$11,Paramètres!$A$1:$I$89,3,0)*VLOOKUP('Données projet'!$B$11,Paramètres!$A$1:$I$89,5,0)</f>
        <v>6.7984728957526396E-14</v>
      </c>
      <c r="BF95" s="13">
        <f t="shared" si="91"/>
        <v>1.0682447123141398E-12</v>
      </c>
      <c r="BG95" s="20">
        <f t="shared" si="61"/>
        <v>1.978932943548152E-12</v>
      </c>
      <c r="BH95" s="59">
        <f t="shared" si="62"/>
        <v>293.3333333333353</v>
      </c>
      <c r="BI95" s="59">
        <f ca="1">AVERAGE(OFFSET($BH$3,0,0,'Données projet'!$E$11+1,1))-AVERAGE(OFFSET($H$3,0,0,'Données projet'!$E$11+1,1))</f>
        <v>258.31845364515124</v>
      </c>
      <c r="BJ95" s="59">
        <f t="shared" si="92"/>
        <v>280.26155987300996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3.3622917980959941</v>
      </c>
      <c r="BQ95" s="21">
        <f>EXP(-LN(2)/25)*BQ94+(1-EXP(-LN(2)/25))/(LN(2)/25)*Calculateur!BL95*Calculateur!BN95*VLOOKUP('Données projet'!$B$11,Paramètres!$A$1:$I$89,3,0)*0.475*44/12</f>
        <v>1.6897532329405738</v>
      </c>
      <c r="BR95" s="21">
        <f>EXP(-LN(2)/2)*BR94+(1-EXP(-LN(2)/2))/(LN(2)/2)*BL95*BO95*VLOOKUP('Données projet'!$B$11,Paramètres!$A$1:$I$89,3,0)*0.475*44/12</f>
        <v>2.1089783014722783E-9</v>
      </c>
      <c r="BS95" s="22">
        <f t="shared" si="63"/>
        <v>5.0520450331455455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-5.6843418860808015E-14</v>
      </c>
      <c r="BZ95" s="13">
        <f>BY95*VLOOKUP('Données projet'!$B$12,Paramètres!$A$1:$I$89,3,0)*VLOOKUP('Données projet'!$B$12,Paramètres!$A$1:$I$89,5,0)</f>
        <v>-5.1431925385259088E-14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366.86025470473652</v>
      </c>
      <c r="CE95" s="59">
        <f t="shared" si="94"/>
        <v>513.80016421153414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0.75420196018918162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1.7239011674219517E-9</v>
      </c>
      <c r="CN95" s="22">
        <f t="shared" si="66"/>
        <v>0.75420196191308275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-5.6843418860808015E-14</v>
      </c>
      <c r="CU95" s="17">
        <f>CT95*VLOOKUP('Données projet'!$B$13,Paramètres!$A$1:$I$89,3,0)*VLOOKUP('Données projet'!$B$13,Paramètres!$A$1:$I$89,5,0)</f>
        <v>-3.1036506698001178E-14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207.02306964567629</v>
      </c>
      <c r="CZ95" s="59">
        <f t="shared" si="96"/>
        <v>342.06887933351783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1.9349186127863514</v>
      </c>
      <c r="DG95" s="21">
        <f>EXP(-LN(2)/25)*DG94+(1-EXP(-LN(2)/25))/(LN(2)/25)*Calculateur!DB95*Calculateur!DD95*VLOOKUP('Données projet'!$B$13,Paramètres!$A$1:$I$89,3,0)*0.475*44/12</f>
        <v>6.9761301993001057</v>
      </c>
      <c r="DH95" s="21">
        <f>EXP(-LN(2)/2)*DH94+(1-EXP(-LN(2)/2))/(LN(2)/2)*DB95*DE95*VLOOKUP('Données projet'!$B$13,Paramètres!$A$1:$I$89,3,0)*0.475*44/12</f>
        <v>6.1812123273968885E-9</v>
      </c>
      <c r="DI95" s="22">
        <f t="shared" si="69"/>
        <v>8.9110488182676697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7">
        <f t="shared" si="56"/>
        <v>256.66666666666669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18.5</v>
      </c>
      <c r="N96" s="13">
        <f>IF('Données projet'!$A$36&gt;35,N95+M96-V95,IF(A96&lt;'Données projet'!$A$36,$K$205^A96,IF(A96='Données projet'!$A$36,'Données projet'!$B$36,N95+M96-V95)))</f>
        <v>545.99999999999989</v>
      </c>
      <c r="O96" s="13">
        <f>N96*VLOOKUP('Données projet'!$B$9,Paramètres!$A$1:$I$89,3,0)*VLOOKUP('Données projet'!$B$9,Paramètres!$A$1:$I$89,5,0)</f>
        <v>255.52799999999993</v>
      </c>
      <c r="P96" s="13">
        <f t="shared" si="87"/>
        <v>61.768167868721477</v>
      </c>
      <c r="Q96" s="20">
        <f t="shared" si="54"/>
        <v>552.62415903802309</v>
      </c>
      <c r="R96" s="59">
        <f t="shared" si="55"/>
        <v>845.95749237135647</v>
      </c>
      <c r="S96" s="59">
        <f ca="1">AVERAGE(OFFSET($R$3,0,0,'Données projet'!$E$9+1,1))-AVERAGE(OFFSET($H$3,0,0,'Données projet'!$E$9+1,1))</f>
        <v>319.22903094674564</v>
      </c>
      <c r="T96" s="59">
        <f t="shared" si="88"/>
        <v>254.58690973142848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2.6064445644126955</v>
      </c>
      <c r="AA96" s="21">
        <f>EXP(-LN(2)/25)*AA95+(1-EXP(-LN(2)/25))/(LN(2)/25)*Calculateur!V96*Calculateur!X96*VLOOKUP('Données projet'!$B$9,Paramètres!$A$1:$I$89,3,0)*0.475*44/12</f>
        <v>1.9441541554591901</v>
      </c>
      <c r="AB96" s="21">
        <f>EXP(-LN(2)/2)*AB95+(1-EXP(-LN(2)/2))/(LN(2)/2)*V96*Y96*VLOOKUP('Données projet'!$B$9,Paramètres!$A$1:$I$89,3,0)*0.475*44/12</f>
        <v>3.6361958595941927E-9</v>
      </c>
      <c r="AC96" s="22">
        <f t="shared" si="57"/>
        <v>4.5505987235080818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1.9895196601282805E-13</v>
      </c>
      <c r="AJ96" s="13">
        <f>AI96*VLOOKUP('Données projet'!$B$10,Paramètres!$A$1:$I$89,3,0)*VLOOKUP('Données projet'!$B$10,Paramètres!$A$1:$I$89,5,0)</f>
        <v>1.738044375088066E-13</v>
      </c>
      <c r="AK96" s="13">
        <f t="shared" si="89"/>
        <v>2.4483293633950478E-12</v>
      </c>
      <c r="AL96" s="20">
        <f t="shared" si="58"/>
        <v>4.566883036574213E-12</v>
      </c>
      <c r="AM96" s="59">
        <f t="shared" si="59"/>
        <v>293.33333333333786</v>
      </c>
      <c r="AN96" s="59">
        <f ca="1">AVERAGE(OFFSET($AM$3,0,0,'Données projet'!$E$10+1,1))-AVERAGE(OFFSET($H$3,0,0,'Données projet'!$E$10+1,1))</f>
        <v>321.23599968992932</v>
      </c>
      <c r="AO96" s="59">
        <f t="shared" si="90"/>
        <v>388.05195847800502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1.9453514922255339</v>
      </c>
      <c r="AV96" s="21">
        <f>EXP(-LN(2)/25)*AV95+(1-EXP(-LN(2)/25))/(LN(2)/25)*Calculateur!AQ96*Calculateur!AS96*VLOOKUP('Données projet'!$B$10,Paramètres!$A$1:$I$89,3,0)*0.475*44/12</f>
        <v>2.6678071587965544</v>
      </c>
      <c r="AW96" s="21">
        <f>EXP(-LN(2)/2)*AW95+(1-EXP(-LN(2)/2))/(LN(2)/2)*AQ96*AT96*VLOOKUP('Données projet'!$B$10,Paramètres!$A$1:$I$89,3,0)*0.475*44/12</f>
        <v>5.5717156594931438E-9</v>
      </c>
      <c r="AX96" s="21">
        <f t="shared" si="60"/>
        <v>4.6131586565938036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1.1368683772161603E-13</v>
      </c>
      <c r="BE96" s="13">
        <f>BD96*VLOOKUP('Données projet'!$B$11,Paramètres!$A$1:$I$89,3,0)*VLOOKUP('Données projet'!$B$11,Paramètres!$A$1:$I$89,5,0)</f>
        <v>6.7984728957526396E-14</v>
      </c>
      <c r="BF96" s="13">
        <f t="shared" si="91"/>
        <v>1.0682447123141398E-12</v>
      </c>
      <c r="BG96" s="20">
        <f t="shared" si="61"/>
        <v>1.978932943548152E-12</v>
      </c>
      <c r="BH96" s="59">
        <f t="shared" si="62"/>
        <v>293.3333333333353</v>
      </c>
      <c r="BI96" s="59">
        <f ca="1">AVERAGE(OFFSET($BH$3,0,0,'Données projet'!$E$11+1,1))-AVERAGE(OFFSET($H$3,0,0,'Données projet'!$E$11+1,1))</f>
        <v>258.31845364515124</v>
      </c>
      <c r="BJ96" s="59">
        <f t="shared" si="92"/>
        <v>280.26155987300996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3.2963593067308294</v>
      </c>
      <c r="BQ96" s="21">
        <f>EXP(-LN(2)/25)*BQ95+(1-EXP(-LN(2)/25))/(LN(2)/25)*Calculateur!BL96*Calculateur!BN96*VLOOKUP('Données projet'!$B$11,Paramètres!$A$1:$I$89,3,0)*0.475*44/12</f>
        <v>1.6435468419255532</v>
      </c>
      <c r="BR96" s="21">
        <f>EXP(-LN(2)/2)*BR95+(1-EXP(-LN(2)/2))/(LN(2)/2)*BL96*BO96*VLOOKUP('Données projet'!$B$11,Paramètres!$A$1:$I$89,3,0)*0.475*44/12</f>
        <v>1.4912728583463349E-9</v>
      </c>
      <c r="BS96" s="22">
        <f t="shared" si="63"/>
        <v>4.9399061501476558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-5.6843418860808015E-14</v>
      </c>
      <c r="BZ96" s="13">
        <f>BY96*VLOOKUP('Données projet'!$B$12,Paramètres!$A$1:$I$89,3,0)*VLOOKUP('Données projet'!$B$12,Paramètres!$A$1:$I$89,5,0)</f>
        <v>-5.1431925385259088E-14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366.86025470473652</v>
      </c>
      <c r="CE96" s="59">
        <f t="shared" si="94"/>
        <v>513.80016421153414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0.73941251976764455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1.2189822055794678E-9</v>
      </c>
      <c r="CN96" s="22">
        <f t="shared" si="66"/>
        <v>0.7394125209866268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-5.6843418860808015E-14</v>
      </c>
      <c r="CU96" s="17">
        <f>CT96*VLOOKUP('Données projet'!$B$13,Paramètres!$A$1:$I$89,3,0)*VLOOKUP('Données projet'!$B$13,Paramètres!$A$1:$I$89,5,0)</f>
        <v>-3.1036506698001178E-14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207.02306964567629</v>
      </c>
      <c r="CZ96" s="59">
        <f t="shared" si="96"/>
        <v>342.06887933351783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1.8969760389734314</v>
      </c>
      <c r="DG96" s="21">
        <f>EXP(-LN(2)/25)*DG95+(1-EXP(-LN(2)/25))/(LN(2)/25)*Calculateur!DB96*Calculateur!DD96*VLOOKUP('Données projet'!$B$13,Paramètres!$A$1:$I$89,3,0)*0.475*44/12</f>
        <v>6.7853675521415013</v>
      </c>
      <c r="DH96" s="21">
        <f>EXP(-LN(2)/2)*DH95+(1-EXP(-LN(2)/2))/(LN(2)/2)*DB96*DE96*VLOOKUP('Données projet'!$B$13,Paramètres!$A$1:$I$89,3,0)*0.475*44/12</f>
        <v>4.3707771526562217E-9</v>
      </c>
      <c r="DI96" s="22">
        <f t="shared" si="69"/>
        <v>8.68234359548571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7">
        <f t="shared" si="56"/>
        <v>256.66666666666669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18.5</v>
      </c>
      <c r="N97" s="13">
        <f>IF('Données projet'!$A$36&gt;35,N96+M97-V96,IF(A97&lt;'Données projet'!$A$36,$K$205^A97,IF(A97='Données projet'!$A$36,'Données projet'!$B$36,N96+M97-V96)))</f>
        <v>564.49999999999989</v>
      </c>
      <c r="O97" s="13">
        <f>N97*VLOOKUP('Données projet'!$B$9,Paramètres!$A$1:$I$89,3,0)*VLOOKUP('Données projet'!$B$9,Paramètres!$A$1:$I$89,5,0)</f>
        <v>264.18599999999992</v>
      </c>
      <c r="P97" s="13">
        <f t="shared" si="87"/>
        <v>63.613832873262751</v>
      </c>
      <c r="Q97" s="20">
        <f t="shared" si="54"/>
        <v>570.91804225426574</v>
      </c>
      <c r="R97" s="59">
        <f t="shared" si="55"/>
        <v>864.25137558759911</v>
      </c>
      <c r="S97" s="59">
        <f ca="1">AVERAGE(OFFSET($R$3,0,0,'Données projet'!$E$9+1,1))-AVERAGE(OFFSET($H$3,0,0,'Données projet'!$E$9+1,1))</f>
        <v>319.22903094674564</v>
      </c>
      <c r="T97" s="59">
        <f t="shared" si="88"/>
        <v>254.58690973142848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2.5553337762787698</v>
      </c>
      <c r="AA97" s="21">
        <f>EXP(-LN(2)/25)*AA96+(1-EXP(-LN(2)/25))/(LN(2)/25)*Calculateur!V97*Calculateur!X97*VLOOKUP('Données projet'!$B$9,Paramètres!$A$1:$I$89,3,0)*0.475*44/12</f>
        <v>1.8909911578395349</v>
      </c>
      <c r="AB97" s="21">
        <f>EXP(-LN(2)/2)*AB96+(1-EXP(-LN(2)/2))/(LN(2)/2)*V97*Y97*VLOOKUP('Données projet'!$B$9,Paramètres!$A$1:$I$89,3,0)*0.475*44/12</f>
        <v>2.5711787500415011E-9</v>
      </c>
      <c r="AC97" s="22">
        <f t="shared" si="57"/>
        <v>4.4463249366894839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1.9895196601282805E-13</v>
      </c>
      <c r="AJ97" s="13">
        <f>AI97*VLOOKUP('Données projet'!$B$10,Paramètres!$A$1:$I$89,3,0)*VLOOKUP('Données projet'!$B$10,Paramètres!$A$1:$I$89,5,0)</f>
        <v>1.738044375088066E-13</v>
      </c>
      <c r="AK97" s="13">
        <f t="shared" si="89"/>
        <v>2.4483293633950478E-12</v>
      </c>
      <c r="AL97" s="20">
        <f t="shared" si="58"/>
        <v>4.566883036574213E-12</v>
      </c>
      <c r="AM97" s="59">
        <f t="shared" si="59"/>
        <v>293.33333333333786</v>
      </c>
      <c r="AN97" s="59">
        <f ca="1">AVERAGE(OFFSET($AM$3,0,0,'Données projet'!$E$10+1,1))-AVERAGE(OFFSET($H$3,0,0,'Données projet'!$E$10+1,1))</f>
        <v>321.23599968992932</v>
      </c>
      <c r="AO97" s="59">
        <f t="shared" si="90"/>
        <v>388.05195847800502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1.9072043360102398</v>
      </c>
      <c r="AV97" s="21">
        <f>EXP(-LN(2)/25)*AV96+(1-EXP(-LN(2)/25))/(LN(2)/25)*Calculateur!AQ97*Calculateur!AS97*VLOOKUP('Données projet'!$B$10,Paramètres!$A$1:$I$89,3,0)*0.475*44/12</f>
        <v>2.5948558317453814</v>
      </c>
      <c r="AW97" s="21">
        <f>EXP(-LN(2)/2)*AW96+(1-EXP(-LN(2)/2))/(LN(2)/2)*AQ97*AT97*VLOOKUP('Données projet'!$B$10,Paramètres!$A$1:$I$89,3,0)*0.475*44/12</f>
        <v>3.9397979256708788E-9</v>
      </c>
      <c r="AX97" s="21">
        <f t="shared" si="60"/>
        <v>4.5020601716954189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1.1368683772161603E-13</v>
      </c>
      <c r="BE97" s="13">
        <f>BD97*VLOOKUP('Données projet'!$B$11,Paramètres!$A$1:$I$89,3,0)*VLOOKUP('Données projet'!$B$11,Paramètres!$A$1:$I$89,5,0)</f>
        <v>6.7984728957526396E-14</v>
      </c>
      <c r="BF97" s="13">
        <f t="shared" si="91"/>
        <v>1.0682447123141398E-12</v>
      </c>
      <c r="BG97" s="20">
        <f t="shared" si="61"/>
        <v>1.978932943548152E-12</v>
      </c>
      <c r="BH97" s="59">
        <f t="shared" si="62"/>
        <v>293.3333333333353</v>
      </c>
      <c r="BI97" s="59">
        <f ca="1">AVERAGE(OFFSET($BH$3,0,0,'Données projet'!$E$11+1,1))-AVERAGE(OFFSET($H$3,0,0,'Données projet'!$E$11+1,1))</f>
        <v>258.31845364515124</v>
      </c>
      <c r="BJ97" s="59">
        <f t="shared" si="92"/>
        <v>280.26155987300996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3.2317197113064866</v>
      </c>
      <c r="BQ97" s="21">
        <f>EXP(-LN(2)/25)*BQ96+(1-EXP(-LN(2)/25))/(LN(2)/25)*Calculateur!BL97*Calculateur!BN97*VLOOKUP('Données projet'!$B$11,Paramètres!$A$1:$I$89,3,0)*0.475*44/12</f>
        <v>1.598603967102727</v>
      </c>
      <c r="BR97" s="21">
        <f>EXP(-LN(2)/2)*BR96+(1-EXP(-LN(2)/2))/(LN(2)/2)*BL97*BO97*VLOOKUP('Données projet'!$B$11,Paramètres!$A$1:$I$89,3,0)*0.475*44/12</f>
        <v>1.0544891507361391E-9</v>
      </c>
      <c r="BS97" s="22">
        <f t="shared" si="63"/>
        <v>4.8303236794637021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-5.6843418860808015E-14</v>
      </c>
      <c r="BZ97" s="13">
        <f>BY97*VLOOKUP('Données projet'!$B$12,Paramètres!$A$1:$I$89,3,0)*VLOOKUP('Données projet'!$B$12,Paramètres!$A$1:$I$89,5,0)</f>
        <v>-5.1431925385259088E-14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366.86025470473652</v>
      </c>
      <c r="CE97" s="59">
        <f t="shared" si="94"/>
        <v>513.80016421153414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0.72491309125210579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8.6195058371097584E-10</v>
      </c>
      <c r="CN97" s="22">
        <f t="shared" si="66"/>
        <v>0.72491309211405641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-5.6843418860808015E-14</v>
      </c>
      <c r="CU97" s="17">
        <f>CT97*VLOOKUP('Données projet'!$B$13,Paramètres!$A$1:$I$89,3,0)*VLOOKUP('Données projet'!$B$13,Paramètres!$A$1:$I$89,5,0)</f>
        <v>-3.1036506698001178E-14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207.02306964567629</v>
      </c>
      <c r="CZ97" s="59">
        <f t="shared" si="96"/>
        <v>342.06887933351783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1.8597774958902977</v>
      </c>
      <c r="DG97" s="21">
        <f>EXP(-LN(2)/25)*DG96+(1-EXP(-LN(2)/25))/(LN(2)/25)*Calculateur!DB97*Calculateur!DD97*VLOOKUP('Données projet'!$B$13,Paramètres!$A$1:$I$89,3,0)*0.475*44/12</f>
        <v>6.5998213196012205</v>
      </c>
      <c r="DH97" s="21">
        <f>EXP(-LN(2)/2)*DH96+(1-EXP(-LN(2)/2))/(LN(2)/2)*DB97*DE97*VLOOKUP('Données projet'!$B$13,Paramètres!$A$1:$I$89,3,0)*0.475*44/12</f>
        <v>3.0906061636984443E-9</v>
      </c>
      <c r="DI97" s="22">
        <f t="shared" si="69"/>
        <v>8.4595988185821245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7">
        <f t="shared" si="56"/>
        <v>256.66666666666669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18.5</v>
      </c>
      <c r="N98" s="13">
        <f>IF('Données projet'!$A$36&gt;35,N97+M98-V97,IF(A98&lt;'Données projet'!$A$36,$K$205^A98,IF(A98='Données projet'!$A$36,'Données projet'!$B$36,N97+M98-V97)))</f>
        <v>582.99999999999989</v>
      </c>
      <c r="O98" s="13">
        <f>N98*VLOOKUP('Données projet'!$B$9,Paramètres!$A$1:$I$89,3,0)*VLOOKUP('Données projet'!$B$9,Paramètres!$A$1:$I$89,5,0)</f>
        <v>272.84399999999994</v>
      </c>
      <c r="P98" s="13">
        <f t="shared" si="87"/>
        <v>65.452469296244189</v>
      </c>
      <c r="Q98" s="20">
        <f t="shared" si="54"/>
        <v>589.19968402429186</v>
      </c>
      <c r="R98" s="59">
        <f t="shared" si="55"/>
        <v>882.53301735762511</v>
      </c>
      <c r="S98" s="59">
        <f ca="1">AVERAGE(OFFSET($R$3,0,0,'Données projet'!$E$9+1,1))-AVERAGE(OFFSET($H$3,0,0,'Données projet'!$E$9+1,1))</f>
        <v>319.22903094674564</v>
      </c>
      <c r="T98" s="59">
        <f t="shared" si="88"/>
        <v>254.58690973142848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2.5052252395256476</v>
      </c>
      <c r="AA98" s="21">
        <f>EXP(-LN(2)/25)*AA97+(1-EXP(-LN(2)/25))/(LN(2)/25)*Calculateur!V98*Calculateur!X98*VLOOKUP('Données projet'!$B$9,Paramètres!$A$1:$I$89,3,0)*0.475*44/12</f>
        <v>1.8392819051855096</v>
      </c>
      <c r="AB98" s="21">
        <f>EXP(-LN(2)/2)*AB97+(1-EXP(-LN(2)/2))/(LN(2)/2)*V98*Y98*VLOOKUP('Données projet'!$B$9,Paramètres!$A$1:$I$89,3,0)*0.475*44/12</f>
        <v>1.8180979297970966E-9</v>
      </c>
      <c r="AC98" s="22">
        <f t="shared" si="57"/>
        <v>4.3445071465292546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1.9895196601282805E-13</v>
      </c>
      <c r="AJ98" s="13">
        <f>AI98*VLOOKUP('Données projet'!$B$10,Paramètres!$A$1:$I$89,3,0)*VLOOKUP('Données projet'!$B$10,Paramètres!$A$1:$I$89,5,0)</f>
        <v>1.738044375088066E-13</v>
      </c>
      <c r="AK98" s="13">
        <f t="shared" si="89"/>
        <v>2.4483293633950478E-12</v>
      </c>
      <c r="AL98" s="20">
        <f t="shared" si="58"/>
        <v>4.566883036574213E-12</v>
      </c>
      <c r="AM98" s="59">
        <f t="shared" si="59"/>
        <v>293.33333333333786</v>
      </c>
      <c r="AN98" s="59">
        <f ca="1">AVERAGE(OFFSET($AM$3,0,0,'Données projet'!$E$10+1,1))-AVERAGE(OFFSET($H$3,0,0,'Données projet'!$E$10+1,1))</f>
        <v>321.23599968992932</v>
      </c>
      <c r="AO98" s="59">
        <f t="shared" si="90"/>
        <v>388.05195847800502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1.8698052222608597</v>
      </c>
      <c r="AV98" s="21">
        <f>EXP(-LN(2)/25)*AV97+(1-EXP(-LN(2)/25))/(LN(2)/25)*Calculateur!AQ98*Calculateur!AS98*VLOOKUP('Données projet'!$B$10,Paramètres!$A$1:$I$89,3,0)*0.475*44/12</f>
        <v>2.5238993625687662</v>
      </c>
      <c r="AW98" s="21">
        <f>EXP(-LN(2)/2)*AW97+(1-EXP(-LN(2)/2))/(LN(2)/2)*AQ98*AT98*VLOOKUP('Données projet'!$B$10,Paramètres!$A$1:$I$89,3,0)*0.475*44/12</f>
        <v>2.7858578297465719E-9</v>
      </c>
      <c r="AX98" s="21">
        <f t="shared" si="60"/>
        <v>4.3937045876154839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1.1368683772161603E-13</v>
      </c>
      <c r="BE98" s="13">
        <f>BD98*VLOOKUP('Données projet'!$B$11,Paramètres!$A$1:$I$89,3,0)*VLOOKUP('Données projet'!$B$11,Paramètres!$A$1:$I$89,5,0)</f>
        <v>6.7984728957526396E-14</v>
      </c>
      <c r="BF98" s="13">
        <f t="shared" si="91"/>
        <v>1.0682447123141398E-12</v>
      </c>
      <c r="BG98" s="20">
        <f t="shared" si="61"/>
        <v>1.978932943548152E-12</v>
      </c>
      <c r="BH98" s="59">
        <f t="shared" si="62"/>
        <v>293.3333333333353</v>
      </c>
      <c r="BI98" s="59">
        <f ca="1">AVERAGE(OFFSET($BH$3,0,0,'Données projet'!$E$11+1,1))-AVERAGE(OFFSET($H$3,0,0,'Données projet'!$E$11+1,1))</f>
        <v>258.31845364515124</v>
      </c>
      <c r="BJ98" s="59">
        <f t="shared" si="92"/>
        <v>280.26155987300996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3.1683476589221549</v>
      </c>
      <c r="BQ98" s="21">
        <f>EXP(-LN(2)/25)*BQ97+(1-EXP(-LN(2)/25))/(LN(2)/25)*Calculateur!BL98*Calculateur!BN98*VLOOKUP('Données projet'!$B$11,Paramètres!$A$1:$I$89,3,0)*0.475*44/12</f>
        <v>1.5548900575553739</v>
      </c>
      <c r="BR98" s="21">
        <f>EXP(-LN(2)/2)*BR97+(1-EXP(-LN(2)/2))/(LN(2)/2)*BL98*BO98*VLOOKUP('Données projet'!$B$11,Paramètres!$A$1:$I$89,3,0)*0.475*44/12</f>
        <v>7.4563642917316747E-10</v>
      </c>
      <c r="BS98" s="22">
        <f t="shared" si="63"/>
        <v>4.7232377172231654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-5.6843418860808015E-14</v>
      </c>
      <c r="BZ98" s="13">
        <f>BY98*VLOOKUP('Données projet'!$B$12,Paramètres!$A$1:$I$89,3,0)*VLOOKUP('Données projet'!$B$12,Paramètres!$A$1:$I$89,5,0)</f>
        <v>-5.1431925385259088E-14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366.86025470473652</v>
      </c>
      <c r="CE98" s="59">
        <f t="shared" si="94"/>
        <v>513.80016421153414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0.71069798768597869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6.094911027897339E-10</v>
      </c>
      <c r="CN98" s="22">
        <f t="shared" si="66"/>
        <v>0.71069798829546982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-5.6843418860808015E-14</v>
      </c>
      <c r="CU98" s="17">
        <f>CT98*VLOOKUP('Données projet'!$B$13,Paramètres!$A$1:$I$89,3,0)*VLOOKUP('Données projet'!$B$13,Paramètres!$A$1:$I$89,5,0)</f>
        <v>-3.1036506698001178E-14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207.02306964567629</v>
      </c>
      <c r="CZ98" s="59">
        <f t="shared" si="96"/>
        <v>342.06887933351783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1.8233083935481535</v>
      </c>
      <c r="DG98" s="21">
        <f>EXP(-LN(2)/25)*DG97+(1-EXP(-LN(2)/25))/(LN(2)/25)*Calculateur!DB98*Calculateur!DD98*VLOOKUP('Données projet'!$B$13,Paramètres!$A$1:$I$89,3,0)*0.475*44/12</f>
        <v>6.419348858547206</v>
      </c>
      <c r="DH98" s="21">
        <f>EXP(-LN(2)/2)*DH97+(1-EXP(-LN(2)/2))/(LN(2)/2)*DB98*DE98*VLOOKUP('Données projet'!$B$13,Paramètres!$A$1:$I$89,3,0)*0.475*44/12</f>
        <v>2.1853885763281109E-9</v>
      </c>
      <c r="DI98" s="22">
        <f t="shared" si="69"/>
        <v>8.242657254280747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7">
        <f t="shared" si="56"/>
        <v>256.66666666666669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18.5</v>
      </c>
      <c r="N99" s="13">
        <f>IF('Données projet'!$A$36&gt;35,N98+M99-V98,IF(A99&lt;'Données projet'!$A$36,$K$205^A99,IF(A99='Données projet'!$A$36,'Données projet'!$B$36,N98+M99-V98)))</f>
        <v>601.49999999999989</v>
      </c>
      <c r="O99" s="13">
        <f>N99*VLOOKUP('Données projet'!$B$9,Paramètres!$A$1:$I$89,3,0)*VLOOKUP('Données projet'!$B$9,Paramètres!$A$1:$I$89,5,0)</f>
        <v>281.50199999999995</v>
      </c>
      <c r="P99" s="13">
        <f t="shared" si="87"/>
        <v>67.28432575810065</v>
      </c>
      <c r="Q99" s="20">
        <f t="shared" ref="Q99:Q130" si="107">(O99+P99)*0.475*44/12</f>
        <v>607.46951736202516</v>
      </c>
      <c r="R99" s="59">
        <f t="shared" si="55"/>
        <v>900.80285069535853</v>
      </c>
      <c r="S99" s="59">
        <f ca="1">AVERAGE(OFFSET($R$3,0,0,'Données projet'!$E$9+1,1))-AVERAGE(OFFSET($H$3,0,0,'Données projet'!$E$9+1,1))</f>
        <v>319.22903094674564</v>
      </c>
      <c r="T99" s="59">
        <f t="shared" si="88"/>
        <v>254.58690973142848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2.4560993006150649</v>
      </c>
      <c r="AA99" s="21">
        <f>EXP(-LN(2)/25)*AA98+(1-EXP(-LN(2)/25))/(LN(2)/25)*Calculateur!V99*Calculateur!X99*VLOOKUP('Données projet'!$B$9,Paramètres!$A$1:$I$89,3,0)*0.475*44/12</f>
        <v>1.7889866447645801</v>
      </c>
      <c r="AB99" s="21">
        <f>EXP(-LN(2)/2)*AB98+(1-EXP(-LN(2)/2))/(LN(2)/2)*V99*Y99*VLOOKUP('Données projet'!$B$9,Paramètres!$A$1:$I$89,3,0)*0.475*44/12</f>
        <v>1.2855893750207508E-9</v>
      </c>
      <c r="AC99" s="22">
        <f t="shared" si="57"/>
        <v>4.2450859466652346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1.9895196601282805E-13</v>
      </c>
      <c r="AJ99" s="13">
        <f>AI99*VLOOKUP('Données projet'!$B$10,Paramètres!$A$1:$I$89,3,0)*VLOOKUP('Données projet'!$B$10,Paramètres!$A$1:$I$89,5,0)</f>
        <v>1.738044375088066E-13</v>
      </c>
      <c r="AK99" s="13">
        <f t="shared" si="89"/>
        <v>2.4483293633950478E-12</v>
      </c>
      <c r="AL99" s="20">
        <f t="shared" si="58"/>
        <v>4.566883036574213E-12</v>
      </c>
      <c r="AM99" s="59">
        <f t="shared" si="59"/>
        <v>293.33333333333786</v>
      </c>
      <c r="AN99" s="59">
        <f ca="1">AVERAGE(OFFSET($AM$3,0,0,'Données projet'!$E$10+1,1))-AVERAGE(OFFSET($H$3,0,0,'Données projet'!$E$10+1,1))</f>
        <v>321.23599968992932</v>
      </c>
      <c r="AO99" s="59">
        <f t="shared" si="90"/>
        <v>388.05195847800502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1.833139482320898</v>
      </c>
      <c r="AV99" s="21">
        <f>EXP(-LN(2)/25)*AV98+(1-EXP(-LN(2)/25))/(LN(2)/25)*Calculateur!AQ99*Calculateur!AS99*VLOOKUP('Données projet'!$B$10,Paramètres!$A$1:$I$89,3,0)*0.475*44/12</f>
        <v>2.4548832017732245</v>
      </c>
      <c r="AW99" s="21">
        <f>EXP(-LN(2)/2)*AW98+(1-EXP(-LN(2)/2))/(LN(2)/2)*AQ99*AT99*VLOOKUP('Données projet'!$B$10,Paramètres!$A$1:$I$89,3,0)*0.475*44/12</f>
        <v>1.9698989628354394E-9</v>
      </c>
      <c r="AX99" s="21">
        <f t="shared" si="60"/>
        <v>4.2880226860640214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1.1368683772161603E-13</v>
      </c>
      <c r="BE99" s="13">
        <f>BD99*VLOOKUP('Données projet'!$B$11,Paramètres!$A$1:$I$89,3,0)*VLOOKUP('Données projet'!$B$11,Paramètres!$A$1:$I$89,5,0)</f>
        <v>6.7984728957526396E-14</v>
      </c>
      <c r="BF99" s="13">
        <f t="shared" si="91"/>
        <v>1.0682447123141398E-12</v>
      </c>
      <c r="BG99" s="20">
        <f t="shared" si="61"/>
        <v>1.978932943548152E-12</v>
      </c>
      <c r="BH99" s="59">
        <f t="shared" si="62"/>
        <v>293.3333333333353</v>
      </c>
      <c r="BI99" s="59">
        <f ca="1">AVERAGE(OFFSET($BH$3,0,0,'Données projet'!$E$11+1,1))-AVERAGE(OFFSET($H$3,0,0,'Données projet'!$E$11+1,1))</f>
        <v>258.31845364515124</v>
      </c>
      <c r="BJ99" s="59">
        <f t="shared" si="92"/>
        <v>280.26155987300996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3.1062182938319447</v>
      </c>
      <c r="BQ99" s="21">
        <f>EXP(-LN(2)/25)*BQ98+(1-EXP(-LN(2)/25))/(LN(2)/25)*Calculateur!BL99*Calculateur!BN99*VLOOKUP('Données projet'!$B$11,Paramètres!$A$1:$I$89,3,0)*0.475*44/12</f>
        <v>1.5123715071634078</v>
      </c>
      <c r="BR99" s="21">
        <f>EXP(-LN(2)/2)*BR98+(1-EXP(-LN(2)/2))/(LN(2)/2)*BL99*BO99*VLOOKUP('Données projet'!$B$11,Paramètres!$A$1:$I$89,3,0)*0.475*44/12</f>
        <v>5.2724457536806957E-10</v>
      </c>
      <c r="BS99" s="22">
        <f t="shared" si="63"/>
        <v>4.6185898015225977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-5.6843418860808015E-14</v>
      </c>
      <c r="BZ99" s="13">
        <f>BY99*VLOOKUP('Données projet'!$B$12,Paramètres!$A$1:$I$89,3,0)*VLOOKUP('Données projet'!$B$12,Paramètres!$A$1:$I$89,5,0)</f>
        <v>-5.1431925385259088E-14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366.86025470473652</v>
      </c>
      <c r="CE99" s="59">
        <f t="shared" si="94"/>
        <v>513.80016421153414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0.6967616336304262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4.3097529185548792E-10</v>
      </c>
      <c r="CN99" s="22">
        <f t="shared" si="66"/>
        <v>0.69676163406140146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-5.6843418860808015E-14</v>
      </c>
      <c r="CU99" s="17">
        <f>CT99*VLOOKUP('Données projet'!$B$13,Paramètres!$A$1:$I$89,3,0)*VLOOKUP('Données projet'!$B$13,Paramètres!$A$1:$I$89,5,0)</f>
        <v>-3.1036506698001178E-14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207.02306964567629</v>
      </c>
      <c r="CZ99" s="59">
        <f t="shared" si="96"/>
        <v>342.06887933351783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1.7875544280589828</v>
      </c>
      <c r="DG99" s="21">
        <f>EXP(-LN(2)/25)*DG98+(1-EXP(-LN(2)/25))/(LN(2)/25)*Calculateur!DB99*Calculateur!DD99*VLOOKUP('Données projet'!$B$13,Paramètres!$A$1:$I$89,3,0)*0.475*44/12</f>
        <v>6.243811426431348</v>
      </c>
      <c r="DH99" s="21">
        <f>EXP(-LN(2)/2)*DH98+(1-EXP(-LN(2)/2))/(LN(2)/2)*DB99*DE99*VLOOKUP('Données projet'!$B$13,Paramètres!$A$1:$I$89,3,0)*0.475*44/12</f>
        <v>1.5453030818492221E-9</v>
      </c>
      <c r="DI99" s="22">
        <f t="shared" si="69"/>
        <v>8.0313658560356327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7">
        <f t="shared" si="56"/>
        <v>256.66666666666669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18.5</v>
      </c>
      <c r="N100" s="13">
        <f>IF('Données projet'!$A$36&gt;35,N99+M100-V99,IF(A100&lt;'Données projet'!$A$36,$K$205^A100,IF(A100='Données projet'!$A$36,'Données projet'!$B$36,N99+M100-V99)))</f>
        <v>619.99999999999989</v>
      </c>
      <c r="O100" s="13">
        <f>N100*VLOOKUP('Données projet'!$B$9,Paramètres!$A$1:$I$89,3,0)*VLOOKUP('Données projet'!$B$9,Paramètres!$A$1:$I$89,5,0)</f>
        <v>290.15999999999997</v>
      </c>
      <c r="P100" s="13">
        <f t="shared" si="87"/>
        <v>69.109634717039938</v>
      </c>
      <c r="Q100" s="20">
        <f t="shared" si="107"/>
        <v>625.72794713217797</v>
      </c>
      <c r="R100" s="59">
        <f t="shared" si="55"/>
        <v>919.06128046551135</v>
      </c>
      <c r="S100" s="59">
        <f ca="1">AVERAGE(OFFSET($R$3,0,0,'Données projet'!$E$9+1,1))-AVERAGE(OFFSET($H$3,0,0,'Données projet'!$E$9+1,1))</f>
        <v>319.22903094674564</v>
      </c>
      <c r="T100" s="59">
        <f t="shared" si="88"/>
        <v>254.58690973142848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2.4079366914026545</v>
      </c>
      <c r="AA100" s="21">
        <f>EXP(-LN(2)/25)*AA99+(1-EXP(-LN(2)/25))/(LN(2)/25)*Calculateur!V100*Calculateur!X100*VLOOKUP('Données projet'!$B$9,Paramètres!$A$1:$I$89,3,0)*0.475*44/12</f>
        <v>1.7400667108847738</v>
      </c>
      <c r="AB100" s="21">
        <f>EXP(-LN(2)/2)*AB99+(1-EXP(-LN(2)/2))/(LN(2)/2)*V100*Y100*VLOOKUP('Données projet'!$B$9,Paramètres!$A$1:$I$89,3,0)*0.475*44/12</f>
        <v>9.0904896489854849E-10</v>
      </c>
      <c r="AC100" s="22">
        <f t="shared" si="57"/>
        <v>4.1480034031964772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1.9895196601282805E-13</v>
      </c>
      <c r="AJ100" s="13">
        <f>AI100*VLOOKUP('Données projet'!$B$10,Paramètres!$A$1:$I$89,3,0)*VLOOKUP('Données projet'!$B$10,Paramètres!$A$1:$I$89,5,0)</f>
        <v>1.738044375088066E-13</v>
      </c>
      <c r="AK100" s="13">
        <f t="shared" si="89"/>
        <v>2.4483293633950478E-12</v>
      </c>
      <c r="AL100" s="20">
        <f t="shared" si="58"/>
        <v>4.566883036574213E-12</v>
      </c>
      <c r="AM100" s="59">
        <f t="shared" si="59"/>
        <v>293.33333333333786</v>
      </c>
      <c r="AN100" s="59">
        <f ca="1">AVERAGE(OFFSET($AM$3,0,0,'Données projet'!$E$10+1,1))-AVERAGE(OFFSET($H$3,0,0,'Données projet'!$E$10+1,1))</f>
        <v>321.23599968992932</v>
      </c>
      <c r="AO100" s="59">
        <f t="shared" si="90"/>
        <v>388.05195847800502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1.7971927351772656</v>
      </c>
      <c r="AV100" s="21">
        <f>EXP(-LN(2)/25)*AV99+(1-EXP(-LN(2)/25))/(LN(2)/25)*Calculateur!AQ100*Calculateur!AS100*VLOOKUP('Données projet'!$B$10,Paramètres!$A$1:$I$89,3,0)*0.475*44/12</f>
        <v>2.3877542915240388</v>
      </c>
      <c r="AW100" s="21">
        <f>EXP(-LN(2)/2)*AW99+(1-EXP(-LN(2)/2))/(LN(2)/2)*AQ100*AT100*VLOOKUP('Données projet'!$B$10,Paramètres!$A$1:$I$89,3,0)*0.475*44/12</f>
        <v>1.392928914873286E-9</v>
      </c>
      <c r="AX100" s="21">
        <f t="shared" si="60"/>
        <v>4.1849470280942338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1.1368683772161603E-13</v>
      </c>
      <c r="BE100" s="13">
        <f>BD100*VLOOKUP('Données projet'!$B$11,Paramètres!$A$1:$I$89,3,0)*VLOOKUP('Données projet'!$B$11,Paramètres!$A$1:$I$89,5,0)</f>
        <v>6.7984728957526396E-14</v>
      </c>
      <c r="BF100" s="13">
        <f t="shared" si="91"/>
        <v>1.0682447123141398E-12</v>
      </c>
      <c r="BG100" s="20">
        <f t="shared" si="61"/>
        <v>1.978932943548152E-12</v>
      </c>
      <c r="BH100" s="59">
        <f t="shared" si="62"/>
        <v>293.3333333333353</v>
      </c>
      <c r="BI100" s="59">
        <f ca="1">AVERAGE(OFFSET($BH$3,0,0,'Données projet'!$E$11+1,1))-AVERAGE(OFFSET($H$3,0,0,'Données projet'!$E$11+1,1))</f>
        <v>258.31845364515124</v>
      </c>
      <c r="BJ100" s="59">
        <f t="shared" si="92"/>
        <v>280.26155987300996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3.0453072476959826</v>
      </c>
      <c r="BQ100" s="21">
        <f>EXP(-LN(2)/25)*BQ99+(1-EXP(-LN(2)/25))/(LN(2)/25)*Calculateur!BL100*Calculateur!BN100*VLOOKUP('Données projet'!$B$11,Paramètres!$A$1:$I$89,3,0)*0.475*44/12</f>
        <v>1.4710156287678635</v>
      </c>
      <c r="BR100" s="21">
        <f>EXP(-LN(2)/2)*BR99+(1-EXP(-LN(2)/2))/(LN(2)/2)*BL100*BO100*VLOOKUP('Données projet'!$B$11,Paramètres!$A$1:$I$89,3,0)*0.475*44/12</f>
        <v>3.7281821458658373E-10</v>
      </c>
      <c r="BS100" s="22">
        <f t="shared" si="63"/>
        <v>4.5163228768366643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-5.6843418860808015E-14</v>
      </c>
      <c r="BZ100" s="13">
        <f>BY100*VLOOKUP('Données projet'!$B$12,Paramètres!$A$1:$I$89,3,0)*VLOOKUP('Données projet'!$B$12,Paramètres!$A$1:$I$89,5,0)</f>
        <v>-5.1431925385259088E-14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366.86025470473652</v>
      </c>
      <c r="CE100" s="59">
        <f t="shared" si="94"/>
        <v>513.80016421153414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0.68309856297756655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3.0474555139486695E-10</v>
      </c>
      <c r="CN100" s="22">
        <f t="shared" si="66"/>
        <v>0.68309856328231211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-5.6843418860808015E-14</v>
      </c>
      <c r="CU100" s="17">
        <f>CT100*VLOOKUP('Données projet'!$B$13,Paramètres!$A$1:$I$89,3,0)*VLOOKUP('Données projet'!$B$13,Paramètres!$A$1:$I$89,5,0)</f>
        <v>-3.1036506698001178E-14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207.02306964567629</v>
      </c>
      <c r="CZ100" s="59">
        <f t="shared" si="96"/>
        <v>342.06887933351783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1.7525015760252891</v>
      </c>
      <c r="DG100" s="21">
        <f>EXP(-LN(2)/25)*DG99+(1-EXP(-LN(2)/25))/(LN(2)/25)*Calculateur!DB100*Calculateur!DD100*VLOOKUP('Données projet'!$B$13,Paramètres!$A$1:$I$89,3,0)*0.475*44/12</f>
        <v>6.0730740746278107</v>
      </c>
      <c r="DH100" s="21">
        <f>EXP(-LN(2)/2)*DH99+(1-EXP(-LN(2)/2))/(LN(2)/2)*DB100*DE100*VLOOKUP('Données projet'!$B$13,Paramètres!$A$1:$I$89,3,0)*0.475*44/12</f>
        <v>1.0926942881640554E-9</v>
      </c>
      <c r="DI100" s="22">
        <f t="shared" si="69"/>
        <v>7.8255756517457939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7">
        <f t="shared" si="56"/>
        <v>256.66666666666669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18.5</v>
      </c>
      <c r="N101" s="13">
        <f>IF('Données projet'!$A$36&gt;35,N100+M101-V100,IF(A101&lt;'Données projet'!$A$36,$K$205^A101,IF(A101='Données projet'!$A$36,'Données projet'!$B$36,N100+M101-V100)))</f>
        <v>638.49999999999989</v>
      </c>
      <c r="O101" s="13">
        <f>N101*VLOOKUP('Données projet'!$B$9,Paramètres!$A$1:$I$89,3,0)*VLOOKUP('Données projet'!$B$9,Paramètres!$A$1:$I$89,5,0)</f>
        <v>298.81799999999993</v>
      </c>
      <c r="P101" s="13">
        <f t="shared" si="87"/>
        <v>70.928613970256563</v>
      </c>
      <c r="Q101" s="20">
        <f t="shared" si="107"/>
        <v>643.97535266486341</v>
      </c>
      <c r="R101" s="59">
        <f t="shared" si="55"/>
        <v>937.30868599819678</v>
      </c>
      <c r="S101" s="59">
        <f ca="1">AVERAGE(OFFSET($R$3,0,0,'Données projet'!$E$9+1,1))-AVERAGE(OFFSET($H$3,0,0,'Données projet'!$E$9+1,1))</f>
        <v>319.22903094674564</v>
      </c>
      <c r="T101" s="59">
        <f t="shared" si="88"/>
        <v>254.58690973142848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2.3607185215806084</v>
      </c>
      <c r="AA101" s="21">
        <f>EXP(-LN(2)/25)*AA100+(1-EXP(-LN(2)/25))/(LN(2)/25)*Calculateur!V101*Calculateur!X101*VLOOKUP('Données projet'!$B$9,Paramètres!$A$1:$I$89,3,0)*0.475*44/12</f>
        <v>1.6924844951694984</v>
      </c>
      <c r="AB101" s="21">
        <f>EXP(-LN(2)/2)*AB100+(1-EXP(-LN(2)/2))/(LN(2)/2)*V101*Y101*VLOOKUP('Données projet'!$B$9,Paramètres!$A$1:$I$89,3,0)*0.475*44/12</f>
        <v>6.4279468751037549E-10</v>
      </c>
      <c r="AC101" s="22">
        <f t="shared" si="57"/>
        <v>4.0532030173929012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1.9895196601282805E-13</v>
      </c>
      <c r="AJ101" s="13">
        <f>AI101*VLOOKUP('Données projet'!$B$10,Paramètres!$A$1:$I$89,3,0)*VLOOKUP('Données projet'!$B$10,Paramètres!$A$1:$I$89,5,0)</f>
        <v>1.738044375088066E-13</v>
      </c>
      <c r="AK101" s="13">
        <f t="shared" si="89"/>
        <v>2.4483293633950478E-12</v>
      </c>
      <c r="AL101" s="20">
        <f t="shared" si="58"/>
        <v>4.566883036574213E-12</v>
      </c>
      <c r="AM101" s="59">
        <f t="shared" si="59"/>
        <v>293.33333333333786</v>
      </c>
      <c r="AN101" s="59">
        <f ca="1">AVERAGE(OFFSET($AM$3,0,0,'Données projet'!$E$10+1,1))-AVERAGE(OFFSET($H$3,0,0,'Données projet'!$E$10+1,1))</f>
        <v>321.23599968992932</v>
      </c>
      <c r="AO101" s="59">
        <f t="shared" si="90"/>
        <v>388.05195847800502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1.7619508818197691</v>
      </c>
      <c r="AV101" s="21">
        <f>EXP(-LN(2)/25)*AV100+(1-EXP(-LN(2)/25))/(LN(2)/25)*Calculateur!AQ101*Calculateur!AS101*VLOOKUP('Données projet'!$B$10,Paramètres!$A$1:$I$89,3,0)*0.475*44/12</f>
        <v>2.3224610248557731</v>
      </c>
      <c r="AW101" s="21">
        <f>EXP(-LN(2)/2)*AW100+(1-EXP(-LN(2)/2))/(LN(2)/2)*AQ101*AT101*VLOOKUP('Données projet'!$B$10,Paramètres!$A$1:$I$89,3,0)*0.475*44/12</f>
        <v>9.8494948141771969E-10</v>
      </c>
      <c r="AX101" s="21">
        <f t="shared" si="60"/>
        <v>4.0844119076604919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1.1368683772161603E-13</v>
      </c>
      <c r="BE101" s="13">
        <f>BD101*VLOOKUP('Données projet'!$B$11,Paramètres!$A$1:$I$89,3,0)*VLOOKUP('Données projet'!$B$11,Paramètres!$A$1:$I$89,5,0)</f>
        <v>6.7984728957526396E-14</v>
      </c>
      <c r="BF101" s="13">
        <f t="shared" si="91"/>
        <v>1.0682447123141398E-12</v>
      </c>
      <c r="BG101" s="20">
        <f t="shared" si="61"/>
        <v>1.978932943548152E-12</v>
      </c>
      <c r="BH101" s="59">
        <f t="shared" si="62"/>
        <v>293.3333333333353</v>
      </c>
      <c r="BI101" s="59">
        <f ca="1">AVERAGE(OFFSET($BH$3,0,0,'Données projet'!$E$11+1,1))-AVERAGE(OFFSET($H$3,0,0,'Données projet'!$E$11+1,1))</f>
        <v>258.31845364515124</v>
      </c>
      <c r="BJ101" s="59">
        <f t="shared" si="92"/>
        <v>280.26155987300996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2.9855906300226773</v>
      </c>
      <c r="BQ101" s="21">
        <f>EXP(-LN(2)/25)*BQ100+(1-EXP(-LN(2)/25))/(LN(2)/25)*Calculateur!BL101*Calculateur!BN101*VLOOKUP('Données projet'!$B$11,Paramètres!$A$1:$I$89,3,0)*0.475*44/12</f>
        <v>1.4307906290418564</v>
      </c>
      <c r="BR101" s="21">
        <f>EXP(-LN(2)/2)*BR100+(1-EXP(-LN(2)/2))/(LN(2)/2)*BL101*BO101*VLOOKUP('Données projet'!$B$11,Paramètres!$A$1:$I$89,3,0)*0.475*44/12</f>
        <v>2.6362228768403478E-10</v>
      </c>
      <c r="BS101" s="22">
        <f t="shared" si="63"/>
        <v>4.4163812593281557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-5.6843418860808015E-14</v>
      </c>
      <c r="BZ101" s="13">
        <f>BY101*VLOOKUP('Données projet'!$B$12,Paramètres!$A$1:$I$89,3,0)*VLOOKUP('Données projet'!$B$12,Paramètres!$A$1:$I$89,5,0)</f>
        <v>-5.1431925385259088E-14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366.86025470473652</v>
      </c>
      <c r="CE101" s="59">
        <f t="shared" si="94"/>
        <v>513.80016421153414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0.6697034168065592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2.1548764592774396E-10</v>
      </c>
      <c r="CN101" s="22">
        <f t="shared" si="66"/>
        <v>0.66970341702204683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-5.6843418860808015E-14</v>
      </c>
      <c r="CU101" s="17">
        <f>CT101*VLOOKUP('Données projet'!$B$13,Paramètres!$A$1:$I$89,3,0)*VLOOKUP('Données projet'!$B$13,Paramètres!$A$1:$I$89,5,0)</f>
        <v>-3.1036506698001178E-14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207.02306964567629</v>
      </c>
      <c r="CZ101" s="59">
        <f t="shared" si="96"/>
        <v>342.06887933351783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1.7181360890398474</v>
      </c>
      <c r="DG101" s="21">
        <f>EXP(-LN(2)/25)*DG100+(1-EXP(-LN(2)/25))/(LN(2)/25)*Calculateur!DB101*Calculateur!DD101*VLOOKUP('Données projet'!$B$13,Paramètres!$A$1:$I$89,3,0)*0.475*44/12</f>
        <v>5.9070055446880279</v>
      </c>
      <c r="DH101" s="21">
        <f>EXP(-LN(2)/2)*DH100+(1-EXP(-LN(2)/2))/(LN(2)/2)*DB101*DE101*VLOOKUP('Données projet'!$B$13,Paramètres!$A$1:$I$89,3,0)*0.475*44/12</f>
        <v>7.7265154092461106E-10</v>
      </c>
      <c r="DI101" s="22">
        <f t="shared" si="69"/>
        <v>7.6251416345005261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7">
        <f t="shared" si="56"/>
        <v>256.66666666666669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18.5</v>
      </c>
      <c r="N102" s="13">
        <f>IF('Données projet'!$A$36&gt;35,N101+M102-V101,IF(A102&lt;'Données projet'!$A$36,$K$205^A102,IF(A102='Données projet'!$A$36,'Données projet'!$B$36,N101+M102-V101)))</f>
        <v>656.99999999999989</v>
      </c>
      <c r="O102" s="13">
        <f>N102*VLOOKUP('Données projet'!$B$9,Paramètres!$A$1:$I$89,3,0)*VLOOKUP('Données projet'!$B$9,Paramètres!$A$1:$I$89,5,0)</f>
        <v>307.47599999999994</v>
      </c>
      <c r="P102" s="13">
        <f t="shared" si="87"/>
        <v>72.741467976269988</v>
      </c>
      <c r="Q102" s="20">
        <f t="shared" si="107"/>
        <v>662.21209005867013</v>
      </c>
      <c r="R102" s="59">
        <f t="shared" si="55"/>
        <v>955.54542339200339</v>
      </c>
      <c r="S102" s="59">
        <f ca="1">AVERAGE(OFFSET($R$3,0,0,'Données projet'!$E$9+1,1))-AVERAGE(OFFSET($H$3,0,0,'Données projet'!$E$9+1,1))</f>
        <v>319.22903094674564</v>
      </c>
      <c r="T102" s="59">
        <f t="shared" si="88"/>
        <v>254.58690973142848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2.3144262712685331</v>
      </c>
      <c r="AA102" s="21">
        <f>EXP(-LN(2)/25)*AA101+(1-EXP(-LN(2)/25))/(LN(2)/25)*Calculateur!V102*Calculateur!X102*VLOOKUP('Données projet'!$B$9,Paramètres!$A$1:$I$89,3,0)*0.475*44/12</f>
        <v>1.6462034176451972</v>
      </c>
      <c r="AB102" s="21">
        <f>EXP(-LN(2)/2)*AB101+(1-EXP(-LN(2)/2))/(LN(2)/2)*V102*Y102*VLOOKUP('Données projet'!$B$9,Paramètres!$A$1:$I$89,3,0)*0.475*44/12</f>
        <v>4.545244824492743E-10</v>
      </c>
      <c r="AC102" s="22">
        <f t="shared" si="57"/>
        <v>3.9606296893682549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1.9895196601282805E-13</v>
      </c>
      <c r="AJ102" s="13">
        <f>AI102*VLOOKUP('Données projet'!$B$10,Paramètres!$A$1:$I$89,3,0)*VLOOKUP('Données projet'!$B$10,Paramètres!$A$1:$I$89,5,0)</f>
        <v>1.738044375088066E-13</v>
      </c>
      <c r="AK102" s="13">
        <f t="shared" si="89"/>
        <v>2.4483293633950478E-12</v>
      </c>
      <c r="AL102" s="20">
        <f t="shared" si="58"/>
        <v>4.566883036574213E-12</v>
      </c>
      <c r="AM102" s="59">
        <f t="shared" si="59"/>
        <v>293.33333333333786</v>
      </c>
      <c r="AN102" s="59">
        <f ca="1">AVERAGE(OFFSET($AM$3,0,0,'Données projet'!$E$10+1,1))-AVERAGE(OFFSET($H$3,0,0,'Données projet'!$E$10+1,1))</f>
        <v>321.23599968992932</v>
      </c>
      <c r="AO102" s="59">
        <f t="shared" si="90"/>
        <v>388.05195847800502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1.7274000997112051</v>
      </c>
      <c r="AV102" s="21">
        <f>EXP(-LN(2)/25)*AV101+(1-EXP(-LN(2)/25))/(LN(2)/25)*Calculateur!AQ102*Calculateur!AS102*VLOOKUP('Données projet'!$B$10,Paramètres!$A$1:$I$89,3,0)*0.475*44/12</f>
        <v>2.258953205998175</v>
      </c>
      <c r="AW102" s="21">
        <f>EXP(-LN(2)/2)*AW101+(1-EXP(-LN(2)/2))/(LN(2)/2)*AQ102*AT102*VLOOKUP('Données projet'!$B$10,Paramètres!$A$1:$I$89,3,0)*0.475*44/12</f>
        <v>6.9646445743664298E-10</v>
      </c>
      <c r="AX102" s="21">
        <f t="shared" si="60"/>
        <v>3.9863533064058445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1.1368683772161603E-13</v>
      </c>
      <c r="BE102" s="13">
        <f>BD102*VLOOKUP('Données projet'!$B$11,Paramètres!$A$1:$I$89,3,0)*VLOOKUP('Données projet'!$B$11,Paramètres!$A$1:$I$89,5,0)</f>
        <v>6.7984728957526396E-14</v>
      </c>
      <c r="BF102" s="13">
        <f t="shared" si="91"/>
        <v>1.0682447123141398E-12</v>
      </c>
      <c r="BG102" s="20">
        <f t="shared" si="61"/>
        <v>1.978932943548152E-12</v>
      </c>
      <c r="BH102" s="59">
        <f t="shared" si="62"/>
        <v>293.3333333333353</v>
      </c>
      <c r="BI102" s="59">
        <f ca="1">AVERAGE(OFFSET($BH$3,0,0,'Données projet'!$E$11+1,1))-AVERAGE(OFFSET($H$3,0,0,'Données projet'!$E$11+1,1))</f>
        <v>258.31845364515124</v>
      </c>
      <c r="BJ102" s="59">
        <f t="shared" si="92"/>
        <v>280.26155987300996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2.9270450187984052</v>
      </c>
      <c r="BQ102" s="21">
        <f>EXP(-LN(2)/25)*BQ101+(1-EXP(-LN(2)/25))/(LN(2)/25)*Calculateur!BL102*Calculateur!BN102*VLOOKUP('Données projet'!$B$11,Paramètres!$A$1:$I$89,3,0)*0.475*44/12</f>
        <v>1.3916655840486978</v>
      </c>
      <c r="BR102" s="21">
        <f>EXP(-LN(2)/2)*BR101+(1-EXP(-LN(2)/2))/(LN(2)/2)*BL102*BO102*VLOOKUP('Données projet'!$B$11,Paramètres!$A$1:$I$89,3,0)*0.475*44/12</f>
        <v>1.8640910729329187E-10</v>
      </c>
      <c r="BS102" s="22">
        <f t="shared" si="63"/>
        <v>4.3187106030335123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-5.6843418860808015E-14</v>
      </c>
      <c r="BZ102" s="13">
        <f>BY102*VLOOKUP('Données projet'!$B$12,Paramètres!$A$1:$I$89,3,0)*VLOOKUP('Données projet'!$B$12,Paramètres!$A$1:$I$89,5,0)</f>
        <v>-5.1431925385259088E-14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366.86025470473652</v>
      </c>
      <c r="CE102" s="59">
        <f t="shared" si="94"/>
        <v>513.80016421153414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0.65657094128173288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1.5237277569743347E-10</v>
      </c>
      <c r="CN102" s="22">
        <f t="shared" si="66"/>
        <v>0.65657094143410566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-5.6843418860808015E-14</v>
      </c>
      <c r="CU102" s="17">
        <f>CT102*VLOOKUP('Données projet'!$B$13,Paramètres!$A$1:$I$89,3,0)*VLOOKUP('Données projet'!$B$13,Paramètres!$A$1:$I$89,5,0)</f>
        <v>-3.1036506698001178E-14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207.02306964567629</v>
      </c>
      <c r="CZ102" s="59">
        <f t="shared" si="96"/>
        <v>342.06887933351783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1.6844444882933129</v>
      </c>
      <c r="DG102" s="21">
        <f>EXP(-LN(2)/25)*DG101+(1-EXP(-LN(2)/25))/(LN(2)/25)*Calculateur!DB102*Calculateur!DD102*VLOOKUP('Données projet'!$B$13,Paramètres!$A$1:$I$89,3,0)*0.475*44/12</f>
        <v>5.745478167432613</v>
      </c>
      <c r="DH102" s="21">
        <f>EXP(-LN(2)/2)*DH101+(1-EXP(-LN(2)/2))/(LN(2)/2)*DB102*DE102*VLOOKUP('Données projet'!$B$13,Paramètres!$A$1:$I$89,3,0)*0.475*44/12</f>
        <v>5.4634714408202771E-10</v>
      </c>
      <c r="DI102" s="22">
        <f t="shared" si="69"/>
        <v>7.4299226562722733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7">
        <f t="shared" si="56"/>
        <v>256.66666666666669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>
        <f>VLOOKUP(A103,'Données projet'!$A$35:$I$55,2,0)</f>
        <v>675.5</v>
      </c>
      <c r="L103" s="12">
        <f>VLOOKUP(A103,'Données projet'!$A$35:$I$55,9,0)</f>
        <v>18.5</v>
      </c>
      <c r="M103" s="12">
        <f t="array" ref="M103">INDEX(L:L,MIN(IF(ISNUMBER(L103:L299),ROW(L103:L299),"")))</f>
        <v>18.5</v>
      </c>
      <c r="N103" s="13">
        <f>IF('Données projet'!$A$36&gt;35,N102+M103-V102,IF(A103&lt;'Données projet'!$A$36,$K$205^A103,IF(A103='Données projet'!$A$36,'Données projet'!$B$36,N102+M103-V102)))</f>
        <v>675.49999999999989</v>
      </c>
      <c r="O103" s="13">
        <f>N103*VLOOKUP('Données projet'!$B$9,Paramètres!$A$1:$I$89,3,0)*VLOOKUP('Données projet'!$B$9,Paramètres!$A$1:$I$89,5,0)</f>
        <v>316.13399999999996</v>
      </c>
      <c r="P103" s="13">
        <f t="shared" si="87"/>
        <v>74.548389024136753</v>
      </c>
      <c r="Q103" s="20">
        <f t="shared" si="107"/>
        <v>680.43849421703806</v>
      </c>
      <c r="R103" s="59">
        <f t="shared" si="55"/>
        <v>973.77182755037143</v>
      </c>
      <c r="S103" s="59">
        <f ca="1">AVERAGE(OFFSET($R$3,0,0,'Données projet'!$E$9+1,1))-AVERAGE(OFFSET($H$3,0,0,'Données projet'!$E$9+1,1))</f>
        <v>319.22903094674564</v>
      </c>
      <c r="T103" s="59">
        <f t="shared" si="88"/>
        <v>254.58690973142848</v>
      </c>
      <c r="U103" s="15">
        <f>IF(ISNA(VLOOKUP(A103,'Données projet'!$A$35:$I$55,3,0)),0,VLOOKUP(A103,'Données projet'!$A$35:$I$55,3,0))</f>
        <v>9</v>
      </c>
      <c r="V103" s="15">
        <f>IF(ISNA(VLOOKUP(A103,'Données projet'!$A$35:$I$55,4,0)),0,VLOOKUP(A103,'Données projet'!$A$35:$I$55,4,0))</f>
        <v>675.5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2.2690417837495929</v>
      </c>
      <c r="AA103" s="21">
        <f>EXP(-LN(2)/25)*AA102+(1-EXP(-LN(2)/25))/(LN(2)/25)*Calculateur!V103*Calculateur!X103*VLOOKUP('Données projet'!$B$9,Paramètres!$A$1:$I$89,3,0)*0.475*44/12</f>
        <v>1.601187898619614</v>
      </c>
      <c r="AB103" s="21">
        <f>EXP(-LN(2)/2)*AB102+(1-EXP(-LN(2)/2))/(LN(2)/2)*V103*Y103*VLOOKUP('Données projet'!$B$9,Paramètres!$A$1:$I$89,3,0)*0.475*44/12</f>
        <v>3.213973437551878E-10</v>
      </c>
      <c r="AC103" s="22">
        <f t="shared" si="57"/>
        <v>3.8702296826906037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1.9895196601282805E-13</v>
      </c>
      <c r="AJ103" s="13">
        <f>AI103*VLOOKUP('Données projet'!$B$10,Paramètres!$A$1:$I$89,3,0)*VLOOKUP('Données projet'!$B$10,Paramètres!$A$1:$I$89,5,0)</f>
        <v>1.738044375088066E-13</v>
      </c>
      <c r="AK103" s="13">
        <f t="shared" si="89"/>
        <v>2.4483293633950478E-12</v>
      </c>
      <c r="AL103" s="20">
        <f t="shared" si="58"/>
        <v>4.566883036574213E-12</v>
      </c>
      <c r="AM103" s="59">
        <f t="shared" si="59"/>
        <v>293.33333333333786</v>
      </c>
      <c r="AN103" s="59">
        <f ca="1">AVERAGE(OFFSET($AM$3,0,0,'Données projet'!$E$10+1,1))-AVERAGE(OFFSET($H$3,0,0,'Données projet'!$E$10+1,1))</f>
        <v>321.23599968992932</v>
      </c>
      <c r="AO103" s="59">
        <f t="shared" si="90"/>
        <v>388.05195847800502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1.6935268373658938</v>
      </c>
      <c r="AV103" s="21">
        <f>EXP(-LN(2)/25)*AV102+(1-EXP(-LN(2)/25))/(LN(2)/25)*Calculateur!AQ103*Calculateur!AS103*VLOOKUP('Données projet'!$B$10,Paramètres!$A$1:$I$89,3,0)*0.475*44/12</f>
        <v>2.1971820117869685</v>
      </c>
      <c r="AW103" s="21">
        <f>EXP(-LN(2)/2)*AW102+(1-EXP(-LN(2)/2))/(LN(2)/2)*AQ103*AT103*VLOOKUP('Données projet'!$B$10,Paramètres!$A$1:$I$89,3,0)*0.475*44/12</f>
        <v>4.9247474070885985E-10</v>
      </c>
      <c r="AX103" s="21">
        <f t="shared" si="60"/>
        <v>3.8907088496453373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1.1368683772161603E-13</v>
      </c>
      <c r="BE103" s="13">
        <f>BD103*VLOOKUP('Données projet'!$B$11,Paramètres!$A$1:$I$89,3,0)*VLOOKUP('Données projet'!$B$11,Paramètres!$A$1:$I$89,5,0)</f>
        <v>6.7984728957526396E-14</v>
      </c>
      <c r="BF103" s="13">
        <f t="shared" si="91"/>
        <v>1.0682447123141398E-12</v>
      </c>
      <c r="BG103" s="20">
        <f t="shared" si="61"/>
        <v>1.978932943548152E-12</v>
      </c>
      <c r="BH103" s="59">
        <f t="shared" si="62"/>
        <v>293.3333333333353</v>
      </c>
      <c r="BI103" s="59">
        <f ca="1">AVERAGE(OFFSET($BH$3,0,0,'Données projet'!$E$11+1,1))-AVERAGE(OFFSET($H$3,0,0,'Données projet'!$E$11+1,1))</f>
        <v>258.31845364515124</v>
      </c>
      <c r="BJ103" s="59">
        <f t="shared" si="92"/>
        <v>280.26155987300996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2.8696474513009442</v>
      </c>
      <c r="BQ103" s="21">
        <f>EXP(-LN(2)/25)*BQ102+(1-EXP(-LN(2)/25))/(LN(2)/25)*Calculateur!BL103*Calculateur!BN103*VLOOKUP('Données projet'!$B$11,Paramètres!$A$1:$I$89,3,0)*0.475*44/12</f>
        <v>1.3536104154683737</v>
      </c>
      <c r="BR103" s="21">
        <f>EXP(-LN(2)/2)*BR102+(1-EXP(-LN(2)/2))/(LN(2)/2)*BL103*BO103*VLOOKUP('Données projet'!$B$11,Paramètres!$A$1:$I$89,3,0)*0.475*44/12</f>
        <v>1.3181114384201739E-10</v>
      </c>
      <c r="BS103" s="22">
        <f t="shared" si="63"/>
        <v>4.2232578669011289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-5.6843418860808015E-14</v>
      </c>
      <c r="BZ103" s="13">
        <f>BY103*VLOOKUP('Données projet'!$B$12,Paramètres!$A$1:$I$89,3,0)*VLOOKUP('Données projet'!$B$12,Paramètres!$A$1:$I$89,5,0)</f>
        <v>-5.1431925385259088E-14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366.86025470473652</v>
      </c>
      <c r="CE103" s="59">
        <f t="shared" si="94"/>
        <v>513.80016421153414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0.64369598559192931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1.0774382296387198E-10</v>
      </c>
      <c r="CN103" s="22">
        <f t="shared" si="66"/>
        <v>0.64369598569967312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-5.6843418860808015E-14</v>
      </c>
      <c r="CU103" s="17">
        <f>CT103*VLOOKUP('Données projet'!$B$13,Paramètres!$A$1:$I$89,3,0)*VLOOKUP('Données projet'!$B$13,Paramètres!$A$1:$I$89,5,0)</f>
        <v>-3.1036506698001178E-14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207.02306964567629</v>
      </c>
      <c r="CZ103" s="59">
        <f t="shared" si="96"/>
        <v>342.06887933351783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1.6514135592875707</v>
      </c>
      <c r="DG103" s="21">
        <f>EXP(-LN(2)/25)*DG102+(1-EXP(-LN(2)/25))/(LN(2)/25)*Calculateur!DB103*Calculateur!DD103*VLOOKUP('Données projet'!$B$13,Paramètres!$A$1:$I$89,3,0)*0.475*44/12</f>
        <v>5.5883677648026024</v>
      </c>
      <c r="DH103" s="21">
        <f>EXP(-LN(2)/2)*DH102+(1-EXP(-LN(2)/2))/(LN(2)/2)*DB103*DE103*VLOOKUP('Données projet'!$B$13,Paramètres!$A$1:$I$89,3,0)*0.475*44/12</f>
        <v>3.8632577046230553E-10</v>
      </c>
      <c r="DI103" s="22">
        <f t="shared" si="69"/>
        <v>7.2397813244764988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7">
        <f t="shared" si="56"/>
        <v>256.66666666666669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-1.1368683772161603E-13</v>
      </c>
      <c r="O104" s="13">
        <f>N104*VLOOKUP('Données projet'!$B$9,Paramètres!$A$1:$I$89,3,0)*VLOOKUP('Données projet'!$B$9,Paramètres!$A$1:$I$89,5,0)</f>
        <v>-5.3205440053716299E-14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319.22903094674564</v>
      </c>
      <c r="T104" s="59">
        <f t="shared" si="88"/>
        <v>254.58690973142848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2.2245472583490948</v>
      </c>
      <c r="AA104" s="21">
        <f>EXP(-LN(2)/25)*AA103+(1-EXP(-LN(2)/25))/(LN(2)/25)*Calculateur!V104*Calculateur!X104*VLOOKUP('Données projet'!$B$9,Paramètres!$A$1:$I$89,3,0)*0.475*44/12</f>
        <v>1.5574033313290485</v>
      </c>
      <c r="AB104" s="21">
        <f>EXP(-LN(2)/2)*AB103+(1-EXP(-LN(2)/2))/(LN(2)/2)*V104*Y104*VLOOKUP('Données projet'!$B$9,Paramètres!$A$1:$I$89,3,0)*0.475*44/12</f>
        <v>2.272622412246372E-10</v>
      </c>
      <c r="AC104" s="22">
        <f t="shared" si="57"/>
        <v>3.7819505899054056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1.9895196601282805E-13</v>
      </c>
      <c r="AJ104" s="13">
        <f>AI104*VLOOKUP('Données projet'!$B$10,Paramètres!$A$1:$I$89,3,0)*VLOOKUP('Données projet'!$B$10,Paramètres!$A$1:$I$89,5,0)</f>
        <v>1.738044375088066E-13</v>
      </c>
      <c r="AK104" s="13">
        <f t="shared" si="89"/>
        <v>2.4483293633950478E-12</v>
      </c>
      <c r="AL104" s="20">
        <f t="shared" si="58"/>
        <v>4.566883036574213E-12</v>
      </c>
      <c r="AM104" s="59">
        <f t="shared" si="59"/>
        <v>293.33333333333786</v>
      </c>
      <c r="AN104" s="59">
        <f ca="1">AVERAGE(OFFSET($AM$3,0,0,'Données projet'!$E$10+1,1))-AVERAGE(OFFSET($H$3,0,0,'Données projet'!$E$10+1,1))</f>
        <v>321.23599968992932</v>
      </c>
      <c r="AO104" s="59">
        <f t="shared" si="90"/>
        <v>388.05195847800502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1.6603178090345241</v>
      </c>
      <c r="AV104" s="21">
        <f>EXP(-LN(2)/25)*AV103+(1-EXP(-LN(2)/25))/(LN(2)/25)*Calculateur!AQ104*Calculateur!AS104*VLOOKUP('Données projet'!$B$10,Paramètres!$A$1:$I$89,3,0)*0.475*44/12</f>
        <v>2.1370999541298734</v>
      </c>
      <c r="AW104" s="21">
        <f>EXP(-LN(2)/2)*AW103+(1-EXP(-LN(2)/2))/(LN(2)/2)*AQ104*AT104*VLOOKUP('Données projet'!$B$10,Paramètres!$A$1:$I$89,3,0)*0.475*44/12</f>
        <v>3.4823222871832149E-10</v>
      </c>
      <c r="AX104" s="21">
        <f t="shared" si="60"/>
        <v>3.7974177635126298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1.1368683772161603E-13</v>
      </c>
      <c r="BE104" s="13">
        <f>BD104*VLOOKUP('Données projet'!$B$11,Paramètres!$A$1:$I$89,3,0)*VLOOKUP('Données projet'!$B$11,Paramètres!$A$1:$I$89,5,0)</f>
        <v>6.7984728957526396E-14</v>
      </c>
      <c r="BF104" s="13">
        <f t="shared" si="91"/>
        <v>1.0682447123141398E-12</v>
      </c>
      <c r="BG104" s="20">
        <f t="shared" si="61"/>
        <v>1.978932943548152E-12</v>
      </c>
      <c r="BH104" s="59">
        <f t="shared" si="62"/>
        <v>293.3333333333353</v>
      </c>
      <c r="BI104" s="59">
        <f ca="1">AVERAGE(OFFSET($BH$3,0,0,'Données projet'!$E$11+1,1))-AVERAGE(OFFSET($H$3,0,0,'Données projet'!$E$11+1,1))</f>
        <v>258.31845364515124</v>
      </c>
      <c r="BJ104" s="59">
        <f t="shared" si="92"/>
        <v>280.26155987300996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2.813375415093049</v>
      </c>
      <c r="BQ104" s="21">
        <f>EXP(-LN(2)/25)*BQ103+(1-EXP(-LN(2)/25))/(LN(2)/25)*Calculateur!BL104*Calculateur!BN104*VLOOKUP('Données projet'!$B$11,Paramètres!$A$1:$I$89,3,0)*0.475*44/12</f>
        <v>1.3165958674741129</v>
      </c>
      <c r="BR104" s="21">
        <f>EXP(-LN(2)/2)*BR103+(1-EXP(-LN(2)/2))/(LN(2)/2)*BL104*BO104*VLOOKUP('Données projet'!$B$11,Paramètres!$A$1:$I$89,3,0)*0.475*44/12</f>
        <v>9.3204553646645933E-11</v>
      </c>
      <c r="BS104" s="22">
        <f t="shared" si="63"/>
        <v>4.1299712826603665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-5.6843418860808015E-14</v>
      </c>
      <c r="BZ104" s="13">
        <f>BY104*VLOOKUP('Données projet'!$B$12,Paramètres!$A$1:$I$89,3,0)*VLOOKUP('Données projet'!$B$12,Paramètres!$A$1:$I$89,5,0)</f>
        <v>-5.1431925385259088E-14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366.86025470473652</v>
      </c>
      <c r="CE104" s="59">
        <f t="shared" si="94"/>
        <v>513.80016421153414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0.63107349993025519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7.6186387848716737E-11</v>
      </c>
      <c r="CN104" s="22">
        <f t="shared" si="66"/>
        <v>0.63107350000644158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-5.6843418860808015E-14</v>
      </c>
      <c r="CU104" s="17">
        <f>CT104*VLOOKUP('Données projet'!$B$13,Paramètres!$A$1:$I$89,3,0)*VLOOKUP('Données projet'!$B$13,Paramètres!$A$1:$I$89,5,0)</f>
        <v>-3.1036506698001178E-14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207.02306964567629</v>
      </c>
      <c r="CZ104" s="59">
        <f t="shared" si="96"/>
        <v>342.06887933351783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1.6190303466527536</v>
      </c>
      <c r="DG104" s="21">
        <f>EXP(-LN(2)/25)*DG103+(1-EXP(-LN(2)/25))/(LN(2)/25)*Calculateur!DB104*Calculateur!DD104*VLOOKUP('Données projet'!$B$13,Paramètres!$A$1:$I$89,3,0)*0.475*44/12</f>
        <v>5.4355535543945868</v>
      </c>
      <c r="DH104" s="21">
        <f>EXP(-LN(2)/2)*DH103+(1-EXP(-LN(2)/2))/(LN(2)/2)*DB104*DE104*VLOOKUP('Données projet'!$B$13,Paramètres!$A$1:$I$89,3,0)*0.475*44/12</f>
        <v>2.7317357204101386E-10</v>
      </c>
      <c r="DI104" s="22">
        <f t="shared" si="69"/>
        <v>7.0545839013205143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7">
        <f t="shared" si="56"/>
        <v>256.66666666666669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-1.1368683772161603E-13</v>
      </c>
      <c r="O105" s="13">
        <f>N105*VLOOKUP('Données projet'!$B$9,Paramètres!$A$1:$I$89,3,0)*VLOOKUP('Données projet'!$B$9,Paramètres!$A$1:$I$89,5,0)</f>
        <v>-5.3205440053716299E-14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319.22903094674564</v>
      </c>
      <c r="T105" s="59">
        <f t="shared" si="88"/>
        <v>254.58690973142848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2.18092524345272</v>
      </c>
      <c r="AA105" s="21">
        <f>EXP(-LN(2)/25)*AA104+(1-EXP(-LN(2)/25))/(LN(2)/25)*Calculateur!V105*Calculateur!X105*VLOOKUP('Données projet'!$B$9,Paramètres!$A$1:$I$89,3,0)*0.475*44/12</f>
        <v>1.5148160553335739</v>
      </c>
      <c r="AB105" s="21">
        <f>EXP(-LN(2)/2)*AB104+(1-EXP(-LN(2)/2))/(LN(2)/2)*V105*Y105*VLOOKUP('Données projet'!$B$9,Paramètres!$A$1:$I$89,3,0)*0.475*44/12</f>
        <v>1.6069867187759392E-10</v>
      </c>
      <c r="AC105" s="22">
        <f t="shared" si="57"/>
        <v>3.6957412989469924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1.9895196601282805E-13</v>
      </c>
      <c r="AJ105" s="13">
        <f>AI105*VLOOKUP('Données projet'!$B$10,Paramètres!$A$1:$I$89,3,0)*VLOOKUP('Données projet'!$B$10,Paramètres!$A$1:$I$89,5,0)</f>
        <v>1.738044375088066E-13</v>
      </c>
      <c r="AK105" s="13">
        <f t="shared" si="89"/>
        <v>2.4483293633950478E-12</v>
      </c>
      <c r="AL105" s="20">
        <f t="shared" si="58"/>
        <v>4.566883036574213E-12</v>
      </c>
      <c r="AM105" s="59">
        <f t="shared" si="59"/>
        <v>293.33333333333786</v>
      </c>
      <c r="AN105" s="59">
        <f ca="1">AVERAGE(OFFSET($AM$3,0,0,'Données projet'!$E$10+1,1))-AVERAGE(OFFSET($H$3,0,0,'Données projet'!$E$10+1,1))</f>
        <v>321.23599968992932</v>
      </c>
      <c r="AO105" s="59">
        <f t="shared" si="90"/>
        <v>388.05195847800502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1.6277599894932253</v>
      </c>
      <c r="AV105" s="21">
        <f>EXP(-LN(2)/25)*AV104+(1-EXP(-LN(2)/25))/(LN(2)/25)*Calculateur!AQ105*Calculateur!AS105*VLOOKUP('Données projet'!$B$10,Paramètres!$A$1:$I$89,3,0)*0.475*44/12</f>
        <v>2.0786608434989899</v>
      </c>
      <c r="AW105" s="21">
        <f>EXP(-LN(2)/2)*AW104+(1-EXP(-LN(2)/2))/(LN(2)/2)*AQ105*AT105*VLOOKUP('Données projet'!$B$10,Paramètres!$A$1:$I$89,3,0)*0.475*44/12</f>
        <v>2.4623737035442992E-10</v>
      </c>
      <c r="AX105" s="21">
        <f t="shared" si="60"/>
        <v>3.7064208332384525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1.1368683772161603E-13</v>
      </c>
      <c r="BE105" s="13">
        <f>BD105*VLOOKUP('Données projet'!$B$11,Paramètres!$A$1:$I$89,3,0)*VLOOKUP('Données projet'!$B$11,Paramètres!$A$1:$I$89,5,0)</f>
        <v>6.7984728957526396E-14</v>
      </c>
      <c r="BF105" s="13">
        <f t="shared" si="91"/>
        <v>1.0682447123141398E-12</v>
      </c>
      <c r="BG105" s="20">
        <f t="shared" si="61"/>
        <v>1.978932943548152E-12</v>
      </c>
      <c r="BH105" s="59">
        <f t="shared" si="62"/>
        <v>293.3333333333353</v>
      </c>
      <c r="BI105" s="59">
        <f ca="1">AVERAGE(OFFSET($BH$3,0,0,'Données projet'!$E$11+1,1))-AVERAGE(OFFSET($H$3,0,0,'Données projet'!$E$11+1,1))</f>
        <v>258.31845364515124</v>
      </c>
      <c r="BJ105" s="59">
        <f t="shared" si="92"/>
        <v>280.26155987300996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2.7582068391926375</v>
      </c>
      <c r="BQ105" s="21">
        <f>EXP(-LN(2)/25)*BQ104+(1-EXP(-LN(2)/25))/(LN(2)/25)*Calculateur!BL105*Calculateur!BN105*VLOOKUP('Données projet'!$B$11,Paramètres!$A$1:$I$89,3,0)*0.475*44/12</f>
        <v>1.2805934842412658</v>
      </c>
      <c r="BR105" s="21">
        <f>EXP(-LN(2)/2)*BR104+(1-EXP(-LN(2)/2))/(LN(2)/2)*BL105*BO105*VLOOKUP('Données projet'!$B$11,Paramètres!$A$1:$I$89,3,0)*0.475*44/12</f>
        <v>6.5905571921008696E-11</v>
      </c>
      <c r="BS105" s="22">
        <f t="shared" si="63"/>
        <v>4.0388003234998093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-5.6843418860808015E-14</v>
      </c>
      <c r="BZ105" s="13">
        <f>BY105*VLOOKUP('Données projet'!$B$12,Paramètres!$A$1:$I$89,3,0)*VLOOKUP('Données projet'!$B$12,Paramètres!$A$1:$I$89,5,0)</f>
        <v>-5.1431925385259088E-14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366.86025470473652</v>
      </c>
      <c r="CE105" s="59">
        <f t="shared" si="94"/>
        <v>513.80016421153414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0.6186985335134505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5.387191148193599E-11</v>
      </c>
      <c r="CN105" s="22">
        <f t="shared" si="66"/>
        <v>0.61869853356732241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-5.6843418860808015E-14</v>
      </c>
      <c r="CU105" s="17">
        <f>CT105*VLOOKUP('Données projet'!$B$13,Paramètres!$A$1:$I$89,3,0)*VLOOKUP('Données projet'!$B$13,Paramètres!$A$1:$I$89,5,0)</f>
        <v>-3.1036506698001178E-14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207.02306964567629</v>
      </c>
      <c r="CZ105" s="59">
        <f t="shared" si="96"/>
        <v>342.06887933351783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1.5872821490658959</v>
      </c>
      <c r="DG105" s="21">
        <f>EXP(-LN(2)/25)*DG104+(1-EXP(-LN(2)/25))/(LN(2)/25)*Calculateur!DB105*Calculateur!DD105*VLOOKUP('Données projet'!$B$13,Paramètres!$A$1:$I$89,3,0)*0.475*44/12</f>
        <v>5.2869180566063285</v>
      </c>
      <c r="DH105" s="21">
        <f>EXP(-LN(2)/2)*DH104+(1-EXP(-LN(2)/2))/(LN(2)/2)*DB105*DE105*VLOOKUP('Données projet'!$B$13,Paramètres!$A$1:$I$89,3,0)*0.475*44/12</f>
        <v>1.9316288523115277E-10</v>
      </c>
      <c r="DI105" s="22">
        <f t="shared" si="69"/>
        <v>6.874200205865387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7">
        <f t="shared" si="56"/>
        <v>256.66666666666669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-1.1368683772161603E-13</v>
      </c>
      <c r="O106" s="13">
        <f>N106*VLOOKUP('Données projet'!$B$9,Paramètres!$A$1:$I$89,3,0)*VLOOKUP('Données projet'!$B$9,Paramètres!$A$1:$I$89,5,0)</f>
        <v>-5.3205440053716299E-14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319.22903094674564</v>
      </c>
      <c r="T106" s="59">
        <f t="shared" si="88"/>
        <v>254.58690973142848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2.1381586296616613</v>
      </c>
      <c r="AA106" s="21">
        <f>EXP(-LN(2)/25)*AA105+(1-EXP(-LN(2)/25))/(LN(2)/25)*Calculateur!V106*Calculateur!X106*VLOOKUP('Données projet'!$B$9,Paramètres!$A$1:$I$89,3,0)*0.475*44/12</f>
        <v>1.4733933306397631</v>
      </c>
      <c r="AB106" s="21">
        <f>EXP(-LN(2)/2)*AB105+(1-EXP(-LN(2)/2))/(LN(2)/2)*V106*Y106*VLOOKUP('Données projet'!$B$9,Paramètres!$A$1:$I$89,3,0)*0.475*44/12</f>
        <v>1.1363112061231861E-10</v>
      </c>
      <c r="AC106" s="22">
        <f t="shared" si="57"/>
        <v>3.6115519604150559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1.9895196601282805E-13</v>
      </c>
      <c r="AJ106" s="13">
        <f>AI106*VLOOKUP('Données projet'!$B$10,Paramètres!$A$1:$I$89,3,0)*VLOOKUP('Données projet'!$B$10,Paramètres!$A$1:$I$89,5,0)</f>
        <v>1.738044375088066E-13</v>
      </c>
      <c r="AK106" s="13">
        <f t="shared" si="89"/>
        <v>2.4483293633950478E-12</v>
      </c>
      <c r="AL106" s="20">
        <f t="shared" si="58"/>
        <v>4.566883036574213E-12</v>
      </c>
      <c r="AM106" s="59">
        <f t="shared" si="59"/>
        <v>293.33333333333786</v>
      </c>
      <c r="AN106" s="59">
        <f ca="1">AVERAGE(OFFSET($AM$3,0,0,'Données projet'!$E$10+1,1))-AVERAGE(OFFSET($H$3,0,0,'Données projet'!$E$10+1,1))</f>
        <v>321.23599968992932</v>
      </c>
      <c r="AO106" s="59">
        <f t="shared" si="90"/>
        <v>388.05195847800502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1.5958406089348225</v>
      </c>
      <c r="AV106" s="21">
        <f>EXP(-LN(2)/25)*AV105+(1-EXP(-LN(2)/25))/(LN(2)/25)*Calculateur!AQ106*Calculateur!AS106*VLOOKUP('Données projet'!$B$10,Paramètres!$A$1:$I$89,3,0)*0.475*44/12</f>
        <v>2.0218197534214872</v>
      </c>
      <c r="AW106" s="21">
        <f>EXP(-LN(2)/2)*AW105+(1-EXP(-LN(2)/2))/(LN(2)/2)*AQ106*AT106*VLOOKUP('Données projet'!$B$10,Paramètres!$A$1:$I$89,3,0)*0.475*44/12</f>
        <v>1.7411611435916074E-10</v>
      </c>
      <c r="AX106" s="21">
        <f t="shared" si="60"/>
        <v>3.617660362530426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1.1368683772161603E-13</v>
      </c>
      <c r="BE106" s="13">
        <f>BD106*VLOOKUP('Données projet'!$B$11,Paramètres!$A$1:$I$89,3,0)*VLOOKUP('Données projet'!$B$11,Paramètres!$A$1:$I$89,5,0)</f>
        <v>6.7984728957526396E-14</v>
      </c>
      <c r="BF106" s="13">
        <f t="shared" si="91"/>
        <v>1.0682447123141398E-12</v>
      </c>
      <c r="BG106" s="20">
        <f t="shared" si="61"/>
        <v>1.978932943548152E-12</v>
      </c>
      <c r="BH106" s="59">
        <f t="shared" si="62"/>
        <v>293.3333333333353</v>
      </c>
      <c r="BI106" s="59">
        <f ca="1">AVERAGE(OFFSET($BH$3,0,0,'Données projet'!$E$11+1,1))-AVERAGE(OFFSET($H$3,0,0,'Données projet'!$E$11+1,1))</f>
        <v>258.31845364515124</v>
      </c>
      <c r="BJ106" s="59">
        <f t="shared" si="92"/>
        <v>280.26155987300996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2.7041200854161245</v>
      </c>
      <c r="BQ106" s="21">
        <f>EXP(-LN(2)/25)*BQ105+(1-EXP(-LN(2)/25))/(LN(2)/25)*Calculateur!BL106*Calculateur!BN106*VLOOKUP('Données projet'!$B$11,Paramètres!$A$1:$I$89,3,0)*0.475*44/12</f>
        <v>1.2455755880712038</v>
      </c>
      <c r="BR106" s="21">
        <f>EXP(-LN(2)/2)*BR105+(1-EXP(-LN(2)/2))/(LN(2)/2)*BL106*BO106*VLOOKUP('Données projet'!$B$11,Paramètres!$A$1:$I$89,3,0)*0.475*44/12</f>
        <v>4.6602276823322967E-11</v>
      </c>
      <c r="BS106" s="22">
        <f t="shared" si="63"/>
        <v>3.9496956735339306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-5.6843418860808015E-14</v>
      </c>
      <c r="BZ106" s="13">
        <f>BY106*VLOOKUP('Données projet'!$B$12,Paramètres!$A$1:$I$89,3,0)*VLOOKUP('Données projet'!$B$12,Paramètres!$A$1:$I$89,5,0)</f>
        <v>-5.1431925385259088E-14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366.86025470473652</v>
      </c>
      <c r="CE106" s="59">
        <f t="shared" si="94"/>
        <v>513.80016421153414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0.60656623264009513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3.8093193924358369E-11</v>
      </c>
      <c r="CN106" s="22">
        <f t="shared" si="66"/>
        <v>0.60656623267818832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-5.6843418860808015E-14</v>
      </c>
      <c r="CU106" s="17">
        <f>CT106*VLOOKUP('Données projet'!$B$13,Paramètres!$A$1:$I$89,3,0)*VLOOKUP('Données projet'!$B$13,Paramètres!$A$1:$I$89,5,0)</f>
        <v>-3.1036506698001178E-14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207.02306964567629</v>
      </c>
      <c r="CZ106" s="59">
        <f t="shared" si="96"/>
        <v>342.06887933351783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1.5561565142692282</v>
      </c>
      <c r="DG106" s="21">
        <f>EXP(-LN(2)/25)*DG105+(1-EXP(-LN(2)/25))/(LN(2)/25)*Calculateur!DB106*Calculateur!DD106*VLOOKUP('Données projet'!$B$13,Paramètres!$A$1:$I$89,3,0)*0.475*44/12</f>
        <v>5.1423470043214916</v>
      </c>
      <c r="DH106" s="21">
        <f>EXP(-LN(2)/2)*DH105+(1-EXP(-LN(2)/2))/(LN(2)/2)*DB106*DE106*VLOOKUP('Données projet'!$B$13,Paramètres!$A$1:$I$89,3,0)*0.475*44/12</f>
        <v>1.3658678602050693E-10</v>
      </c>
      <c r="DI106" s="22">
        <f t="shared" si="69"/>
        <v>6.6985035187273061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7">
        <f t="shared" si="56"/>
        <v>256.66666666666669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-1.1368683772161603E-13</v>
      </c>
      <c r="O107" s="13">
        <f>N107*VLOOKUP('Données projet'!$B$9,Paramètres!$A$1:$I$89,3,0)*VLOOKUP('Données projet'!$B$9,Paramètres!$A$1:$I$89,5,0)</f>
        <v>-5.3205440053716299E-14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319.22903094674564</v>
      </c>
      <c r="T107" s="59">
        <f t="shared" si="88"/>
        <v>254.58690973142848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2.0962306430819861</v>
      </c>
      <c r="AA107" s="21">
        <f>EXP(-LN(2)/25)*AA106+(1-EXP(-LN(2)/25))/(LN(2)/25)*Calculateur!V107*Calculateur!X107*VLOOKUP('Données projet'!$B$9,Paramètres!$A$1:$I$89,3,0)*0.475*44/12</f>
        <v>1.4331033125310311</v>
      </c>
      <c r="AB107" s="21">
        <f>EXP(-LN(2)/2)*AB106+(1-EXP(-LN(2)/2))/(LN(2)/2)*V107*Y107*VLOOKUP('Données projet'!$B$9,Paramètres!$A$1:$I$89,3,0)*0.475*44/12</f>
        <v>8.0349335938796975E-11</v>
      </c>
      <c r="AC107" s="22">
        <f t="shared" si="57"/>
        <v>3.5293339556933669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1.9895196601282805E-13</v>
      </c>
      <c r="AJ107" s="13">
        <f>AI107*VLOOKUP('Données projet'!$B$10,Paramètres!$A$1:$I$89,3,0)*VLOOKUP('Données projet'!$B$10,Paramètres!$A$1:$I$89,5,0)</f>
        <v>1.738044375088066E-13</v>
      </c>
      <c r="AK107" s="13">
        <f t="shared" si="89"/>
        <v>2.4483293633950478E-12</v>
      </c>
      <c r="AL107" s="20">
        <f t="shared" si="58"/>
        <v>4.566883036574213E-12</v>
      </c>
      <c r="AM107" s="59">
        <f t="shared" si="59"/>
        <v>293.33333333333786</v>
      </c>
      <c r="AN107" s="59">
        <f ca="1">AVERAGE(OFFSET($AM$3,0,0,'Données projet'!$E$10+1,1))-AVERAGE(OFFSET($H$3,0,0,'Données projet'!$E$10+1,1))</f>
        <v>321.23599968992932</v>
      </c>
      <c r="AO107" s="59">
        <f t="shared" si="90"/>
        <v>388.05195847800502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1.5645471479602702</v>
      </c>
      <c r="AV107" s="21">
        <f>EXP(-LN(2)/25)*AV106+(1-EXP(-LN(2)/25))/(LN(2)/25)*Calculateur!AQ107*Calculateur!AS107*VLOOKUP('Données projet'!$B$10,Paramètres!$A$1:$I$89,3,0)*0.475*44/12</f>
        <v>1.9665329859412968</v>
      </c>
      <c r="AW107" s="21">
        <f>EXP(-LN(2)/2)*AW106+(1-EXP(-LN(2)/2))/(LN(2)/2)*AQ107*AT107*VLOOKUP('Données projet'!$B$10,Paramètres!$A$1:$I$89,3,0)*0.475*44/12</f>
        <v>1.2311868517721496E-10</v>
      </c>
      <c r="AX107" s="21">
        <f t="shared" si="60"/>
        <v>3.5310801340246858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1.1368683772161603E-13</v>
      </c>
      <c r="BE107" s="13">
        <f>BD107*VLOOKUP('Données projet'!$B$11,Paramètres!$A$1:$I$89,3,0)*VLOOKUP('Données projet'!$B$11,Paramètres!$A$1:$I$89,5,0)</f>
        <v>6.7984728957526396E-14</v>
      </c>
      <c r="BF107" s="13">
        <f t="shared" si="91"/>
        <v>1.0682447123141398E-12</v>
      </c>
      <c r="BG107" s="20">
        <f t="shared" si="61"/>
        <v>1.978932943548152E-12</v>
      </c>
      <c r="BH107" s="59">
        <f t="shared" si="62"/>
        <v>293.3333333333353</v>
      </c>
      <c r="BI107" s="59">
        <f ca="1">AVERAGE(OFFSET($BH$3,0,0,'Données projet'!$E$11+1,1))-AVERAGE(OFFSET($H$3,0,0,'Données projet'!$E$11+1,1))</f>
        <v>258.31845364515124</v>
      </c>
      <c r="BJ107" s="59">
        <f t="shared" si="92"/>
        <v>280.26155987300996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2.6510939398915068</v>
      </c>
      <c r="BQ107" s="21">
        <f>EXP(-LN(2)/25)*BQ106+(1-EXP(-LN(2)/25))/(LN(2)/25)*Calculateur!BL107*Calculateur!BN107*VLOOKUP('Données projet'!$B$11,Paramètres!$A$1:$I$89,3,0)*0.475*44/12</f>
        <v>1.2115152581134234</v>
      </c>
      <c r="BR107" s="21">
        <f>EXP(-LN(2)/2)*BR106+(1-EXP(-LN(2)/2))/(LN(2)/2)*BL107*BO107*VLOOKUP('Données projet'!$B$11,Paramètres!$A$1:$I$89,3,0)*0.475*44/12</f>
        <v>3.2952785960504348E-11</v>
      </c>
      <c r="BS107" s="22">
        <f t="shared" si="63"/>
        <v>3.8626091980378829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-5.6843418860808015E-14</v>
      </c>
      <c r="BZ107" s="13">
        <f>BY107*VLOOKUP('Données projet'!$B$12,Paramètres!$A$1:$I$89,3,0)*VLOOKUP('Données projet'!$B$12,Paramètres!$A$1:$I$89,5,0)</f>
        <v>-5.1431925385259088E-14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366.86025470473652</v>
      </c>
      <c r="CE107" s="59">
        <f t="shared" si="94"/>
        <v>513.80016421153414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0.59467183878689334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2.6935955740967995E-11</v>
      </c>
      <c r="CN107" s="22">
        <f t="shared" si="66"/>
        <v>0.59467183881382935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-5.6843418860808015E-14</v>
      </c>
      <c r="CU107" s="17">
        <f>CT107*VLOOKUP('Données projet'!$B$13,Paramètres!$A$1:$I$89,3,0)*VLOOKUP('Données projet'!$B$13,Paramètres!$A$1:$I$89,5,0)</f>
        <v>-3.1036506698001178E-14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207.02306964567629</v>
      </c>
      <c r="CZ107" s="59">
        <f t="shared" si="96"/>
        <v>342.06887933351783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1.5256412341861605</v>
      </c>
      <c r="DG107" s="21">
        <f>EXP(-LN(2)/25)*DG106+(1-EXP(-LN(2)/25))/(LN(2)/25)*Calculateur!DB107*Calculateur!DD107*VLOOKUP('Données projet'!$B$13,Paramètres!$A$1:$I$89,3,0)*0.475*44/12</f>
        <v>5.0017292550640446</v>
      </c>
      <c r="DH107" s="21">
        <f>EXP(-LN(2)/2)*DH106+(1-EXP(-LN(2)/2))/(LN(2)/2)*DB107*DE107*VLOOKUP('Données projet'!$B$13,Paramètres!$A$1:$I$89,3,0)*0.475*44/12</f>
        <v>9.6581442615576383E-11</v>
      </c>
      <c r="DI107" s="22">
        <f t="shared" si="69"/>
        <v>6.5273704893467865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7">
        <f t="shared" si="56"/>
        <v>256.66666666666669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-1.1368683772161603E-13</v>
      </c>
      <c r="O108" s="13">
        <f>N108*VLOOKUP('Données projet'!$B$9,Paramètres!$A$1:$I$89,3,0)*VLOOKUP('Données projet'!$B$9,Paramètres!$A$1:$I$89,5,0)</f>
        <v>-5.3205440053716299E-14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319.22903094674564</v>
      </c>
      <c r="T108" s="59">
        <f t="shared" si="88"/>
        <v>254.58690973142848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2.0551248387455918</v>
      </c>
      <c r="AA108" s="21">
        <f>EXP(-LN(2)/25)*AA107+(1-EXP(-LN(2)/25))/(LN(2)/25)*Calculateur!V108*Calculateur!X108*VLOOKUP('Données projet'!$B$9,Paramètres!$A$1:$I$89,3,0)*0.475*44/12</f>
        <v>1.3939150270862422</v>
      </c>
      <c r="AB108" s="21">
        <f>EXP(-LN(2)/2)*AB107+(1-EXP(-LN(2)/2))/(LN(2)/2)*V108*Y108*VLOOKUP('Données projet'!$B$9,Paramètres!$A$1:$I$89,3,0)*0.475*44/12</f>
        <v>5.6815560306159313E-11</v>
      </c>
      <c r="AC108" s="22">
        <f t="shared" si="57"/>
        <v>3.4490398658886492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1.9895196601282805E-13</v>
      </c>
      <c r="AJ108" s="13">
        <f>AI108*VLOOKUP('Données projet'!$B$10,Paramètres!$A$1:$I$89,3,0)*VLOOKUP('Données projet'!$B$10,Paramètres!$A$1:$I$89,5,0)</f>
        <v>1.738044375088066E-13</v>
      </c>
      <c r="AK108" s="13">
        <f t="shared" si="89"/>
        <v>2.4483293633950478E-12</v>
      </c>
      <c r="AL108" s="20">
        <f t="shared" si="58"/>
        <v>4.566883036574213E-12</v>
      </c>
      <c r="AM108" s="59">
        <f t="shared" si="59"/>
        <v>293.33333333333786</v>
      </c>
      <c r="AN108" s="59">
        <f ca="1">AVERAGE(OFFSET($AM$3,0,0,'Données projet'!$E$10+1,1))-AVERAGE(OFFSET($H$3,0,0,'Données projet'!$E$10+1,1))</f>
        <v>321.23599968992932</v>
      </c>
      <c r="AO108" s="59">
        <f t="shared" si="90"/>
        <v>388.05195847800502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1.5338673326683023</v>
      </c>
      <c r="AV108" s="21">
        <f>EXP(-LN(2)/25)*AV107+(1-EXP(-LN(2)/25))/(LN(2)/25)*Calculateur!AQ108*Calculateur!AS108*VLOOKUP('Données projet'!$B$10,Paramètres!$A$1:$I$89,3,0)*0.475*44/12</f>
        <v>1.9127580380252569</v>
      </c>
      <c r="AW108" s="21">
        <f>EXP(-LN(2)/2)*AW107+(1-EXP(-LN(2)/2))/(LN(2)/2)*AQ108*AT108*VLOOKUP('Données projet'!$B$10,Paramètres!$A$1:$I$89,3,0)*0.475*44/12</f>
        <v>8.7058057179580372E-11</v>
      </c>
      <c r="AX108" s="21">
        <f t="shared" si="60"/>
        <v>3.4466253707806174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1.1368683772161603E-13</v>
      </c>
      <c r="BE108" s="13">
        <f>BD108*VLOOKUP('Données projet'!$B$11,Paramètres!$A$1:$I$89,3,0)*VLOOKUP('Données projet'!$B$11,Paramètres!$A$1:$I$89,5,0)</f>
        <v>6.7984728957526396E-14</v>
      </c>
      <c r="BF108" s="13">
        <f t="shared" si="91"/>
        <v>1.0682447123141398E-12</v>
      </c>
      <c r="BG108" s="20">
        <f t="shared" si="61"/>
        <v>1.978932943548152E-12</v>
      </c>
      <c r="BH108" s="59">
        <f t="shared" si="62"/>
        <v>293.3333333333353</v>
      </c>
      <c r="BI108" s="59">
        <f ca="1">AVERAGE(OFFSET($BH$3,0,0,'Données projet'!$E$11+1,1))-AVERAGE(OFFSET($H$3,0,0,'Données projet'!$E$11+1,1))</f>
        <v>258.31845364515124</v>
      </c>
      <c r="BJ108" s="59">
        <f t="shared" si="92"/>
        <v>280.26155987300996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2.5991076047378714</v>
      </c>
      <c r="BQ108" s="21">
        <f>EXP(-LN(2)/25)*BQ107+(1-EXP(-LN(2)/25))/(LN(2)/25)*Calculateur!BL108*Calculateur!BN108*VLOOKUP('Données projet'!$B$11,Paramètres!$A$1:$I$89,3,0)*0.475*44/12</f>
        <v>1.1783863096694933</v>
      </c>
      <c r="BR108" s="21">
        <f>EXP(-LN(2)/2)*BR107+(1-EXP(-LN(2)/2))/(LN(2)/2)*BL108*BO108*VLOOKUP('Données projet'!$B$11,Paramètres!$A$1:$I$89,3,0)*0.475*44/12</f>
        <v>2.3301138411661483E-11</v>
      </c>
      <c r="BS108" s="22">
        <f t="shared" si="63"/>
        <v>3.7774939144306656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-5.6843418860808015E-14</v>
      </c>
      <c r="BZ108" s="13">
        <f>BY108*VLOOKUP('Données projet'!$B$12,Paramètres!$A$1:$I$89,3,0)*VLOOKUP('Données projet'!$B$12,Paramètres!$A$1:$I$89,5,0)</f>
        <v>-5.1431925385259088E-14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366.86025470473652</v>
      </c>
      <c r="CE108" s="59">
        <f t="shared" si="94"/>
        <v>513.80016421153414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0.58301068674228895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1.9046596962179184E-11</v>
      </c>
      <c r="CN108" s="22">
        <f t="shared" si="66"/>
        <v>0.58301068676133549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-5.6843418860808015E-14</v>
      </c>
      <c r="CU108" s="17">
        <f>CT108*VLOOKUP('Données projet'!$B$13,Paramètres!$A$1:$I$89,3,0)*VLOOKUP('Données projet'!$B$13,Paramètres!$A$1:$I$89,5,0)</f>
        <v>-3.1036506698001178E-14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207.02306964567629</v>
      </c>
      <c r="CZ108" s="59">
        <f t="shared" si="96"/>
        <v>342.06887933351783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1.4957243401330387</v>
      </c>
      <c r="DG108" s="21">
        <f>EXP(-LN(2)/25)*DG107+(1-EXP(-LN(2)/25))/(LN(2)/25)*Calculateur!DB108*Calculateur!DD108*VLOOKUP('Données projet'!$B$13,Paramètres!$A$1:$I$89,3,0)*0.475*44/12</f>
        <v>4.8649567055548086</v>
      </c>
      <c r="DH108" s="21">
        <f>EXP(-LN(2)/2)*DH107+(1-EXP(-LN(2)/2))/(LN(2)/2)*DB108*DE108*VLOOKUP('Données projet'!$B$13,Paramètres!$A$1:$I$89,3,0)*0.475*44/12</f>
        <v>6.8293393010253464E-11</v>
      </c>
      <c r="DI108" s="22">
        <f t="shared" si="69"/>
        <v>6.3606810457561416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7">
        <f t="shared" si="56"/>
        <v>256.66666666666669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-1.1368683772161603E-13</v>
      </c>
      <c r="O109" s="13">
        <f>N109*VLOOKUP('Données projet'!$B$9,Paramètres!$A$1:$I$89,3,0)*VLOOKUP('Données projet'!$B$9,Paramètres!$A$1:$I$89,5,0)</f>
        <v>-5.3205440053716299E-14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319.22903094674564</v>
      </c>
      <c r="T109" s="59">
        <f t="shared" si="88"/>
        <v>254.58690973142848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2.0148250941601695</v>
      </c>
      <c r="AA109" s="21">
        <f>EXP(-LN(2)/25)*AA108+(1-EXP(-LN(2)/25))/(LN(2)/25)*Calculateur!V109*Calculateur!X109*VLOOKUP('Données projet'!$B$9,Paramètres!$A$1:$I$89,3,0)*0.475*44/12</f>
        <v>1.3557983473677635</v>
      </c>
      <c r="AB109" s="21">
        <f>EXP(-LN(2)/2)*AB108+(1-EXP(-LN(2)/2))/(LN(2)/2)*V109*Y109*VLOOKUP('Données projet'!$B$9,Paramètres!$A$1:$I$89,3,0)*0.475*44/12</f>
        <v>4.0174667969398494E-11</v>
      </c>
      <c r="AC109" s="22">
        <f t="shared" si="57"/>
        <v>3.3706234415681076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1.9895196601282805E-13</v>
      </c>
      <c r="AJ109" s="13">
        <f>AI109*VLOOKUP('Données projet'!$B$10,Paramètres!$A$1:$I$89,3,0)*VLOOKUP('Données projet'!$B$10,Paramètres!$A$1:$I$89,5,0)</f>
        <v>1.738044375088066E-13</v>
      </c>
      <c r="AK109" s="13">
        <f t="shared" si="89"/>
        <v>2.4483293633950478E-12</v>
      </c>
      <c r="AL109" s="20">
        <f t="shared" si="58"/>
        <v>4.566883036574213E-12</v>
      </c>
      <c r="AM109" s="59">
        <f t="shared" si="59"/>
        <v>293.33333333333786</v>
      </c>
      <c r="AN109" s="59">
        <f ca="1">AVERAGE(OFFSET($AM$3,0,0,'Données projet'!$E$10+1,1))-AVERAGE(OFFSET($H$3,0,0,'Données projet'!$E$10+1,1))</f>
        <v>321.23599968992932</v>
      </c>
      <c r="AO109" s="59">
        <f t="shared" si="90"/>
        <v>388.05195847800502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1.5037891298413704</v>
      </c>
      <c r="AV109" s="21">
        <f>EXP(-LN(2)/25)*AV108+(1-EXP(-LN(2)/25))/(LN(2)/25)*Calculateur!AQ109*Calculateur!AS109*VLOOKUP('Données projet'!$B$10,Paramètres!$A$1:$I$89,3,0)*0.475*44/12</f>
        <v>1.8604535688878827</v>
      </c>
      <c r="AW109" s="21">
        <f>EXP(-LN(2)/2)*AW108+(1-EXP(-LN(2)/2))/(LN(2)/2)*AQ109*AT109*VLOOKUP('Données projet'!$B$10,Paramètres!$A$1:$I$89,3,0)*0.475*44/12</f>
        <v>6.1559342588607481E-11</v>
      </c>
      <c r="AX109" s="21">
        <f t="shared" si="60"/>
        <v>3.3642426987908123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1.1368683772161603E-13</v>
      </c>
      <c r="BE109" s="13">
        <f>BD109*VLOOKUP('Données projet'!$B$11,Paramètres!$A$1:$I$89,3,0)*VLOOKUP('Données projet'!$B$11,Paramètres!$A$1:$I$89,5,0)</f>
        <v>6.7984728957526396E-14</v>
      </c>
      <c r="BF109" s="13">
        <f t="shared" si="91"/>
        <v>1.0682447123141398E-12</v>
      </c>
      <c r="BG109" s="20">
        <f t="shared" si="61"/>
        <v>1.978932943548152E-12</v>
      </c>
      <c r="BH109" s="59">
        <f t="shared" si="62"/>
        <v>293.3333333333353</v>
      </c>
      <c r="BI109" s="59">
        <f ca="1">AVERAGE(OFFSET($BH$3,0,0,'Données projet'!$E$11+1,1))-AVERAGE(OFFSET($H$3,0,0,'Données projet'!$E$11+1,1))</f>
        <v>258.31845364515124</v>
      </c>
      <c r="BJ109" s="59">
        <f t="shared" si="92"/>
        <v>280.26155987300996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2.5481406899080654</v>
      </c>
      <c r="BQ109" s="21">
        <f>EXP(-LN(2)/25)*BQ108+(1-EXP(-LN(2)/25))/(LN(2)/25)*Calculateur!BL109*Calculateur!BN109*VLOOKUP('Données projet'!$B$11,Paramètres!$A$1:$I$89,3,0)*0.475*44/12</f>
        <v>1.1461632740629382</v>
      </c>
      <c r="BR109" s="21">
        <f>EXP(-LN(2)/2)*BR108+(1-EXP(-LN(2)/2))/(LN(2)/2)*BL109*BO109*VLOOKUP('Données projet'!$B$11,Paramètres!$A$1:$I$89,3,0)*0.475*44/12</f>
        <v>1.6476392980252174E-11</v>
      </c>
      <c r="BS109" s="22">
        <f t="shared" si="63"/>
        <v>3.6943039639874802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-5.6843418860808015E-14</v>
      </c>
      <c r="BZ109" s="13">
        <f>BY109*VLOOKUP('Données projet'!$B$12,Paramètres!$A$1:$I$89,3,0)*VLOOKUP('Données projet'!$B$12,Paramètres!$A$1:$I$89,5,0)</f>
        <v>-5.1431925385259088E-14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366.86025470473652</v>
      </c>
      <c r="CE109" s="59">
        <f t="shared" si="94"/>
        <v>513.80016421153414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0.57157820277667881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1.3467977870483997E-11</v>
      </c>
      <c r="CN109" s="22">
        <f t="shared" si="66"/>
        <v>0.57157820279014682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-5.6843418860808015E-14</v>
      </c>
      <c r="CU109" s="17">
        <f>CT109*VLOOKUP('Données projet'!$B$13,Paramètres!$A$1:$I$89,3,0)*VLOOKUP('Données projet'!$B$13,Paramètres!$A$1:$I$89,5,0)</f>
        <v>-3.1036506698001178E-14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207.02306964567629</v>
      </c>
      <c r="CZ109" s="59">
        <f t="shared" si="96"/>
        <v>342.06887933351783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1.4663940981247949</v>
      </c>
      <c r="DG109" s="21">
        <f>EXP(-LN(2)/25)*DG108+(1-EXP(-LN(2)/25))/(LN(2)/25)*Calculateur!DB109*Calculateur!DD109*VLOOKUP('Données projet'!$B$13,Paramètres!$A$1:$I$89,3,0)*0.475*44/12</f>
        <v>4.7319242086044584</v>
      </c>
      <c r="DH109" s="21">
        <f>EXP(-LN(2)/2)*DH108+(1-EXP(-LN(2)/2))/(LN(2)/2)*DB109*DE109*VLOOKUP('Données projet'!$B$13,Paramètres!$A$1:$I$89,3,0)*0.475*44/12</f>
        <v>4.8290721307788191E-11</v>
      </c>
      <c r="DI109" s="22">
        <f t="shared" si="69"/>
        <v>6.1983183067775443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7">
        <f t="shared" si="56"/>
        <v>256.66666666666669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-1.1368683772161603E-13</v>
      </c>
      <c r="O110" s="13">
        <f>N110*VLOOKUP('Données projet'!$B$9,Paramètres!$A$1:$I$89,3,0)*VLOOKUP('Données projet'!$B$9,Paramètres!$A$1:$I$89,5,0)</f>
        <v>-5.3205440053716299E-14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319.22903094674564</v>
      </c>
      <c r="T110" s="59">
        <f t="shared" si="88"/>
        <v>254.58690973142848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1.97531560298565</v>
      </c>
      <c r="AA110" s="21">
        <f>EXP(-LN(2)/25)*AA109+(1-EXP(-LN(2)/25))/(LN(2)/25)*Calculateur!V110*Calculateur!X110*VLOOKUP('Données projet'!$B$9,Paramètres!$A$1:$I$89,3,0)*0.475*44/12</f>
        <v>1.3187239702606557</v>
      </c>
      <c r="AB110" s="21">
        <f>EXP(-LN(2)/2)*AB109+(1-EXP(-LN(2)/2))/(LN(2)/2)*V110*Y110*VLOOKUP('Données projet'!$B$9,Paramètres!$A$1:$I$89,3,0)*0.475*44/12</f>
        <v>2.8407780153079663E-11</v>
      </c>
      <c r="AC110" s="22">
        <f t="shared" si="57"/>
        <v>3.2940395732747136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1.9895196601282805E-13</v>
      </c>
      <c r="AJ110" s="13">
        <f>AI110*VLOOKUP('Données projet'!$B$10,Paramètres!$A$1:$I$89,3,0)*VLOOKUP('Données projet'!$B$10,Paramètres!$A$1:$I$89,5,0)</f>
        <v>1.738044375088066E-13</v>
      </c>
      <c r="AK110" s="13">
        <f t="shared" si="89"/>
        <v>2.4483293633950478E-12</v>
      </c>
      <c r="AL110" s="20">
        <f t="shared" si="58"/>
        <v>4.566883036574213E-12</v>
      </c>
      <c r="AM110" s="59">
        <f t="shared" si="59"/>
        <v>293.33333333333786</v>
      </c>
      <c r="AN110" s="59">
        <f ca="1">AVERAGE(OFFSET($AM$3,0,0,'Données projet'!$E$10+1,1))-AVERAGE(OFFSET($H$3,0,0,'Données projet'!$E$10+1,1))</f>
        <v>321.23599968992932</v>
      </c>
      <c r="AO110" s="59">
        <f t="shared" si="90"/>
        <v>388.05195847800502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1.4743007422259822</v>
      </c>
      <c r="AV110" s="21">
        <f>EXP(-LN(2)/25)*AV109+(1-EXP(-LN(2)/25))/(LN(2)/25)*Calculateur!AQ110*Calculateur!AS110*VLOOKUP('Données projet'!$B$10,Paramètres!$A$1:$I$89,3,0)*0.475*44/12</f>
        <v>1.8095793682096426</v>
      </c>
      <c r="AW110" s="21">
        <f>EXP(-LN(2)/2)*AW109+(1-EXP(-LN(2)/2))/(LN(2)/2)*AQ110*AT110*VLOOKUP('Données projet'!$B$10,Paramètres!$A$1:$I$89,3,0)*0.475*44/12</f>
        <v>4.3529028589790186E-11</v>
      </c>
      <c r="AX110" s="21">
        <f t="shared" si="60"/>
        <v>3.2838801104791542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1.1368683772161603E-13</v>
      </c>
      <c r="BE110" s="13">
        <f>BD110*VLOOKUP('Données projet'!$B$11,Paramètres!$A$1:$I$89,3,0)*VLOOKUP('Données projet'!$B$11,Paramètres!$A$1:$I$89,5,0)</f>
        <v>6.7984728957526396E-14</v>
      </c>
      <c r="BF110" s="13">
        <f t="shared" si="91"/>
        <v>1.0682447123141398E-12</v>
      </c>
      <c r="BG110" s="20">
        <f t="shared" si="61"/>
        <v>1.978932943548152E-12</v>
      </c>
      <c r="BH110" s="59">
        <f t="shared" si="62"/>
        <v>293.3333333333353</v>
      </c>
      <c r="BI110" s="59">
        <f ca="1">AVERAGE(OFFSET($BH$3,0,0,'Données projet'!$E$11+1,1))-AVERAGE(OFFSET($H$3,0,0,'Données projet'!$E$11+1,1))</f>
        <v>258.31845364515124</v>
      </c>
      <c r="BJ110" s="59">
        <f t="shared" si="92"/>
        <v>280.26155987300996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2.4981732051913235</v>
      </c>
      <c r="BQ110" s="21">
        <f>EXP(-LN(2)/25)*BQ109+(1-EXP(-LN(2)/25))/(LN(2)/25)*Calculateur!BL110*Calculateur!BN110*VLOOKUP('Données projet'!$B$11,Paramètres!$A$1:$I$89,3,0)*0.475*44/12</f>
        <v>1.1148213790595802</v>
      </c>
      <c r="BR110" s="21">
        <f>EXP(-LN(2)/2)*BR109+(1-EXP(-LN(2)/2))/(LN(2)/2)*BL110*BO110*VLOOKUP('Données projet'!$B$11,Paramètres!$A$1:$I$89,3,0)*0.475*44/12</f>
        <v>1.1650569205830742E-11</v>
      </c>
      <c r="BS110" s="22">
        <f t="shared" si="63"/>
        <v>3.6129945842625544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-5.6843418860808015E-14</v>
      </c>
      <c r="BZ110" s="13">
        <f>BY110*VLOOKUP('Données projet'!$B$12,Paramètres!$A$1:$I$89,3,0)*VLOOKUP('Données projet'!$B$12,Paramètres!$A$1:$I$89,5,0)</f>
        <v>-5.1431925385259088E-14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366.86025470473652</v>
      </c>
      <c r="CE110" s="59">
        <f t="shared" si="94"/>
        <v>513.80016421153414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0.56036990284850763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9.5232984810895921E-12</v>
      </c>
      <c r="CN110" s="22">
        <f t="shared" si="66"/>
        <v>0.5603699028580309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-5.6843418860808015E-14</v>
      </c>
      <c r="CU110" s="17">
        <f>CT110*VLOOKUP('Données projet'!$B$13,Paramètres!$A$1:$I$89,3,0)*VLOOKUP('Données projet'!$B$13,Paramètres!$A$1:$I$89,5,0)</f>
        <v>-3.1036506698001178E-14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207.02306964567629</v>
      </c>
      <c r="CZ110" s="59">
        <f t="shared" si="96"/>
        <v>342.06887933351783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1.4376390042726517</v>
      </c>
      <c r="DG110" s="21">
        <f>EXP(-LN(2)/25)*DG109+(1-EXP(-LN(2)/25))/(LN(2)/25)*Calculateur!DB110*Calculateur!DD110*VLOOKUP('Données projet'!$B$13,Paramètres!$A$1:$I$89,3,0)*0.475*44/12</f>
        <v>4.60252949227909</v>
      </c>
      <c r="DH110" s="21">
        <f>EXP(-LN(2)/2)*DH109+(1-EXP(-LN(2)/2))/(LN(2)/2)*DB110*DE110*VLOOKUP('Données projet'!$B$13,Paramètres!$A$1:$I$89,3,0)*0.475*44/12</f>
        <v>3.4146696505126732E-11</v>
      </c>
      <c r="DI110" s="22">
        <f t="shared" si="69"/>
        <v>6.0401684965858884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7">
        <f t="shared" si="56"/>
        <v>256.66666666666669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-1.1368683772161603E-13</v>
      </c>
      <c r="O111" s="13">
        <f>N111*VLOOKUP('Données projet'!$B$9,Paramètres!$A$1:$I$89,3,0)*VLOOKUP('Données projet'!$B$9,Paramètres!$A$1:$I$89,5,0)</f>
        <v>-5.3205440053716299E-14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319.22903094674564</v>
      </c>
      <c r="T111" s="59">
        <f t="shared" si="88"/>
        <v>254.58690973142848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1.9365808688346529</v>
      </c>
      <c r="AA111" s="21">
        <f>EXP(-LN(2)/25)*AA110+(1-EXP(-LN(2)/25))/(LN(2)/25)*Calculateur!V111*Calculateur!X111*VLOOKUP('Données projet'!$B$9,Paramètres!$A$1:$I$89,3,0)*0.475*44/12</f>
        <v>1.2826633939451983</v>
      </c>
      <c r="AB111" s="21">
        <f>EXP(-LN(2)/2)*AB110+(1-EXP(-LN(2)/2))/(LN(2)/2)*V111*Y111*VLOOKUP('Données projet'!$B$9,Paramètres!$A$1:$I$89,3,0)*0.475*44/12</f>
        <v>2.008733398469925E-11</v>
      </c>
      <c r="AC111" s="22">
        <f t="shared" si="57"/>
        <v>3.2192442627999385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1.9895196601282805E-13</v>
      </c>
      <c r="AJ111" s="13">
        <f>AI111*VLOOKUP('Données projet'!$B$10,Paramètres!$A$1:$I$89,3,0)*VLOOKUP('Données projet'!$B$10,Paramètres!$A$1:$I$89,5,0)</f>
        <v>1.738044375088066E-13</v>
      </c>
      <c r="AK111" s="13">
        <f t="shared" si="89"/>
        <v>2.4483293633950478E-12</v>
      </c>
      <c r="AL111" s="20">
        <f t="shared" si="58"/>
        <v>4.566883036574213E-12</v>
      </c>
      <c r="AM111" s="59">
        <f t="shared" si="59"/>
        <v>293.33333333333786</v>
      </c>
      <c r="AN111" s="59">
        <f ca="1">AVERAGE(OFFSET($AM$3,0,0,'Données projet'!$E$10+1,1))-AVERAGE(OFFSET($H$3,0,0,'Données projet'!$E$10+1,1))</f>
        <v>321.23599968992932</v>
      </c>
      <c r="AO111" s="59">
        <f t="shared" si="90"/>
        <v>388.05195847800502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1.4453906039055913</v>
      </c>
      <c r="AV111" s="21">
        <f>EXP(-LN(2)/25)*AV110+(1-EXP(-LN(2)/25))/(LN(2)/25)*Calculateur!AQ111*Calculateur!AS111*VLOOKUP('Données projet'!$B$10,Paramètres!$A$1:$I$89,3,0)*0.475*44/12</f>
        <v>1.7600963252243067</v>
      </c>
      <c r="AW111" s="21">
        <f>EXP(-LN(2)/2)*AW110+(1-EXP(-LN(2)/2))/(LN(2)/2)*AQ111*AT111*VLOOKUP('Données projet'!$B$10,Paramètres!$A$1:$I$89,3,0)*0.475*44/12</f>
        <v>3.077967129430374E-11</v>
      </c>
      <c r="AX111" s="21">
        <f t="shared" si="60"/>
        <v>3.2054869291606778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1.1368683772161603E-13</v>
      </c>
      <c r="BE111" s="13">
        <f>BD111*VLOOKUP('Données projet'!$B$11,Paramètres!$A$1:$I$89,3,0)*VLOOKUP('Données projet'!$B$11,Paramètres!$A$1:$I$89,5,0)</f>
        <v>6.7984728957526396E-14</v>
      </c>
      <c r="BF111" s="13">
        <f t="shared" si="91"/>
        <v>1.0682447123141398E-12</v>
      </c>
      <c r="BG111" s="20">
        <f t="shared" si="61"/>
        <v>1.978932943548152E-12</v>
      </c>
      <c r="BH111" s="59">
        <f t="shared" si="62"/>
        <v>293.3333333333353</v>
      </c>
      <c r="BI111" s="59">
        <f ca="1">AVERAGE(OFFSET($BH$3,0,0,'Données projet'!$E$11+1,1))-AVERAGE(OFFSET($H$3,0,0,'Données projet'!$E$11+1,1))</f>
        <v>258.31845364515124</v>
      </c>
      <c r="BJ111" s="59">
        <f t="shared" si="92"/>
        <v>280.26155987300996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2.4491855523727204</v>
      </c>
      <c r="BQ111" s="21">
        <f>EXP(-LN(2)/25)*BQ110+(1-EXP(-LN(2)/25))/(LN(2)/25)*Calculateur!BL111*Calculateur!BN111*VLOOKUP('Données projet'!$B$11,Paramètres!$A$1:$I$89,3,0)*0.475*44/12</f>
        <v>1.0843365298232877</v>
      </c>
      <c r="BR111" s="21">
        <f>EXP(-LN(2)/2)*BR110+(1-EXP(-LN(2)/2))/(LN(2)/2)*BL111*BO111*VLOOKUP('Données projet'!$B$11,Paramètres!$A$1:$I$89,3,0)*0.475*44/12</f>
        <v>8.238196490126087E-12</v>
      </c>
      <c r="BS111" s="22">
        <f t="shared" si="63"/>
        <v>3.5335220822042461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-5.6843418860808015E-14</v>
      </c>
      <c r="BZ111" s="13">
        <f>BY111*VLOOKUP('Données projet'!$B$12,Paramètres!$A$1:$I$89,3,0)*VLOOKUP('Données projet'!$B$12,Paramètres!$A$1:$I$89,5,0)</f>
        <v>-5.1431925385259088E-14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366.86025470473652</v>
      </c>
      <c r="CE111" s="59">
        <f t="shared" si="94"/>
        <v>513.80016421153414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0.54938139084553994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6.7339889352419987E-12</v>
      </c>
      <c r="CN111" s="22">
        <f t="shared" si="66"/>
        <v>0.54938139085227389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-5.6843418860808015E-14</v>
      </c>
      <c r="CU111" s="17">
        <f>CT111*VLOOKUP('Données projet'!$B$13,Paramètres!$A$1:$I$89,3,0)*VLOOKUP('Données projet'!$B$13,Paramètres!$A$1:$I$89,5,0)</f>
        <v>-3.1036506698001178E-14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207.02306964567629</v>
      </c>
      <c r="CZ111" s="59">
        <f t="shared" si="96"/>
        <v>342.06887933351783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1.4094477802720735</v>
      </c>
      <c r="DG111" s="21">
        <f>EXP(-LN(2)/25)*DG110+(1-EXP(-LN(2)/25))/(LN(2)/25)*Calculateur!DB111*Calculateur!DD111*VLOOKUP('Données projet'!$B$13,Paramètres!$A$1:$I$89,3,0)*0.475*44/12</f>
        <v>4.4766730812762114</v>
      </c>
      <c r="DH111" s="21">
        <f>EXP(-LN(2)/2)*DH110+(1-EXP(-LN(2)/2))/(LN(2)/2)*DB111*DE111*VLOOKUP('Données projet'!$B$13,Paramètres!$A$1:$I$89,3,0)*0.475*44/12</f>
        <v>2.4145360653894096E-11</v>
      </c>
      <c r="DI111" s="22">
        <f t="shared" si="69"/>
        <v>5.8861208615724303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7">
        <f t="shared" si="56"/>
        <v>256.66666666666669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-1.1368683772161603E-13</v>
      </c>
      <c r="O112" s="13">
        <f>N112*VLOOKUP('Données projet'!$B$9,Paramètres!$A$1:$I$89,3,0)*VLOOKUP('Données projet'!$B$9,Paramètres!$A$1:$I$89,5,0)</f>
        <v>-5.3205440053716299E-14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319.22903094674564</v>
      </c>
      <c r="T112" s="59">
        <f t="shared" si="88"/>
        <v>254.58690973142848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1.8986056991945017</v>
      </c>
      <c r="AA112" s="21">
        <f>EXP(-LN(2)/25)*AA111+(1-EXP(-LN(2)/25))/(LN(2)/25)*Calculateur!V112*Calculateur!X112*VLOOKUP('Données projet'!$B$9,Paramètres!$A$1:$I$89,3,0)*0.475*44/12</f>
        <v>1.2475888959854307</v>
      </c>
      <c r="AB112" s="21">
        <f>EXP(-LN(2)/2)*AB111+(1-EXP(-LN(2)/2))/(LN(2)/2)*V112*Y112*VLOOKUP('Données projet'!$B$9,Paramètres!$A$1:$I$89,3,0)*0.475*44/12</f>
        <v>1.4203890076539833E-11</v>
      </c>
      <c r="AC112" s="22">
        <f t="shared" si="57"/>
        <v>3.1461945951941361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1.9895196601282805E-13</v>
      </c>
      <c r="AJ112" s="13">
        <f>AI112*VLOOKUP('Données projet'!$B$10,Paramètres!$A$1:$I$89,3,0)*VLOOKUP('Données projet'!$B$10,Paramètres!$A$1:$I$89,5,0)</f>
        <v>1.738044375088066E-13</v>
      </c>
      <c r="AK112" s="13">
        <f t="shared" si="89"/>
        <v>2.4483293633950478E-12</v>
      </c>
      <c r="AL112" s="20">
        <f t="shared" si="58"/>
        <v>4.566883036574213E-12</v>
      </c>
      <c r="AM112" s="59">
        <f t="shared" si="59"/>
        <v>293.33333333333786</v>
      </c>
      <c r="AN112" s="59">
        <f ca="1">AVERAGE(OFFSET($AM$3,0,0,'Données projet'!$E$10+1,1))-AVERAGE(OFFSET($H$3,0,0,'Données projet'!$E$10+1,1))</f>
        <v>321.23599968992932</v>
      </c>
      <c r="AO112" s="59">
        <f t="shared" si="90"/>
        <v>388.05195847800502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1.4170473757642201</v>
      </c>
      <c r="AV112" s="21">
        <f>EXP(-LN(2)/25)*AV111+(1-EXP(-LN(2)/25))/(LN(2)/25)*Calculateur!AQ112*Calculateur!AS112*VLOOKUP('Données projet'!$B$10,Paramètres!$A$1:$I$89,3,0)*0.475*44/12</f>
        <v>1.7119663986516049</v>
      </c>
      <c r="AW112" s="21">
        <f>EXP(-LN(2)/2)*AW111+(1-EXP(-LN(2)/2))/(LN(2)/2)*AQ112*AT112*VLOOKUP('Données projet'!$B$10,Paramètres!$A$1:$I$89,3,0)*0.475*44/12</f>
        <v>2.1764514294895093E-11</v>
      </c>
      <c r="AX112" s="21">
        <f t="shared" si="60"/>
        <v>3.1290137744375897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1.1368683772161603E-13</v>
      </c>
      <c r="BE112" s="13">
        <f>BD112*VLOOKUP('Données projet'!$B$11,Paramètres!$A$1:$I$89,3,0)*VLOOKUP('Données projet'!$B$11,Paramètres!$A$1:$I$89,5,0)</f>
        <v>6.7984728957526396E-14</v>
      </c>
      <c r="BF112" s="13">
        <f t="shared" si="91"/>
        <v>1.0682447123141398E-12</v>
      </c>
      <c r="BG112" s="20">
        <f t="shared" si="61"/>
        <v>1.978932943548152E-12</v>
      </c>
      <c r="BH112" s="59">
        <f t="shared" si="62"/>
        <v>293.3333333333353</v>
      </c>
      <c r="BI112" s="59">
        <f ca="1">AVERAGE(OFFSET($BH$3,0,0,'Données projet'!$E$11+1,1))-AVERAGE(OFFSET($H$3,0,0,'Données projet'!$E$11+1,1))</f>
        <v>258.31845364515124</v>
      </c>
      <c r="BJ112" s="59">
        <f t="shared" si="92"/>
        <v>280.26155987300996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2.4011585175463721</v>
      </c>
      <c r="BQ112" s="21">
        <f>EXP(-LN(2)/25)*BQ111+(1-EXP(-LN(2)/25))/(LN(2)/25)*Calculateur!BL112*Calculateur!BN112*VLOOKUP('Données projet'!$B$11,Paramètres!$A$1:$I$89,3,0)*0.475*44/12</f>
        <v>1.0546852903924899</v>
      </c>
      <c r="BR112" s="21">
        <f>EXP(-LN(2)/2)*BR111+(1-EXP(-LN(2)/2))/(LN(2)/2)*BL112*BO112*VLOOKUP('Données projet'!$B$11,Paramètres!$A$1:$I$89,3,0)*0.475*44/12</f>
        <v>5.8252846029153708E-12</v>
      </c>
      <c r="BS112" s="22">
        <f t="shared" si="63"/>
        <v>3.4558438079446874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-5.6843418860808015E-14</v>
      </c>
      <c r="BZ112" s="13">
        <f>BY112*VLOOKUP('Données projet'!$B$12,Paramètres!$A$1:$I$89,3,0)*VLOOKUP('Données projet'!$B$12,Paramètres!$A$1:$I$89,5,0)</f>
        <v>-5.1431925385259088E-14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366.86025470473652</v>
      </c>
      <c r="CE112" s="59">
        <f t="shared" si="94"/>
        <v>513.80016421153414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0.53860835686061992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4.7616492405447961E-12</v>
      </c>
      <c r="CN112" s="22">
        <f t="shared" si="66"/>
        <v>0.53860835686538155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-5.6843418860808015E-14</v>
      </c>
      <c r="CU112" s="17">
        <f>CT112*VLOOKUP('Données projet'!$B$13,Paramètres!$A$1:$I$89,3,0)*VLOOKUP('Données projet'!$B$13,Paramètres!$A$1:$I$89,5,0)</f>
        <v>-3.1036506698001178E-14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207.02306964567629</v>
      </c>
      <c r="CZ112" s="59">
        <f t="shared" si="96"/>
        <v>342.06887933351783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1.3818093689791979</v>
      </c>
      <c r="DG112" s="21">
        <f>EXP(-LN(2)/25)*DG111+(1-EXP(-LN(2)/25))/(LN(2)/25)*Calculateur!DB112*Calculateur!DD112*VLOOKUP('Données projet'!$B$13,Paramètres!$A$1:$I$89,3,0)*0.475*44/12</f>
        <v>4.3542582204507081</v>
      </c>
      <c r="DH112" s="21">
        <f>EXP(-LN(2)/2)*DH111+(1-EXP(-LN(2)/2))/(LN(2)/2)*DB112*DE112*VLOOKUP('Données projet'!$B$13,Paramètres!$A$1:$I$89,3,0)*0.475*44/12</f>
        <v>1.7073348252563366E-11</v>
      </c>
      <c r="DI112" s="22">
        <f t="shared" si="69"/>
        <v>5.7360675894469795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7">
        <f t="shared" si="56"/>
        <v>256.66666666666669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-1.1368683772161603E-13</v>
      </c>
      <c r="O113" s="13">
        <f>N113*VLOOKUP('Données projet'!$B$9,Paramètres!$A$1:$I$89,3,0)*VLOOKUP('Données projet'!$B$9,Paramètres!$A$1:$I$89,5,0)</f>
        <v>-5.3205440053716299E-14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319.22903094674564</v>
      </c>
      <c r="T113" s="59">
        <f t="shared" si="88"/>
        <v>254.58690973142848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1.8613751994684276</v>
      </c>
      <c r="AA113" s="21">
        <f>EXP(-LN(2)/25)*AA112+(1-EXP(-LN(2)/25))/(LN(2)/25)*Calculateur!V113*Calculateur!X113*VLOOKUP('Données projet'!$B$9,Paramètres!$A$1:$I$89,3,0)*0.475*44/12</f>
        <v>1.2134735120168605</v>
      </c>
      <c r="AB113" s="21">
        <f>EXP(-LN(2)/2)*AB112+(1-EXP(-LN(2)/2))/(LN(2)/2)*V113*Y113*VLOOKUP('Données projet'!$B$9,Paramètres!$A$1:$I$89,3,0)*0.475*44/12</f>
        <v>1.0043666992349627E-11</v>
      </c>
      <c r="AC113" s="22">
        <f t="shared" si="57"/>
        <v>3.0748487114953313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1.9895196601282805E-13</v>
      </c>
      <c r="AJ113" s="13">
        <f>AI113*VLOOKUP('Données projet'!$B$10,Paramètres!$A$1:$I$89,3,0)*VLOOKUP('Données projet'!$B$10,Paramètres!$A$1:$I$89,5,0)</f>
        <v>1.738044375088066E-13</v>
      </c>
      <c r="AK113" s="13">
        <f t="shared" si="89"/>
        <v>2.4483293633950478E-12</v>
      </c>
      <c r="AL113" s="20">
        <f t="shared" si="58"/>
        <v>4.566883036574213E-12</v>
      </c>
      <c r="AM113" s="59">
        <f t="shared" si="59"/>
        <v>293.33333333333786</v>
      </c>
      <c r="AN113" s="59">
        <f ca="1">AVERAGE(OFFSET($AM$3,0,0,'Données projet'!$E$10+1,1))-AVERAGE(OFFSET($H$3,0,0,'Données projet'!$E$10+1,1))</f>
        <v>321.23599968992932</v>
      </c>
      <c r="AO113" s="59">
        <f t="shared" si="90"/>
        <v>388.05195847800502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1.3892599410390392</v>
      </c>
      <c r="AV113" s="21">
        <f>EXP(-LN(2)/25)*AV112+(1-EXP(-LN(2)/25))/(LN(2)/25)*Calculateur!AQ113*Calculateur!AS113*VLOOKUP('Données projet'!$B$10,Paramètres!$A$1:$I$89,3,0)*0.475*44/12</f>
        <v>1.6651525874520767</v>
      </c>
      <c r="AW113" s="21">
        <f>EXP(-LN(2)/2)*AW112+(1-EXP(-LN(2)/2))/(LN(2)/2)*AQ113*AT113*VLOOKUP('Données projet'!$B$10,Paramètres!$A$1:$I$89,3,0)*0.475*44/12</f>
        <v>1.538983564715187E-11</v>
      </c>
      <c r="AX113" s="21">
        <f t="shared" si="60"/>
        <v>3.0544125285065058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1.1368683772161603E-13</v>
      </c>
      <c r="BE113" s="13">
        <f>BD113*VLOOKUP('Données projet'!$B$11,Paramètres!$A$1:$I$89,3,0)*VLOOKUP('Données projet'!$B$11,Paramètres!$A$1:$I$89,5,0)</f>
        <v>6.7984728957526396E-14</v>
      </c>
      <c r="BF113" s="13">
        <f t="shared" si="91"/>
        <v>1.0682447123141398E-12</v>
      </c>
      <c r="BG113" s="20">
        <f t="shared" si="61"/>
        <v>1.978932943548152E-12</v>
      </c>
      <c r="BH113" s="59">
        <f t="shared" si="62"/>
        <v>293.3333333333353</v>
      </c>
      <c r="BI113" s="59">
        <f ca="1">AVERAGE(OFFSET($BH$3,0,0,'Données projet'!$E$11+1,1))-AVERAGE(OFFSET($H$3,0,0,'Données projet'!$E$11+1,1))</f>
        <v>258.31845364515124</v>
      </c>
      <c r="BJ113" s="59">
        <f t="shared" si="92"/>
        <v>280.26155987300996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2.35407326357937</v>
      </c>
      <c r="BQ113" s="21">
        <f>EXP(-LN(2)/25)*BQ112+(1-EXP(-LN(2)/25))/(LN(2)/25)*Calculateur!BL113*Calculateur!BN113*VLOOKUP('Données projet'!$B$11,Paramètres!$A$1:$I$89,3,0)*0.475*44/12</f>
        <v>1.0258448656632184</v>
      </c>
      <c r="BR113" s="21">
        <f>EXP(-LN(2)/2)*BR112+(1-EXP(-LN(2)/2))/(LN(2)/2)*BL113*BO113*VLOOKUP('Données projet'!$B$11,Paramètres!$A$1:$I$89,3,0)*0.475*44/12</f>
        <v>4.1190982450630435E-12</v>
      </c>
      <c r="BS113" s="22">
        <f t="shared" si="63"/>
        <v>3.3799181292467071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-5.6843418860808015E-14</v>
      </c>
      <c r="BZ113" s="13">
        <f>BY113*VLOOKUP('Données projet'!$B$12,Paramètres!$A$1:$I$89,3,0)*VLOOKUP('Données projet'!$B$12,Paramètres!$A$1:$I$89,5,0)</f>
        <v>-5.1431925385259088E-14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366.86025470473652</v>
      </c>
      <c r="CE113" s="59">
        <f t="shared" si="94"/>
        <v>513.80016421153414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0.52804657550124234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3.3669944676209994E-12</v>
      </c>
      <c r="CN113" s="22">
        <f t="shared" si="66"/>
        <v>0.52804657550460932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-5.6843418860808015E-14</v>
      </c>
      <c r="CU113" s="17">
        <f>CT113*VLOOKUP('Données projet'!$B$13,Paramètres!$A$1:$I$89,3,0)*VLOOKUP('Données projet'!$B$13,Paramètres!$A$1:$I$89,5,0)</f>
        <v>-3.1036506698001178E-14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207.02306964567629</v>
      </c>
      <c r="CZ113" s="59">
        <f t="shared" si="96"/>
        <v>342.06887933351783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1.3547129300740093</v>
      </c>
      <c r="DG113" s="21">
        <f>EXP(-LN(2)/25)*DG112+(1-EXP(-LN(2)/25))/(LN(2)/25)*Calculateur!DB113*Calculateur!DD113*VLOOKUP('Données projet'!$B$13,Paramètres!$A$1:$I$89,3,0)*0.475*44/12</f>
        <v>4.2351908004319956</v>
      </c>
      <c r="DH113" s="21">
        <f>EXP(-LN(2)/2)*DH112+(1-EXP(-LN(2)/2))/(LN(2)/2)*DB113*DE113*VLOOKUP('Données projet'!$B$13,Paramètres!$A$1:$I$89,3,0)*0.475*44/12</f>
        <v>1.2072680326947048E-11</v>
      </c>
      <c r="DI113" s="22">
        <f t="shared" si="69"/>
        <v>5.5899037305180777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7">
        <f t="shared" si="56"/>
        <v>256.66666666666669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-1.1368683772161603E-13</v>
      </c>
      <c r="O114" s="13">
        <f>N114*VLOOKUP('Données projet'!$B$9,Paramètres!$A$1:$I$89,3,0)*VLOOKUP('Données projet'!$B$9,Paramètres!$A$1:$I$89,5,0)</f>
        <v>-5.3205440053716299E-14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319.22903094674564</v>
      </c>
      <c r="T114" s="59">
        <f t="shared" si="88"/>
        <v>254.58690973142848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1.8248747671336192</v>
      </c>
      <c r="AA114" s="21">
        <f>EXP(-LN(2)/25)*AA113+(1-EXP(-LN(2)/25))/(LN(2)/25)*Calculateur!V114*Calculateur!X114*VLOOKUP('Données projet'!$B$9,Paramètres!$A$1:$I$89,3,0)*0.475*44/12</f>
        <v>1.1802910150169608</v>
      </c>
      <c r="AB114" s="21">
        <f>EXP(-LN(2)/2)*AB113+(1-EXP(-LN(2)/2))/(LN(2)/2)*V114*Y114*VLOOKUP('Données projet'!$B$9,Paramètres!$A$1:$I$89,3,0)*0.475*44/12</f>
        <v>7.1019450382699182E-12</v>
      </c>
      <c r="AC114" s="22">
        <f t="shared" si="57"/>
        <v>3.0051657821576816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1.9895196601282805E-13</v>
      </c>
      <c r="AJ114" s="13">
        <f>AI114*VLOOKUP('Données projet'!$B$10,Paramètres!$A$1:$I$89,3,0)*VLOOKUP('Données projet'!$B$10,Paramètres!$A$1:$I$89,5,0)</f>
        <v>1.738044375088066E-13</v>
      </c>
      <c r="AK114" s="13">
        <f t="shared" si="89"/>
        <v>2.4483293633950478E-12</v>
      </c>
      <c r="AL114" s="20">
        <f t="shared" si="58"/>
        <v>4.566883036574213E-12</v>
      </c>
      <c r="AM114" s="59">
        <f t="shared" si="59"/>
        <v>293.33333333333786</v>
      </c>
      <c r="AN114" s="59">
        <f ca="1">AVERAGE(OFFSET($AM$3,0,0,'Données projet'!$E$10+1,1))-AVERAGE(OFFSET($H$3,0,0,'Données projet'!$E$10+1,1))</f>
        <v>321.23599968992932</v>
      </c>
      <c r="AO114" s="59">
        <f t="shared" si="90"/>
        <v>388.05195847800502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1.3620174009601573</v>
      </c>
      <c r="AV114" s="21">
        <f>EXP(-LN(2)/25)*AV113+(1-EXP(-LN(2)/25))/(LN(2)/25)*Calculateur!AQ114*Calculateur!AS114*VLOOKUP('Données projet'!$B$10,Paramètres!$A$1:$I$89,3,0)*0.475*44/12</f>
        <v>1.619618902381631</v>
      </c>
      <c r="AW114" s="21">
        <f>EXP(-LN(2)/2)*AW113+(1-EXP(-LN(2)/2))/(LN(2)/2)*AQ114*AT114*VLOOKUP('Données projet'!$B$10,Paramètres!$A$1:$I$89,3,0)*0.475*44/12</f>
        <v>1.0882257147447546E-11</v>
      </c>
      <c r="AX114" s="21">
        <f t="shared" si="60"/>
        <v>2.9816363033526705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1.1368683772161603E-13</v>
      </c>
      <c r="BE114" s="13">
        <f>BD114*VLOOKUP('Données projet'!$B$11,Paramètres!$A$1:$I$89,3,0)*VLOOKUP('Données projet'!$B$11,Paramètres!$A$1:$I$89,5,0)</f>
        <v>6.7984728957526396E-14</v>
      </c>
      <c r="BF114" s="13">
        <f t="shared" si="91"/>
        <v>1.0682447123141398E-12</v>
      </c>
      <c r="BG114" s="20">
        <f t="shared" si="61"/>
        <v>1.978932943548152E-12</v>
      </c>
      <c r="BH114" s="59">
        <f t="shared" si="62"/>
        <v>293.3333333333353</v>
      </c>
      <c r="BI114" s="59">
        <f ca="1">AVERAGE(OFFSET($BH$3,0,0,'Données projet'!$E$11+1,1))-AVERAGE(OFFSET($H$3,0,0,'Données projet'!$E$11+1,1))</f>
        <v>258.31845364515124</v>
      </c>
      <c r="BJ114" s="59">
        <f t="shared" si="92"/>
        <v>280.26155987300996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2.3079113227234918</v>
      </c>
      <c r="BQ114" s="21">
        <f>EXP(-LN(2)/25)*BQ113+(1-EXP(-LN(2)/25))/(LN(2)/25)*Calculateur!BL114*Calculateur!BN114*VLOOKUP('Données projet'!$B$11,Paramètres!$A$1:$I$89,3,0)*0.475*44/12</f>
        <v>0.9977930838648208</v>
      </c>
      <c r="BR114" s="21">
        <f>EXP(-LN(2)/2)*BR113+(1-EXP(-LN(2)/2))/(LN(2)/2)*BL114*BO114*VLOOKUP('Données projet'!$B$11,Paramètres!$A$1:$I$89,3,0)*0.475*44/12</f>
        <v>2.9126423014576854E-12</v>
      </c>
      <c r="BS114" s="22">
        <f t="shared" si="63"/>
        <v>3.3057044065912256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-5.6843418860808015E-14</v>
      </c>
      <c r="BZ114" s="13">
        <f>BY114*VLOOKUP('Données projet'!$B$12,Paramètres!$A$1:$I$89,3,0)*VLOOKUP('Données projet'!$B$12,Paramètres!$A$1:$I$89,5,0)</f>
        <v>-5.1431925385259088E-14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366.86025470473652</v>
      </c>
      <c r="CE114" s="59">
        <f t="shared" si="94"/>
        <v>513.80016421153414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0.51769190423227163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2.380824620272398E-12</v>
      </c>
      <c r="CN114" s="22">
        <f t="shared" si="66"/>
        <v>0.5176919042346525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-5.6843418860808015E-14</v>
      </c>
      <c r="CU114" s="17">
        <f>CT114*VLOOKUP('Données projet'!$B$13,Paramètres!$A$1:$I$89,3,0)*VLOOKUP('Données projet'!$B$13,Paramètres!$A$1:$I$89,5,0)</f>
        <v>-3.1036506698001178E-14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207.02306964567629</v>
      </c>
      <c r="CZ114" s="59">
        <f t="shared" si="96"/>
        <v>342.06887933351783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1.3281478358085557</v>
      </c>
      <c r="DG114" s="21">
        <f>EXP(-LN(2)/25)*DG113+(1-EXP(-LN(2)/25))/(LN(2)/25)*Calculateur!DB114*Calculateur!DD114*VLOOKUP('Données projet'!$B$13,Paramètres!$A$1:$I$89,3,0)*0.475*44/12</f>
        <v>4.119379285275178</v>
      </c>
      <c r="DH114" s="21">
        <f>EXP(-LN(2)/2)*DH113+(1-EXP(-LN(2)/2))/(LN(2)/2)*DB114*DE114*VLOOKUP('Données projet'!$B$13,Paramètres!$A$1:$I$89,3,0)*0.475*44/12</f>
        <v>8.536674126281683E-12</v>
      </c>
      <c r="DI114" s="22">
        <f t="shared" si="69"/>
        <v>5.4475271210922704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7">
        <f t="shared" si="56"/>
        <v>256.66666666666669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-1.1368683772161603E-13</v>
      </c>
      <c r="O115" s="13">
        <f>N115*VLOOKUP('Données projet'!$B$9,Paramètres!$A$1:$I$89,3,0)*VLOOKUP('Données projet'!$B$9,Paramètres!$A$1:$I$89,5,0)</f>
        <v>-5.3205440053716299E-14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319.22903094674564</v>
      </c>
      <c r="T115" s="59">
        <f t="shared" si="88"/>
        <v>254.58690973142848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1.789090086013831</v>
      </c>
      <c r="AA115" s="21">
        <f>EXP(-LN(2)/25)*AA114+(1-EXP(-LN(2)/25))/(LN(2)/25)*Calculateur!V115*Calculateur!X115*VLOOKUP('Données projet'!$B$9,Paramètres!$A$1:$I$89,3,0)*0.475*44/12</f>
        <v>1.148015895142515</v>
      </c>
      <c r="AB115" s="21">
        <f>EXP(-LN(2)/2)*AB114+(1-EXP(-LN(2)/2))/(LN(2)/2)*V115*Y115*VLOOKUP('Données projet'!$B$9,Paramètres!$A$1:$I$89,3,0)*0.475*44/12</f>
        <v>5.0218334961748141E-12</v>
      </c>
      <c r="AC115" s="22">
        <f t="shared" si="57"/>
        <v>2.937105981161368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1.9895196601282805E-13</v>
      </c>
      <c r="AJ115" s="13">
        <f>AI115*VLOOKUP('Données projet'!$B$10,Paramètres!$A$1:$I$89,3,0)*VLOOKUP('Données projet'!$B$10,Paramètres!$A$1:$I$89,5,0)</f>
        <v>1.738044375088066E-13</v>
      </c>
      <c r="AK115" s="13">
        <f t="shared" si="89"/>
        <v>2.4483293633950478E-12</v>
      </c>
      <c r="AL115" s="20">
        <f t="shared" si="58"/>
        <v>4.566883036574213E-12</v>
      </c>
      <c r="AM115" s="59">
        <f t="shared" si="59"/>
        <v>293.33333333333786</v>
      </c>
      <c r="AN115" s="59">
        <f ca="1">AVERAGE(OFFSET($AM$3,0,0,'Données projet'!$E$10+1,1))-AVERAGE(OFFSET($H$3,0,0,'Données projet'!$E$10+1,1))</f>
        <v>321.23599968992932</v>
      </c>
      <c r="AO115" s="59">
        <f t="shared" si="90"/>
        <v>388.05195847800502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1.3353090704759136</v>
      </c>
      <c r="AV115" s="21">
        <f>EXP(-LN(2)/25)*AV114+(1-EXP(-LN(2)/25))/(LN(2)/25)*Calculateur!AQ115*Calculateur!AS115*VLOOKUP('Données projet'!$B$10,Paramètres!$A$1:$I$89,3,0)*0.475*44/12</f>
        <v>1.575330338323949</v>
      </c>
      <c r="AW115" s="21">
        <f>EXP(-LN(2)/2)*AW114+(1-EXP(-LN(2)/2))/(LN(2)/2)*AQ115*AT115*VLOOKUP('Données projet'!$B$10,Paramètres!$A$1:$I$89,3,0)*0.475*44/12</f>
        <v>7.6949178235759351E-12</v>
      </c>
      <c r="AX115" s="21">
        <f t="shared" si="60"/>
        <v>2.9106394088075573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1.1368683772161603E-13</v>
      </c>
      <c r="BE115" s="13">
        <f>BD115*VLOOKUP('Données projet'!$B$11,Paramètres!$A$1:$I$89,3,0)*VLOOKUP('Données projet'!$B$11,Paramètres!$A$1:$I$89,5,0)</f>
        <v>6.7984728957526396E-14</v>
      </c>
      <c r="BF115" s="13">
        <f t="shared" si="91"/>
        <v>1.0682447123141398E-12</v>
      </c>
      <c r="BG115" s="20">
        <f t="shared" si="61"/>
        <v>1.978932943548152E-12</v>
      </c>
      <c r="BH115" s="59">
        <f t="shared" si="62"/>
        <v>293.3333333333353</v>
      </c>
      <c r="BI115" s="59">
        <f ca="1">AVERAGE(OFFSET($BH$3,0,0,'Données projet'!$E$11+1,1))-AVERAGE(OFFSET($H$3,0,0,'Données projet'!$E$11+1,1))</f>
        <v>258.31845364515124</v>
      </c>
      <c r="BJ115" s="59">
        <f t="shared" si="92"/>
        <v>280.26155987300996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2.2626545893717935</v>
      </c>
      <c r="BQ115" s="21">
        <f>EXP(-LN(2)/25)*BQ114+(1-EXP(-LN(2)/25))/(LN(2)/25)*Calculateur!BL115*Calculateur!BN115*VLOOKUP('Données projet'!$B$11,Paramètres!$A$1:$I$89,3,0)*0.475*44/12</f>
        <v>0.97050837951487945</v>
      </c>
      <c r="BR115" s="21">
        <f>EXP(-LN(2)/2)*BR114+(1-EXP(-LN(2)/2))/(LN(2)/2)*BL115*BO115*VLOOKUP('Données projet'!$B$11,Paramètres!$A$1:$I$89,3,0)*0.475*44/12</f>
        <v>2.0595491225315217E-12</v>
      </c>
      <c r="BS115" s="22">
        <f t="shared" si="63"/>
        <v>3.2331629688887329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-5.6843418860808015E-14</v>
      </c>
      <c r="BZ115" s="13">
        <f>BY115*VLOOKUP('Données projet'!$B$12,Paramètres!$A$1:$I$89,3,0)*VLOOKUP('Données projet'!$B$12,Paramètres!$A$1:$I$89,5,0)</f>
        <v>-5.1431925385259088E-14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366.86025470473652</v>
      </c>
      <c r="CE115" s="59">
        <f t="shared" si="94"/>
        <v>513.80016421153414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0.50754028175115962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1.6834972338104997E-12</v>
      </c>
      <c r="CN115" s="22">
        <f t="shared" si="66"/>
        <v>0.50754028175284316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-5.6843418860808015E-14</v>
      </c>
      <c r="CU115" s="17">
        <f>CT115*VLOOKUP('Données projet'!$B$13,Paramètres!$A$1:$I$89,3,0)*VLOOKUP('Données projet'!$B$13,Paramètres!$A$1:$I$89,5,0)</f>
        <v>-3.1036506698001178E-14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207.02306964567629</v>
      </c>
      <c r="CZ115" s="59">
        <f t="shared" si="96"/>
        <v>342.06887933351783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1.30210366683854</v>
      </c>
      <c r="DG115" s="21">
        <f>EXP(-LN(2)/25)*DG114+(1-EXP(-LN(2)/25))/(LN(2)/25)*Calculateur!DB115*Calculateur!DD115*VLOOKUP('Données projet'!$B$13,Paramètres!$A$1:$I$89,3,0)*0.475*44/12</f>
        <v>4.0067346420905867</v>
      </c>
      <c r="DH115" s="21">
        <f>EXP(-LN(2)/2)*DH114+(1-EXP(-LN(2)/2))/(LN(2)/2)*DB115*DE115*VLOOKUP('Données projet'!$B$13,Paramètres!$A$1:$I$89,3,0)*0.475*44/12</f>
        <v>6.0363401634735239E-12</v>
      </c>
      <c r="DI115" s="22">
        <f t="shared" si="69"/>
        <v>5.3088383089351625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7">
        <f t="shared" si="56"/>
        <v>256.66666666666669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-1.1368683772161603E-13</v>
      </c>
      <c r="O116" s="13">
        <f>N116*VLOOKUP('Données projet'!$B$9,Paramètres!$A$1:$I$89,3,0)*VLOOKUP('Données projet'!$B$9,Paramètres!$A$1:$I$89,5,0)</f>
        <v>-5.3205440053716299E-14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319.22903094674564</v>
      </c>
      <c r="T116" s="59">
        <f t="shared" si="88"/>
        <v>254.58690973142848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1.7540071206643015</v>
      </c>
      <c r="AA116" s="21">
        <f>EXP(-LN(2)/25)*AA115+(1-EXP(-LN(2)/25))/(LN(2)/25)*Calculateur!V116*Calculateur!X116*VLOOKUP('Données projet'!$B$9,Paramètres!$A$1:$I$89,3,0)*0.475*44/12</f>
        <v>1.1166233401183108</v>
      </c>
      <c r="AB116" s="21">
        <f>EXP(-LN(2)/2)*AB115+(1-EXP(-LN(2)/2))/(LN(2)/2)*V116*Y116*VLOOKUP('Données projet'!$B$9,Paramètres!$A$1:$I$89,3,0)*0.475*44/12</f>
        <v>3.5509725191349595E-12</v>
      </c>
      <c r="AC116" s="22">
        <f t="shared" si="57"/>
        <v>2.8706304607861632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1.9895196601282805E-13</v>
      </c>
      <c r="AJ116" s="13">
        <f>AI116*VLOOKUP('Données projet'!$B$10,Paramètres!$A$1:$I$89,3,0)*VLOOKUP('Données projet'!$B$10,Paramètres!$A$1:$I$89,5,0)</f>
        <v>1.738044375088066E-13</v>
      </c>
      <c r="AK116" s="13">
        <f t="shared" si="89"/>
        <v>2.4483293633950478E-12</v>
      </c>
      <c r="AL116" s="20">
        <f t="shared" si="58"/>
        <v>4.566883036574213E-12</v>
      </c>
      <c r="AM116" s="59">
        <f t="shared" si="59"/>
        <v>293.33333333333786</v>
      </c>
      <c r="AN116" s="59">
        <f ca="1">AVERAGE(OFFSET($AM$3,0,0,'Données projet'!$E$10+1,1))-AVERAGE(OFFSET($H$3,0,0,'Données projet'!$E$10+1,1))</f>
        <v>321.23599968992932</v>
      </c>
      <c r="AO116" s="59">
        <f t="shared" si="90"/>
        <v>388.05195847800502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1.3091244740619929</v>
      </c>
      <c r="AV116" s="21">
        <f>EXP(-LN(2)/25)*AV115+(1-EXP(-LN(2)/25))/(LN(2)/25)*Calculateur!AQ116*Calculateur!AS116*VLOOKUP('Données projet'!$B$10,Paramètres!$A$1:$I$89,3,0)*0.475*44/12</f>
        <v>1.5322528473794585</v>
      </c>
      <c r="AW116" s="21">
        <f>EXP(-LN(2)/2)*AW115+(1-EXP(-LN(2)/2))/(LN(2)/2)*AQ116*AT116*VLOOKUP('Données projet'!$B$10,Paramètres!$A$1:$I$89,3,0)*0.475*44/12</f>
        <v>5.4411285737237732E-12</v>
      </c>
      <c r="AX116" s="21">
        <f t="shared" si="60"/>
        <v>2.8413773214468927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1.1368683772161603E-13</v>
      </c>
      <c r="BE116" s="13">
        <f>BD116*VLOOKUP('Données projet'!$B$11,Paramètres!$A$1:$I$89,3,0)*VLOOKUP('Données projet'!$B$11,Paramètres!$A$1:$I$89,5,0)</f>
        <v>6.7984728957526396E-14</v>
      </c>
      <c r="BF116" s="13">
        <f t="shared" si="91"/>
        <v>1.0682447123141398E-12</v>
      </c>
      <c r="BG116" s="20">
        <f t="shared" si="61"/>
        <v>1.978932943548152E-12</v>
      </c>
      <c r="BH116" s="59">
        <f t="shared" si="62"/>
        <v>293.3333333333353</v>
      </c>
      <c r="BI116" s="59">
        <f ca="1">AVERAGE(OFFSET($BH$3,0,0,'Données projet'!$E$11+1,1))-AVERAGE(OFFSET($H$3,0,0,'Données projet'!$E$11+1,1))</f>
        <v>258.31845364515124</v>
      </c>
      <c r="BJ116" s="59">
        <f t="shared" si="92"/>
        <v>280.26155987300996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2.2182853129572404</v>
      </c>
      <c r="BQ116" s="21">
        <f>EXP(-LN(2)/25)*BQ115+(1-EXP(-LN(2)/25))/(LN(2)/25)*Calculateur!BL116*Calculateur!BN116*VLOOKUP('Données projet'!$B$11,Paramètres!$A$1:$I$89,3,0)*0.475*44/12</f>
        <v>0.94396977684022754</v>
      </c>
      <c r="BR116" s="21">
        <f>EXP(-LN(2)/2)*BR115+(1-EXP(-LN(2)/2))/(LN(2)/2)*BL116*BO116*VLOOKUP('Données projet'!$B$11,Paramètres!$A$1:$I$89,3,0)*0.475*44/12</f>
        <v>1.4563211507288427E-12</v>
      </c>
      <c r="BS116" s="22">
        <f t="shared" si="63"/>
        <v>3.1622550897989243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-5.6843418860808015E-14</v>
      </c>
      <c r="BZ116" s="13">
        <f>BY116*VLOOKUP('Données projet'!$B$12,Paramètres!$A$1:$I$89,3,0)*VLOOKUP('Données projet'!$B$12,Paramètres!$A$1:$I$89,5,0)</f>
        <v>-5.1431925385259088E-14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366.86025470473652</v>
      </c>
      <c r="CE116" s="59">
        <f t="shared" si="94"/>
        <v>513.80016421153414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0.49758772639502385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1.190412310136199E-12</v>
      </c>
      <c r="CN116" s="22">
        <f t="shared" si="66"/>
        <v>0.49758772639621429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-5.6843418860808015E-14</v>
      </c>
      <c r="CU116" s="17">
        <f>CT116*VLOOKUP('Données projet'!$B$13,Paramètres!$A$1:$I$89,3,0)*VLOOKUP('Données projet'!$B$13,Paramètres!$A$1:$I$89,5,0)</f>
        <v>-3.1036506698001178E-14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207.02306964567629</v>
      </c>
      <c r="CZ116" s="59">
        <f t="shared" si="96"/>
        <v>342.06887933351783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1.2765702081366517</v>
      </c>
      <c r="DG116" s="21">
        <f>EXP(-LN(2)/25)*DG115+(1-EXP(-LN(2)/25))/(LN(2)/25)*Calculateur!DB116*Calculateur!DD116*VLOOKUP('Données projet'!$B$13,Paramètres!$A$1:$I$89,3,0)*0.475*44/12</f>
        <v>3.8971702725976023</v>
      </c>
      <c r="DH116" s="21">
        <f>EXP(-LN(2)/2)*DH115+(1-EXP(-LN(2)/2))/(LN(2)/2)*DB116*DE116*VLOOKUP('Données projet'!$B$13,Paramètres!$A$1:$I$89,3,0)*0.475*44/12</f>
        <v>4.2683370631408415E-12</v>
      </c>
      <c r="DI116" s="22">
        <f t="shared" si="69"/>
        <v>5.1737404807385223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7">
        <f t="shared" si="56"/>
        <v>256.66666666666669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-1.1368683772161603E-13</v>
      </c>
      <c r="O117" s="13">
        <f>N117*VLOOKUP('Données projet'!$B$9,Paramètres!$A$1:$I$89,3,0)*VLOOKUP('Données projet'!$B$9,Paramètres!$A$1:$I$89,5,0)</f>
        <v>-5.3205440053716299E-14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319.22903094674564</v>
      </c>
      <c r="T117" s="59">
        <f t="shared" si="88"/>
        <v>254.58690973142848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1.7196121108667803</v>
      </c>
      <c r="AA117" s="21">
        <f>EXP(-LN(2)/25)*AA116+(1-EXP(-LN(2)/25))/(LN(2)/25)*Calculateur!V117*Calculateur!X117*VLOOKUP('Données projet'!$B$9,Paramètres!$A$1:$I$89,3,0)*0.475*44/12</f>
        <v>1.0860892161621061</v>
      </c>
      <c r="AB117" s="21">
        <f>EXP(-LN(2)/2)*AB116+(1-EXP(-LN(2)/2))/(LN(2)/2)*V117*Y117*VLOOKUP('Données projet'!$B$9,Paramètres!$A$1:$I$89,3,0)*0.475*44/12</f>
        <v>2.5109167480874075E-12</v>
      </c>
      <c r="AC117" s="22">
        <f t="shared" si="57"/>
        <v>2.8057013270313975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1.9895196601282805E-13</v>
      </c>
      <c r="AJ117" s="13">
        <f>AI117*VLOOKUP('Données projet'!$B$10,Paramètres!$A$1:$I$89,3,0)*VLOOKUP('Données projet'!$B$10,Paramètres!$A$1:$I$89,5,0)</f>
        <v>1.738044375088066E-13</v>
      </c>
      <c r="AK117" s="13">
        <f t="shared" si="89"/>
        <v>2.4483293633950478E-12</v>
      </c>
      <c r="AL117" s="20">
        <f t="shared" si="58"/>
        <v>4.566883036574213E-12</v>
      </c>
      <c r="AM117" s="59">
        <f t="shared" si="59"/>
        <v>293.33333333333786</v>
      </c>
      <c r="AN117" s="59">
        <f ca="1">AVERAGE(OFFSET($AM$3,0,0,'Données projet'!$E$10+1,1))-AVERAGE(OFFSET($H$3,0,0,'Données projet'!$E$10+1,1))</f>
        <v>321.23599968992932</v>
      </c>
      <c r="AO117" s="59">
        <f t="shared" si="90"/>
        <v>388.05195847800502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1.2834533416127223</v>
      </c>
      <c r="AV117" s="21">
        <f>EXP(-LN(2)/25)*AV116+(1-EXP(-LN(2)/25))/(LN(2)/25)*Calculateur!AQ117*Calculateur!AS117*VLOOKUP('Données projet'!$B$10,Paramètres!$A$1:$I$89,3,0)*0.475*44/12</f>
        <v>1.490353312690192</v>
      </c>
      <c r="AW117" s="21">
        <f>EXP(-LN(2)/2)*AW116+(1-EXP(-LN(2)/2))/(LN(2)/2)*AQ117*AT117*VLOOKUP('Données projet'!$B$10,Paramètres!$A$1:$I$89,3,0)*0.475*44/12</f>
        <v>3.8474589117879676E-12</v>
      </c>
      <c r="AX117" s="21">
        <f t="shared" si="60"/>
        <v>2.7738066543067621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1.1368683772161603E-13</v>
      </c>
      <c r="BE117" s="13">
        <f>BD117*VLOOKUP('Données projet'!$B$11,Paramètres!$A$1:$I$89,3,0)*VLOOKUP('Données projet'!$B$11,Paramètres!$A$1:$I$89,5,0)</f>
        <v>6.7984728957526396E-14</v>
      </c>
      <c r="BF117" s="13">
        <f t="shared" si="91"/>
        <v>1.0682447123141398E-12</v>
      </c>
      <c r="BG117" s="20">
        <f t="shared" si="61"/>
        <v>1.978932943548152E-12</v>
      </c>
      <c r="BH117" s="59">
        <f t="shared" si="62"/>
        <v>293.3333333333353</v>
      </c>
      <c r="BI117" s="59">
        <f ca="1">AVERAGE(OFFSET($BH$3,0,0,'Données projet'!$E$11+1,1))-AVERAGE(OFFSET($H$3,0,0,'Données projet'!$E$11+1,1))</f>
        <v>258.31845364515124</v>
      </c>
      <c r="BJ117" s="59">
        <f t="shared" si="92"/>
        <v>280.26155987300996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2.1747860909905903</v>
      </c>
      <c r="BQ117" s="21">
        <f>EXP(-LN(2)/25)*BQ116+(1-EXP(-LN(2)/25))/(LN(2)/25)*Calculateur!BL117*Calculateur!BN117*VLOOKUP('Données projet'!$B$11,Paramètres!$A$1:$I$89,3,0)*0.475*44/12</f>
        <v>0.91815687365131837</v>
      </c>
      <c r="BR117" s="21">
        <f>EXP(-LN(2)/2)*BR116+(1-EXP(-LN(2)/2))/(LN(2)/2)*BL117*BO117*VLOOKUP('Données projet'!$B$11,Paramètres!$A$1:$I$89,3,0)*0.475*44/12</f>
        <v>1.0297745612657609E-12</v>
      </c>
      <c r="BS117" s="22">
        <f t="shared" si="63"/>
        <v>3.0929429646429383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-5.6843418860808015E-14</v>
      </c>
      <c r="BZ117" s="13">
        <f>BY117*VLOOKUP('Données projet'!$B$12,Paramètres!$A$1:$I$89,3,0)*VLOOKUP('Données projet'!$B$12,Paramètres!$A$1:$I$89,5,0)</f>
        <v>-5.1431925385259088E-14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366.86025470473652</v>
      </c>
      <c r="CE117" s="59">
        <f t="shared" si="94"/>
        <v>513.80016421153414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0.48783033457896252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8.4174861690524984E-13</v>
      </c>
      <c r="CN117" s="22">
        <f t="shared" si="66"/>
        <v>0.48783033457980429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-5.6843418860808015E-14</v>
      </c>
      <c r="CU117" s="17">
        <f>CT117*VLOOKUP('Données projet'!$B$13,Paramètres!$A$1:$I$89,3,0)*VLOOKUP('Données projet'!$B$13,Paramètres!$A$1:$I$89,5,0)</f>
        <v>-3.1036506698001178E-14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207.02306964567629</v>
      </c>
      <c r="CZ117" s="59">
        <f t="shared" si="96"/>
        <v>342.06887933351783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1.2515374449860355</v>
      </c>
      <c r="DG117" s="21">
        <f>EXP(-LN(2)/25)*DG116+(1-EXP(-LN(2)/25))/(LN(2)/25)*Calculateur!DB117*Calculateur!DD117*VLOOKUP('Données projet'!$B$13,Paramètres!$A$1:$I$89,3,0)*0.475*44/12</f>
        <v>3.7906019465501433</v>
      </c>
      <c r="DH117" s="21">
        <f>EXP(-LN(2)/2)*DH116+(1-EXP(-LN(2)/2))/(LN(2)/2)*DB117*DE117*VLOOKUP('Données projet'!$B$13,Paramètres!$A$1:$I$89,3,0)*0.475*44/12</f>
        <v>3.018170081736762E-12</v>
      </c>
      <c r="DI117" s="22">
        <f t="shared" si="69"/>
        <v>5.0421393915391963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7">
        <f t="shared" si="56"/>
        <v>256.66666666666669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-1.1368683772161603E-13</v>
      </c>
      <c r="O118" s="13">
        <f>N118*VLOOKUP('Données projet'!$B$9,Paramètres!$A$1:$I$89,3,0)*VLOOKUP('Données projet'!$B$9,Paramètres!$A$1:$I$89,5,0)</f>
        <v>-5.3205440053716299E-14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319.22903094674564</v>
      </c>
      <c r="T118" s="59">
        <f t="shared" si="88"/>
        <v>254.58690973142848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1.685891566232504</v>
      </c>
      <c r="AA118" s="21">
        <f>EXP(-LN(2)/25)*AA117+(1-EXP(-LN(2)/25))/(LN(2)/25)*Calculateur!V118*Calculateur!X118*VLOOKUP('Données projet'!$B$9,Paramètres!$A$1:$I$89,3,0)*0.475*44/12</f>
        <v>1.0563900494312037</v>
      </c>
      <c r="AB118" s="21">
        <f>EXP(-LN(2)/2)*AB117+(1-EXP(-LN(2)/2))/(LN(2)/2)*V118*Y118*VLOOKUP('Données projet'!$B$9,Paramètres!$A$1:$I$89,3,0)*0.475*44/12</f>
        <v>1.7754862595674799E-12</v>
      </c>
      <c r="AC118" s="22">
        <f t="shared" si="57"/>
        <v>2.7422816156654832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1.9895196601282805E-13</v>
      </c>
      <c r="AJ118" s="13">
        <f>AI118*VLOOKUP('Données projet'!$B$10,Paramètres!$A$1:$I$89,3,0)*VLOOKUP('Données projet'!$B$10,Paramètres!$A$1:$I$89,5,0)</f>
        <v>1.738044375088066E-13</v>
      </c>
      <c r="AK118" s="13">
        <f t="shared" si="89"/>
        <v>2.4483293633950478E-12</v>
      </c>
      <c r="AL118" s="20">
        <f t="shared" si="58"/>
        <v>4.566883036574213E-12</v>
      </c>
      <c r="AM118" s="59">
        <f t="shared" si="59"/>
        <v>293.33333333333786</v>
      </c>
      <c r="AN118" s="59">
        <f ca="1">AVERAGE(OFFSET($AM$3,0,0,'Données projet'!$E$10+1,1))-AVERAGE(OFFSET($H$3,0,0,'Données projet'!$E$10+1,1))</f>
        <v>321.23599968992932</v>
      </c>
      <c r="AO118" s="59">
        <f t="shared" si="90"/>
        <v>388.05195847800502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1.2582856044129371</v>
      </c>
      <c r="AV118" s="21">
        <f>EXP(-LN(2)/25)*AV117+(1-EXP(-LN(2)/25))/(LN(2)/25)*Calculateur!AQ118*Calculateur!AS118*VLOOKUP('Données projet'!$B$10,Paramètres!$A$1:$I$89,3,0)*0.475*44/12</f>
        <v>1.4495995229804042</v>
      </c>
      <c r="AW118" s="21">
        <f>EXP(-LN(2)/2)*AW117+(1-EXP(-LN(2)/2))/(LN(2)/2)*AQ118*AT118*VLOOKUP('Données projet'!$B$10,Paramètres!$A$1:$I$89,3,0)*0.475*44/12</f>
        <v>2.7205642868618866E-12</v>
      </c>
      <c r="AX118" s="21">
        <f t="shared" si="60"/>
        <v>2.7078851273960618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1.1368683772161603E-13</v>
      </c>
      <c r="BE118" s="13">
        <f>BD118*VLOOKUP('Données projet'!$B$11,Paramètres!$A$1:$I$89,3,0)*VLOOKUP('Données projet'!$B$11,Paramètres!$A$1:$I$89,5,0)</f>
        <v>6.7984728957526396E-14</v>
      </c>
      <c r="BF118" s="13">
        <f t="shared" si="91"/>
        <v>1.0682447123141398E-12</v>
      </c>
      <c r="BG118" s="20">
        <f t="shared" si="61"/>
        <v>1.978932943548152E-12</v>
      </c>
      <c r="BH118" s="59">
        <f t="shared" si="62"/>
        <v>293.3333333333353</v>
      </c>
      <c r="BI118" s="59">
        <f ca="1">AVERAGE(OFFSET($BH$3,0,0,'Données projet'!$E$11+1,1))-AVERAGE(OFFSET($H$3,0,0,'Données projet'!$E$11+1,1))</f>
        <v>258.31845364515124</v>
      </c>
      <c r="BJ118" s="59">
        <f t="shared" si="92"/>
        <v>280.26155987300996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2.1321398622348005</v>
      </c>
      <c r="BQ118" s="21">
        <f>EXP(-LN(2)/25)*BQ117+(1-EXP(-LN(2)/25))/(LN(2)/25)*Calculateur!BL118*Calculateur!BN118*VLOOKUP('Données projet'!$B$11,Paramètres!$A$1:$I$89,3,0)*0.475*44/12</f>
        <v>0.89304982565755153</v>
      </c>
      <c r="BR118" s="21">
        <f>EXP(-LN(2)/2)*BR117+(1-EXP(-LN(2)/2))/(LN(2)/2)*BL118*BO118*VLOOKUP('Données projet'!$B$11,Paramètres!$A$1:$I$89,3,0)*0.475*44/12</f>
        <v>7.2816057536442135E-13</v>
      </c>
      <c r="BS118" s="22">
        <f t="shared" si="63"/>
        <v>3.0251896878930804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-5.6843418860808015E-14</v>
      </c>
      <c r="BZ118" s="13">
        <f>BY118*VLOOKUP('Données projet'!$B$12,Paramètres!$A$1:$I$89,3,0)*VLOOKUP('Données projet'!$B$12,Paramètres!$A$1:$I$89,5,0)</f>
        <v>-5.1431925385259088E-14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366.86025470473652</v>
      </c>
      <c r="CE118" s="59">
        <f t="shared" si="94"/>
        <v>513.80016421153414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0.47826427926499282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5.9520615506809951E-13</v>
      </c>
      <c r="CN118" s="22">
        <f t="shared" si="66"/>
        <v>0.47826427926558801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-5.6843418860808015E-14</v>
      </c>
      <c r="CU118" s="17">
        <f>CT118*VLOOKUP('Données projet'!$B$13,Paramètres!$A$1:$I$89,3,0)*VLOOKUP('Données projet'!$B$13,Paramètres!$A$1:$I$89,5,0)</f>
        <v>-3.1036506698001178E-14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207.02306964567629</v>
      </c>
      <c r="CZ118" s="59">
        <f t="shared" si="96"/>
        <v>342.06887933351783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1.2269955590523249</v>
      </c>
      <c r="DG118" s="21">
        <f>EXP(-LN(2)/25)*DG117+(1-EXP(-LN(2)/25))/(LN(2)/25)*Calculateur!DB118*Calculateur!DD118*VLOOKUP('Données projet'!$B$13,Paramètres!$A$1:$I$89,3,0)*0.475*44/12</f>
        <v>3.6869477369826367</v>
      </c>
      <c r="DH118" s="21">
        <f>EXP(-LN(2)/2)*DH117+(1-EXP(-LN(2)/2))/(LN(2)/2)*DB118*DE118*VLOOKUP('Données projet'!$B$13,Paramètres!$A$1:$I$89,3,0)*0.475*44/12</f>
        <v>2.1341685315704208E-12</v>
      </c>
      <c r="DI118" s="22">
        <f t="shared" si="69"/>
        <v>4.9139432960370959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7">
        <f t="shared" si="56"/>
        <v>256.66666666666669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-1.1368683772161603E-13</v>
      </c>
      <c r="O119" s="13">
        <f>N119*VLOOKUP('Données projet'!$B$9,Paramètres!$A$1:$I$89,3,0)*VLOOKUP('Données projet'!$B$9,Paramètres!$A$1:$I$89,5,0)</f>
        <v>-5.3205440053716299E-14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319.22903094674564</v>
      </c>
      <c r="T119" s="59">
        <f t="shared" si="88"/>
        <v>254.58690973142848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1.6528322609110047</v>
      </c>
      <c r="AA119" s="21">
        <f>EXP(-LN(2)/25)*AA118+(1-EXP(-LN(2)/25))/(LN(2)/25)*Calculateur!V119*Calculateur!X119*VLOOKUP('Données projet'!$B$9,Paramètres!$A$1:$I$89,3,0)*0.475*44/12</f>
        <v>1.0275030079763692</v>
      </c>
      <c r="AB119" s="21">
        <f>EXP(-LN(2)/2)*AB118+(1-EXP(-LN(2)/2))/(LN(2)/2)*V119*Y119*VLOOKUP('Données projet'!$B$9,Paramètres!$A$1:$I$89,3,0)*0.475*44/12</f>
        <v>1.2554583740437039E-12</v>
      </c>
      <c r="AC119" s="22">
        <f t="shared" si="57"/>
        <v>2.6803352688886295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1.9895196601282805E-13</v>
      </c>
      <c r="AJ119" s="13">
        <f>AI119*VLOOKUP('Données projet'!$B$10,Paramètres!$A$1:$I$89,3,0)*VLOOKUP('Données projet'!$B$10,Paramètres!$A$1:$I$89,5,0)</f>
        <v>1.738044375088066E-13</v>
      </c>
      <c r="AK119" s="13">
        <f t="shared" si="89"/>
        <v>2.4483293633950478E-12</v>
      </c>
      <c r="AL119" s="20">
        <f t="shared" si="58"/>
        <v>4.566883036574213E-12</v>
      </c>
      <c r="AM119" s="59">
        <f t="shared" si="59"/>
        <v>293.33333333333786</v>
      </c>
      <c r="AN119" s="59">
        <f ca="1">AVERAGE(OFFSET($AM$3,0,0,'Données projet'!$E$10+1,1))-AVERAGE(OFFSET($H$3,0,0,'Données projet'!$E$10+1,1))</f>
        <v>321.23599968992932</v>
      </c>
      <c r="AO119" s="59">
        <f t="shared" si="90"/>
        <v>388.05195847800502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1.233611391188836</v>
      </c>
      <c r="AV119" s="21">
        <f>EXP(-LN(2)/25)*AV118+(1-EXP(-LN(2)/25))/(LN(2)/25)*Calculateur!AQ119*Calculateur!AS119*VLOOKUP('Données projet'!$B$10,Paramètres!$A$1:$I$89,3,0)*0.475*44/12</f>
        <v>1.4099601477933792</v>
      </c>
      <c r="AW119" s="21">
        <f>EXP(-LN(2)/2)*AW118+(1-EXP(-LN(2)/2))/(LN(2)/2)*AQ119*AT119*VLOOKUP('Données projet'!$B$10,Paramètres!$A$1:$I$89,3,0)*0.475*44/12</f>
        <v>1.9237294558939838E-12</v>
      </c>
      <c r="AX119" s="21">
        <f t="shared" si="60"/>
        <v>2.6435715389841388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1.1368683772161603E-13</v>
      </c>
      <c r="BE119" s="13">
        <f>BD119*VLOOKUP('Données projet'!$B$11,Paramètres!$A$1:$I$89,3,0)*VLOOKUP('Données projet'!$B$11,Paramètres!$A$1:$I$89,5,0)</f>
        <v>6.7984728957526396E-14</v>
      </c>
      <c r="BF119" s="13">
        <f t="shared" si="91"/>
        <v>1.0682447123141398E-12</v>
      </c>
      <c r="BG119" s="20">
        <f t="shared" si="61"/>
        <v>1.978932943548152E-12</v>
      </c>
      <c r="BH119" s="59">
        <f t="shared" si="62"/>
        <v>293.3333333333353</v>
      </c>
      <c r="BI119" s="59">
        <f ca="1">AVERAGE(OFFSET($BH$3,0,0,'Données projet'!$E$11+1,1))-AVERAGE(OFFSET($H$3,0,0,'Données projet'!$E$11+1,1))</f>
        <v>258.31845364515124</v>
      </c>
      <c r="BJ119" s="59">
        <f t="shared" si="92"/>
        <v>280.26155987300996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2.0903299000132805</v>
      </c>
      <c r="BQ119" s="21">
        <f>EXP(-LN(2)/25)*BQ118+(1-EXP(-LN(2)/25))/(LN(2)/25)*Calculateur!BL119*Calculateur!BN119*VLOOKUP('Données projet'!$B$11,Paramètres!$A$1:$I$89,3,0)*0.475*44/12</f>
        <v>0.86862933121149655</v>
      </c>
      <c r="BR119" s="21">
        <f>EXP(-LN(2)/2)*BR118+(1-EXP(-LN(2)/2))/(LN(2)/2)*BL119*BO119*VLOOKUP('Données projet'!$B$11,Paramètres!$A$1:$I$89,3,0)*0.475*44/12</f>
        <v>5.1488728063288044E-13</v>
      </c>
      <c r="BS119" s="22">
        <f t="shared" si="63"/>
        <v>2.9589592312252919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-5.6843418860808015E-14</v>
      </c>
      <c r="BZ119" s="13">
        <f>BY119*VLOOKUP('Données projet'!$B$12,Paramètres!$A$1:$I$89,3,0)*VLOOKUP('Données projet'!$B$12,Paramètres!$A$1:$I$89,5,0)</f>
        <v>-5.1431925385259088E-14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366.86025470473652</v>
      </c>
      <c r="CE119" s="59">
        <f t="shared" si="94"/>
        <v>513.80016421153414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0.46888580846101247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4.2087430845262492E-13</v>
      </c>
      <c r="CN119" s="22">
        <f t="shared" si="66"/>
        <v>0.46888580846143335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-5.6843418860808015E-14</v>
      </c>
      <c r="CU119" s="17">
        <f>CT119*VLOOKUP('Données projet'!$B$13,Paramètres!$A$1:$I$89,3,0)*VLOOKUP('Données projet'!$B$13,Paramètres!$A$1:$I$89,5,0)</f>
        <v>-3.1036506698001178E-14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207.02306964567629</v>
      </c>
      <c r="CZ119" s="59">
        <f t="shared" si="96"/>
        <v>342.06887933351783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1.2029349245327021</v>
      </c>
      <c r="DG119" s="21">
        <f>EXP(-LN(2)/25)*DG118+(1-EXP(-LN(2)/25))/(LN(2)/25)*Calculateur!DB119*Calculateur!DD119*VLOOKUP('Données projet'!$B$13,Paramètres!$A$1:$I$89,3,0)*0.475*44/12</f>
        <v>3.5861279572266915</v>
      </c>
      <c r="DH119" s="21">
        <f>EXP(-LN(2)/2)*DH118+(1-EXP(-LN(2)/2))/(LN(2)/2)*DB119*DE119*VLOOKUP('Données projet'!$B$13,Paramètres!$A$1:$I$89,3,0)*0.475*44/12</f>
        <v>1.509085040868381E-12</v>
      </c>
      <c r="DI119" s="22">
        <f t="shared" si="69"/>
        <v>4.7890628817609029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7">
        <f t="shared" si="56"/>
        <v>256.66666666666669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-1.1368683772161603E-13</v>
      </c>
      <c r="O120" s="13">
        <f>N120*VLOOKUP('Données projet'!$B$9,Paramètres!$A$1:$I$89,3,0)*VLOOKUP('Données projet'!$B$9,Paramètres!$A$1:$I$89,5,0)</f>
        <v>-5.3205440053716299E-14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319.22903094674564</v>
      </c>
      <c r="T120" s="59">
        <f t="shared" si="88"/>
        <v>254.58690973142848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1.6204212284026747</v>
      </c>
      <c r="AA120" s="21">
        <f>EXP(-LN(2)/25)*AA119+(1-EXP(-LN(2)/25))/(LN(2)/25)*Calculateur!V120*Calculateur!X120*VLOOKUP('Données projet'!$B$9,Paramètres!$A$1:$I$89,3,0)*0.475*44/12</f>
        <v>0.99940588418922061</v>
      </c>
      <c r="AB120" s="21">
        <f>EXP(-LN(2)/2)*AB119+(1-EXP(-LN(2)/2))/(LN(2)/2)*V120*Y120*VLOOKUP('Données projet'!$B$9,Paramètres!$A$1:$I$89,3,0)*0.475*44/12</f>
        <v>8.8774312978374017E-13</v>
      </c>
      <c r="AC120" s="22">
        <f t="shared" si="57"/>
        <v>2.619827112592783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1.9895196601282805E-13</v>
      </c>
      <c r="AJ120" s="13">
        <f>AI120*VLOOKUP('Données projet'!$B$10,Paramètres!$A$1:$I$89,3,0)*VLOOKUP('Données projet'!$B$10,Paramètres!$A$1:$I$89,5,0)</f>
        <v>1.738044375088066E-13</v>
      </c>
      <c r="AK120" s="13">
        <f t="shared" si="89"/>
        <v>2.4483293633950478E-12</v>
      </c>
      <c r="AL120" s="20">
        <f t="shared" si="58"/>
        <v>4.566883036574213E-12</v>
      </c>
      <c r="AM120" s="59">
        <f t="shared" si="59"/>
        <v>293.33333333333786</v>
      </c>
      <c r="AN120" s="59">
        <f ca="1">AVERAGE(OFFSET($AM$3,0,0,'Données projet'!$E$10+1,1))-AVERAGE(OFFSET($H$3,0,0,'Données projet'!$E$10+1,1))</f>
        <v>321.23599968992932</v>
      </c>
      <c r="AO120" s="59">
        <f t="shared" si="90"/>
        <v>388.05195847800502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1.2094210242362753</v>
      </c>
      <c r="AV120" s="21">
        <f>EXP(-LN(2)/25)*AV119+(1-EXP(-LN(2)/25))/(LN(2)/25)*Calculateur!AQ120*Calculateur!AS120*VLOOKUP('Données projet'!$B$10,Paramètres!$A$1:$I$89,3,0)*0.475*44/12</f>
        <v>1.3714047134053875</v>
      </c>
      <c r="AW120" s="21">
        <f>EXP(-LN(2)/2)*AW119+(1-EXP(-LN(2)/2))/(LN(2)/2)*AQ120*AT120*VLOOKUP('Données projet'!$B$10,Paramètres!$A$1:$I$89,3,0)*0.475*44/12</f>
        <v>1.3602821434309433E-12</v>
      </c>
      <c r="AX120" s="21">
        <f t="shared" si="60"/>
        <v>2.580825737643023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1.1368683772161603E-13</v>
      </c>
      <c r="BE120" s="13">
        <f>BD120*VLOOKUP('Données projet'!$B$11,Paramètres!$A$1:$I$89,3,0)*VLOOKUP('Données projet'!$B$11,Paramètres!$A$1:$I$89,5,0)</f>
        <v>6.7984728957526396E-14</v>
      </c>
      <c r="BF120" s="13">
        <f t="shared" si="91"/>
        <v>1.0682447123141398E-12</v>
      </c>
      <c r="BG120" s="20">
        <f t="shared" si="61"/>
        <v>1.978932943548152E-12</v>
      </c>
      <c r="BH120" s="59">
        <f t="shared" si="62"/>
        <v>293.3333333333353</v>
      </c>
      <c r="BI120" s="59">
        <f ca="1">AVERAGE(OFFSET($BH$3,0,0,'Données projet'!$E$11+1,1))-AVERAGE(OFFSET($H$3,0,0,'Données projet'!$E$11+1,1))</f>
        <v>258.31845364515124</v>
      </c>
      <c r="BJ120" s="59">
        <f t="shared" si="92"/>
        <v>280.26155987300996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2.0493398056493657</v>
      </c>
      <c r="BQ120" s="21">
        <f>EXP(-LN(2)/25)*BQ119+(1-EXP(-LN(2)/25))/(LN(2)/25)*Calculateur!BL120*Calculateur!BN120*VLOOKUP('Données projet'!$B$11,Paramètres!$A$1:$I$89,3,0)*0.475*44/12</f>
        <v>0.84487661647028689</v>
      </c>
      <c r="BR120" s="21">
        <f>EXP(-LN(2)/2)*BR119+(1-EXP(-LN(2)/2))/(LN(2)/2)*BL120*BO120*VLOOKUP('Données projet'!$B$11,Paramètres!$A$1:$I$89,3,0)*0.475*44/12</f>
        <v>3.6408028768221068E-13</v>
      </c>
      <c r="BS120" s="22">
        <f t="shared" si="63"/>
        <v>2.8942164221200168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-5.6843418860808015E-14</v>
      </c>
      <c r="BZ120" s="13">
        <f>BY120*VLOOKUP('Données projet'!$B$12,Paramètres!$A$1:$I$89,3,0)*VLOOKUP('Données projet'!$B$12,Paramètres!$A$1:$I$89,5,0)</f>
        <v>-5.1431925385259088E-14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366.86025470473652</v>
      </c>
      <c r="CE120" s="59">
        <f t="shared" si="94"/>
        <v>513.80016421153414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0.45969124374919579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2.9760307753404975E-13</v>
      </c>
      <c r="CN120" s="22">
        <f t="shared" si="66"/>
        <v>0.45969124374949338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-5.6843418860808015E-14</v>
      </c>
      <c r="CU120" s="17">
        <f>CT120*VLOOKUP('Données projet'!$B$13,Paramètres!$A$1:$I$89,3,0)*VLOOKUP('Données projet'!$B$13,Paramètres!$A$1:$I$89,5,0)</f>
        <v>-3.1036506698001178E-14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207.02306964567629</v>
      </c>
      <c r="CZ120" s="59">
        <f t="shared" si="96"/>
        <v>342.06887933351783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1.1793461043804712</v>
      </c>
      <c r="DG120" s="21">
        <f>EXP(-LN(2)/25)*DG119+(1-EXP(-LN(2)/25))/(LN(2)/25)*Calculateur!DB120*Calculateur!DD120*VLOOKUP('Données projet'!$B$13,Paramètres!$A$1:$I$89,3,0)*0.475*44/12</f>
        <v>3.4880650996500546</v>
      </c>
      <c r="DH120" s="21">
        <f>EXP(-LN(2)/2)*DH119+(1-EXP(-LN(2)/2))/(LN(2)/2)*DB120*DE120*VLOOKUP('Données projet'!$B$13,Paramètres!$A$1:$I$89,3,0)*0.475*44/12</f>
        <v>1.0670842657852104E-12</v>
      </c>
      <c r="DI120" s="22">
        <f t="shared" si="69"/>
        <v>4.667411204031592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7">
        <f t="shared" si="56"/>
        <v>256.66666666666669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-1.1368683772161603E-13</v>
      </c>
      <c r="O121" s="13">
        <f>N121*VLOOKUP('Données projet'!$B$9,Paramètres!$A$1:$I$89,3,0)*VLOOKUP('Données projet'!$B$9,Paramètres!$A$1:$I$89,5,0)</f>
        <v>-5.3205440053716299E-14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319.22903094674564</v>
      </c>
      <c r="T121" s="59">
        <f t="shared" si="88"/>
        <v>254.58690973142848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1.5886457564730552</v>
      </c>
      <c r="AA121" s="21">
        <f>EXP(-LN(2)/25)*AA120+(1-EXP(-LN(2)/25))/(LN(2)/25)*Calculateur!V121*Calculateur!X121*VLOOKUP('Données projet'!$B$9,Paramètres!$A$1:$I$89,3,0)*0.475*44/12</f>
        <v>0.97207707772959506</v>
      </c>
      <c r="AB121" s="21">
        <f>EXP(-LN(2)/2)*AB120+(1-EXP(-LN(2)/2))/(LN(2)/2)*V121*Y121*VLOOKUP('Données projet'!$B$9,Paramètres!$A$1:$I$89,3,0)*0.475*44/12</f>
        <v>6.2772918702185207E-13</v>
      </c>
      <c r="AC121" s="22">
        <f t="shared" si="57"/>
        <v>2.5607228342032782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1.9895196601282805E-13</v>
      </c>
      <c r="AJ121" s="13">
        <f>AI121*VLOOKUP('Données projet'!$B$10,Paramètres!$A$1:$I$89,3,0)*VLOOKUP('Données projet'!$B$10,Paramètres!$A$1:$I$89,5,0)</f>
        <v>1.738044375088066E-13</v>
      </c>
      <c r="AK121" s="13">
        <f t="shared" si="89"/>
        <v>2.4483293633950478E-12</v>
      </c>
      <c r="AL121" s="20">
        <f t="shared" si="58"/>
        <v>4.566883036574213E-12</v>
      </c>
      <c r="AM121" s="59">
        <f t="shared" si="59"/>
        <v>293.33333333333786</v>
      </c>
      <c r="AN121" s="59">
        <f ca="1">AVERAGE(OFFSET($AM$3,0,0,'Données projet'!$E$10+1,1))-AVERAGE(OFFSET($H$3,0,0,'Données projet'!$E$10+1,1))</f>
        <v>321.23599968992932</v>
      </c>
      <c r="AO121" s="59">
        <f t="shared" si="90"/>
        <v>388.05195847800502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1.1857050156249875</v>
      </c>
      <c r="AV121" s="21">
        <f>EXP(-LN(2)/25)*AV120+(1-EXP(-LN(2)/25))/(LN(2)/25)*Calculateur!AQ121*Calculateur!AS121*VLOOKUP('Données projet'!$B$10,Paramètres!$A$1:$I$89,3,0)*0.475*44/12</f>
        <v>1.3339035793982776</v>
      </c>
      <c r="AW121" s="21">
        <f>EXP(-LN(2)/2)*AW120+(1-EXP(-LN(2)/2))/(LN(2)/2)*AQ121*AT121*VLOOKUP('Données projet'!$B$10,Paramètres!$A$1:$I$89,3,0)*0.475*44/12</f>
        <v>9.6186472794699189E-13</v>
      </c>
      <c r="AX121" s="21">
        <f t="shared" si="60"/>
        <v>2.5196085950242271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1.1368683772161603E-13</v>
      </c>
      <c r="BE121" s="13">
        <f>BD121*VLOOKUP('Données projet'!$B$11,Paramètres!$A$1:$I$89,3,0)*VLOOKUP('Données projet'!$B$11,Paramètres!$A$1:$I$89,5,0)</f>
        <v>6.7984728957526396E-14</v>
      </c>
      <c r="BF121" s="13">
        <f t="shared" si="91"/>
        <v>1.0682447123141398E-12</v>
      </c>
      <c r="BG121" s="20">
        <f t="shared" si="61"/>
        <v>1.978932943548152E-12</v>
      </c>
      <c r="BH121" s="59">
        <f t="shared" si="62"/>
        <v>293.3333333333353</v>
      </c>
      <c r="BI121" s="59">
        <f ca="1">AVERAGE(OFFSET($BH$3,0,0,'Données projet'!$E$11+1,1))-AVERAGE(OFFSET($H$3,0,0,'Données projet'!$E$11+1,1))</f>
        <v>258.31845364515124</v>
      </c>
      <c r="BJ121" s="59">
        <f t="shared" si="92"/>
        <v>280.26155987300996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2.0091535020344384</v>
      </c>
      <c r="BQ121" s="21">
        <f>EXP(-LN(2)/25)*BQ120+(1-EXP(-LN(2)/25))/(LN(2)/25)*Calculateur!BL121*Calculateur!BN121*VLOOKUP('Données projet'!$B$11,Paramètres!$A$1:$I$89,3,0)*0.475*44/12</f>
        <v>0.82177342096277661</v>
      </c>
      <c r="BR121" s="21">
        <f>EXP(-LN(2)/2)*BR120+(1-EXP(-LN(2)/2))/(LN(2)/2)*BL121*BO121*VLOOKUP('Données projet'!$B$11,Paramètres!$A$1:$I$89,3,0)*0.475*44/12</f>
        <v>2.5744364031644022E-13</v>
      </c>
      <c r="BS121" s="22">
        <f t="shared" si="63"/>
        <v>2.8309269229974725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-5.6843418860808015E-14</v>
      </c>
      <c r="BZ121" s="13">
        <f>BY121*VLOOKUP('Données projet'!$B$12,Paramètres!$A$1:$I$89,3,0)*VLOOKUP('Données projet'!$B$12,Paramètres!$A$1:$I$89,5,0)</f>
        <v>-5.1431925385259088E-14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366.86025470473652</v>
      </c>
      <c r="CE121" s="59">
        <f t="shared" si="94"/>
        <v>513.80016421153414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0.45067697884324714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2.1043715422631246E-13</v>
      </c>
      <c r="CN121" s="22">
        <f t="shared" si="66"/>
        <v>0.45067697884345759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-5.6843418860808015E-14</v>
      </c>
      <c r="CU121" s="17">
        <f>CT121*VLOOKUP('Données projet'!$B$13,Paramètres!$A$1:$I$89,3,0)*VLOOKUP('Données projet'!$B$13,Paramètres!$A$1:$I$89,5,0)</f>
        <v>-3.1036506698001178E-14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207.02306964567629</v>
      </c>
      <c r="CZ121" s="59">
        <f t="shared" si="96"/>
        <v>342.06887933351783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1.1562198466036659</v>
      </c>
      <c r="DG121" s="21">
        <f>EXP(-LN(2)/25)*DG120+(1-EXP(-LN(2)/25))/(LN(2)/25)*Calculateur!DB121*Calculateur!DD121*VLOOKUP('Données projet'!$B$13,Paramètres!$A$1:$I$89,3,0)*0.475*44/12</f>
        <v>3.3926837760707524</v>
      </c>
      <c r="DH121" s="21">
        <f>EXP(-LN(2)/2)*DH120+(1-EXP(-LN(2)/2))/(LN(2)/2)*DB121*DE121*VLOOKUP('Données projet'!$B$13,Paramètres!$A$1:$I$89,3,0)*0.475*44/12</f>
        <v>7.5454252043419049E-13</v>
      </c>
      <c r="DI121" s="22">
        <f t="shared" si="69"/>
        <v>4.5489036226751729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7">
        <f t="shared" si="56"/>
        <v>256.66666666666669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-1.1368683772161603E-13</v>
      </c>
      <c r="O122" s="13">
        <f>N122*VLOOKUP('Données projet'!$B$9,Paramètres!$A$1:$I$89,3,0)*VLOOKUP('Données projet'!$B$9,Paramètres!$A$1:$I$89,5,0)</f>
        <v>-5.3205440053716299E-14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319.22903094674564</v>
      </c>
      <c r="T122" s="59">
        <f t="shared" si="88"/>
        <v>254.58690973142848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1.5574933821668513</v>
      </c>
      <c r="AA122" s="21">
        <f>EXP(-LN(2)/25)*AA121+(1-EXP(-LN(2)/25))/(LN(2)/25)*Calculateur!V122*Calculateur!X122*VLOOKUP('Données projet'!$B$9,Paramètres!$A$1:$I$89,3,0)*0.475*44/12</f>
        <v>0.94549557891976743</v>
      </c>
      <c r="AB122" s="21">
        <f>EXP(-LN(2)/2)*AB121+(1-EXP(-LN(2)/2))/(LN(2)/2)*V122*Y122*VLOOKUP('Données projet'!$B$9,Paramètres!$A$1:$I$89,3,0)*0.475*44/12</f>
        <v>4.4387156489187014E-13</v>
      </c>
      <c r="AC122" s="22">
        <f t="shared" si="57"/>
        <v>2.5029889610870626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1.9895196601282805E-13</v>
      </c>
      <c r="AJ122" s="13">
        <f>AI122*VLOOKUP('Données projet'!$B$10,Paramètres!$A$1:$I$89,3,0)*VLOOKUP('Données projet'!$B$10,Paramètres!$A$1:$I$89,5,0)</f>
        <v>1.738044375088066E-13</v>
      </c>
      <c r="AK122" s="13">
        <f t="shared" si="89"/>
        <v>2.4483293633950478E-12</v>
      </c>
      <c r="AL122" s="20">
        <f t="shared" si="58"/>
        <v>4.566883036574213E-12</v>
      </c>
      <c r="AM122" s="59">
        <f t="shared" si="59"/>
        <v>293.33333333333786</v>
      </c>
      <c r="AN122" s="59">
        <f ca="1">AVERAGE(OFFSET($AM$3,0,0,'Données projet'!$E$10+1,1))-AVERAGE(OFFSET($H$3,0,0,'Données projet'!$E$10+1,1))</f>
        <v>321.23599968992932</v>
      </c>
      <c r="AO122" s="59">
        <f t="shared" si="90"/>
        <v>388.05195847800502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1.1624540634772302</v>
      </c>
      <c r="AV122" s="21">
        <f>EXP(-LN(2)/25)*AV121+(1-EXP(-LN(2)/25))/(LN(2)/25)*Calculateur!AQ122*Calculateur!AS122*VLOOKUP('Données projet'!$B$10,Paramètres!$A$1:$I$89,3,0)*0.475*44/12</f>
        <v>1.2974279158726911</v>
      </c>
      <c r="AW122" s="21">
        <f>EXP(-LN(2)/2)*AW121+(1-EXP(-LN(2)/2))/(LN(2)/2)*AQ122*AT122*VLOOKUP('Données projet'!$B$10,Paramètres!$A$1:$I$89,3,0)*0.475*44/12</f>
        <v>6.8014107171547166E-13</v>
      </c>
      <c r="AX122" s="21">
        <f t="shared" si="60"/>
        <v>2.4598819793506017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1.1368683772161603E-13</v>
      </c>
      <c r="BE122" s="13">
        <f>BD122*VLOOKUP('Données projet'!$B$11,Paramètres!$A$1:$I$89,3,0)*VLOOKUP('Données projet'!$B$11,Paramètres!$A$1:$I$89,5,0)</f>
        <v>6.7984728957526396E-14</v>
      </c>
      <c r="BF122" s="13">
        <f t="shared" si="91"/>
        <v>1.0682447123141398E-12</v>
      </c>
      <c r="BG122" s="20">
        <f t="shared" si="61"/>
        <v>1.978932943548152E-12</v>
      </c>
      <c r="BH122" s="59">
        <f t="shared" si="62"/>
        <v>293.3333333333353</v>
      </c>
      <c r="BI122" s="59">
        <f ca="1">AVERAGE(OFFSET($BH$3,0,0,'Données projet'!$E$11+1,1))-AVERAGE(OFFSET($H$3,0,0,'Données projet'!$E$11+1,1))</f>
        <v>258.31845364515124</v>
      </c>
      <c r="BJ122" s="59">
        <f t="shared" si="92"/>
        <v>280.26155987300996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1.969755227322175</v>
      </c>
      <c r="BQ122" s="21">
        <f>EXP(-LN(2)/25)*BQ121+(1-EXP(-LN(2)/25))/(LN(2)/25)*Calculateur!BL122*Calculateur!BN122*VLOOKUP('Données projet'!$B$11,Paramètres!$A$1:$I$89,3,0)*0.475*44/12</f>
        <v>0.7993019835513635</v>
      </c>
      <c r="BR122" s="21">
        <f>EXP(-LN(2)/2)*BR121+(1-EXP(-LN(2)/2))/(LN(2)/2)*BL122*BO122*VLOOKUP('Données projet'!$B$11,Paramètres!$A$1:$I$89,3,0)*0.475*44/12</f>
        <v>1.8204014384110534E-13</v>
      </c>
      <c r="BS122" s="22">
        <f t="shared" si="63"/>
        <v>2.7690572108737204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-5.6843418860808015E-14</v>
      </c>
      <c r="BZ122" s="13">
        <f>BY122*VLOOKUP('Données projet'!$B$12,Paramètres!$A$1:$I$89,3,0)*VLOOKUP('Données projet'!$B$12,Paramètres!$A$1:$I$89,5,0)</f>
        <v>-5.1431925385259088E-14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366.86025470473652</v>
      </c>
      <c r="CE122" s="59">
        <f t="shared" si="94"/>
        <v>513.80016421153414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0.44183947817394542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1.4880153876702488E-13</v>
      </c>
      <c r="CN122" s="22">
        <f t="shared" si="66"/>
        <v>0.44183947817409425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-5.6843418860808015E-14</v>
      </c>
      <c r="CU122" s="17">
        <f>CT122*VLOOKUP('Données projet'!$B$13,Paramètres!$A$1:$I$89,3,0)*VLOOKUP('Données projet'!$B$13,Paramètres!$A$1:$I$89,5,0)</f>
        <v>-3.1036506698001178E-14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207.02306964567629</v>
      </c>
      <c r="CZ122" s="59">
        <f t="shared" si="96"/>
        <v>342.06887933351783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1.1335470806362393</v>
      </c>
      <c r="DG122" s="21">
        <f>EXP(-LN(2)/25)*DG121+(1-EXP(-LN(2)/25))/(LN(2)/25)*Calculateur!DB122*Calculateur!DD122*VLOOKUP('Données projet'!$B$13,Paramètres!$A$1:$I$89,3,0)*0.475*44/12</f>
        <v>3.299910659800612</v>
      </c>
      <c r="DH122" s="21">
        <f>EXP(-LN(2)/2)*DH121+(1-EXP(-LN(2)/2))/(LN(2)/2)*DB122*DE122*VLOOKUP('Données projet'!$B$13,Paramètres!$A$1:$I$89,3,0)*0.475*44/12</f>
        <v>5.3354213289260519E-13</v>
      </c>
      <c r="DI122" s="22">
        <f t="shared" si="69"/>
        <v>4.4334577404373849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7">
        <f t="shared" si="56"/>
        <v>256.66666666666669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-1.1368683772161603E-13</v>
      </c>
      <c r="O123" s="13">
        <f>N123*VLOOKUP('Données projet'!$B$9,Paramètres!$A$1:$I$89,3,0)*VLOOKUP('Données projet'!$B$9,Paramètres!$A$1:$I$89,5,0)</f>
        <v>-5.3205440053716299E-14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319.22903094674564</v>
      </c>
      <c r="T123" s="59">
        <f t="shared" si="88"/>
        <v>254.58690973142848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1.5269518869197201</v>
      </c>
      <c r="AA123" s="21">
        <f>EXP(-LN(2)/25)*AA122+(1-EXP(-LN(2)/25))/(LN(2)/25)*Calculateur!V123*Calculateur!X123*VLOOKUP('Données projet'!$B$9,Paramètres!$A$1:$I$89,3,0)*0.475*44/12</f>
        <v>0.9196409525927548</v>
      </c>
      <c r="AB123" s="21">
        <f>EXP(-LN(2)/2)*AB122+(1-EXP(-LN(2)/2))/(LN(2)/2)*V123*Y123*VLOOKUP('Données projet'!$B$9,Paramètres!$A$1:$I$89,3,0)*0.475*44/12</f>
        <v>3.1386459351092609E-13</v>
      </c>
      <c r="AC123" s="22">
        <f t="shared" si="57"/>
        <v>2.4465928395127889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1.9895196601282805E-13</v>
      </c>
      <c r="AJ123" s="13">
        <f>AI123*VLOOKUP('Données projet'!$B$10,Paramètres!$A$1:$I$89,3,0)*VLOOKUP('Données projet'!$B$10,Paramètres!$A$1:$I$89,5,0)</f>
        <v>1.738044375088066E-13</v>
      </c>
      <c r="AK123" s="13">
        <f t="shared" si="89"/>
        <v>2.4483293633950478E-12</v>
      </c>
      <c r="AL123" s="20">
        <f t="shared" si="58"/>
        <v>4.566883036574213E-12</v>
      </c>
      <c r="AM123" s="59">
        <f t="shared" si="59"/>
        <v>293.33333333333786</v>
      </c>
      <c r="AN123" s="59">
        <f ca="1">AVERAGE(OFFSET($AM$3,0,0,'Données projet'!$E$10+1,1))-AVERAGE(OFFSET($H$3,0,0,'Données projet'!$E$10+1,1))</f>
        <v>321.23599968992932</v>
      </c>
      <c r="AO123" s="59">
        <f t="shared" si="90"/>
        <v>388.05195847800502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1.1396590483194098</v>
      </c>
      <c r="AV123" s="21">
        <f>EXP(-LN(2)/25)*AV122+(1-EXP(-LN(2)/25))/(LN(2)/25)*Calculateur!AQ123*Calculateur!AS123*VLOOKUP('Données projet'!$B$10,Paramètres!$A$1:$I$89,3,0)*0.475*44/12</f>
        <v>1.2619496812843836</v>
      </c>
      <c r="AW123" s="21">
        <f>EXP(-LN(2)/2)*AW122+(1-EXP(-LN(2)/2))/(LN(2)/2)*AQ123*AT123*VLOOKUP('Données projet'!$B$10,Paramètres!$A$1:$I$89,3,0)*0.475*44/12</f>
        <v>4.8093236397349594E-13</v>
      </c>
      <c r="AX123" s="21">
        <f t="shared" si="60"/>
        <v>2.4016087296042743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1.1368683772161603E-13</v>
      </c>
      <c r="BE123" s="13">
        <f>BD123*VLOOKUP('Données projet'!$B$11,Paramètres!$A$1:$I$89,3,0)*VLOOKUP('Données projet'!$B$11,Paramètres!$A$1:$I$89,5,0)</f>
        <v>6.7984728957526396E-14</v>
      </c>
      <c r="BF123" s="13">
        <f t="shared" si="91"/>
        <v>1.0682447123141398E-12</v>
      </c>
      <c r="BG123" s="20">
        <f t="shared" si="61"/>
        <v>1.978932943548152E-12</v>
      </c>
      <c r="BH123" s="59">
        <f t="shared" si="62"/>
        <v>293.3333333333353</v>
      </c>
      <c r="BI123" s="59">
        <f ca="1">AVERAGE(OFFSET($BH$3,0,0,'Données projet'!$E$11+1,1))-AVERAGE(OFFSET($H$3,0,0,'Données projet'!$E$11+1,1))</f>
        <v>258.31845364515124</v>
      </c>
      <c r="BJ123" s="59">
        <f t="shared" si="92"/>
        <v>280.26155987300996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1.9311295287464443</v>
      </c>
      <c r="BQ123" s="21">
        <f>EXP(-LN(2)/25)*BQ122+(1-EXP(-LN(2)/25))/(LN(2)/25)*Calculateur!BL123*Calculateur!BN123*VLOOKUP('Données projet'!$B$11,Paramètres!$A$1:$I$89,3,0)*0.475*44/12</f>
        <v>0.77744502877768695</v>
      </c>
      <c r="BR123" s="21">
        <f>EXP(-LN(2)/2)*BR122+(1-EXP(-LN(2)/2))/(LN(2)/2)*BL123*BO123*VLOOKUP('Données projet'!$B$11,Paramètres!$A$1:$I$89,3,0)*0.475*44/12</f>
        <v>1.2872182015822011E-13</v>
      </c>
      <c r="BS123" s="22">
        <f t="shared" si="63"/>
        <v>2.7085745575242601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-5.6843418860808015E-14</v>
      </c>
      <c r="BZ123" s="13">
        <f>BY123*VLOOKUP('Données projet'!$B$12,Paramètres!$A$1:$I$89,3,0)*VLOOKUP('Données projet'!$B$12,Paramètres!$A$1:$I$89,5,0)</f>
        <v>-5.1431925385259088E-14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366.86025470473652</v>
      </c>
      <c r="CE123" s="59">
        <f t="shared" si="94"/>
        <v>513.80016421153414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0.43317527550242557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1.0521857711315623E-13</v>
      </c>
      <c r="CN123" s="22">
        <f t="shared" si="66"/>
        <v>0.43317527550253077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-5.6843418860808015E-14</v>
      </c>
      <c r="CU123" s="17">
        <f>CT123*VLOOKUP('Données projet'!$B$13,Paramètres!$A$1:$I$89,3,0)*VLOOKUP('Données projet'!$B$13,Paramètres!$A$1:$I$89,5,0)</f>
        <v>-3.1036506698001178E-14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207.02306964567629</v>
      </c>
      <c r="CZ123" s="59">
        <f t="shared" si="96"/>
        <v>342.06887933351783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1.1113189137804123</v>
      </c>
      <c r="DG123" s="21">
        <f>EXP(-LN(2)/25)*DG122+(1-EXP(-LN(2)/25))/(LN(2)/25)*Calculateur!DB123*Calculateur!DD123*VLOOKUP('Données projet'!$B$13,Paramètres!$A$1:$I$89,3,0)*0.475*44/12</f>
        <v>3.2096744292736048</v>
      </c>
      <c r="DH123" s="21">
        <f>EXP(-LN(2)/2)*DH122+(1-EXP(-LN(2)/2))/(LN(2)/2)*DB123*DE123*VLOOKUP('Données projet'!$B$13,Paramètres!$A$1:$I$89,3,0)*0.475*44/12</f>
        <v>3.7727126021709525E-13</v>
      </c>
      <c r="DI123" s="22">
        <f t="shared" si="69"/>
        <v>4.3209933430543943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7">
        <f t="shared" si="56"/>
        <v>256.66666666666669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-1.1368683772161603E-13</v>
      </c>
      <c r="O124" s="13">
        <f>N124*VLOOKUP('Données projet'!$B$9,Paramètres!$A$1:$I$89,3,0)*VLOOKUP('Données projet'!$B$9,Paramètres!$A$1:$I$89,5,0)</f>
        <v>-5.3205440053716299E-14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319.22903094674564</v>
      </c>
      <c r="T124" s="59">
        <f t="shared" si="88"/>
        <v>254.58690973142848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1.4970092917659124</v>
      </c>
      <c r="AA124" s="21">
        <f>EXP(-LN(2)/25)*AA123+(1-EXP(-LN(2)/25))/(LN(2)/25)*Calculateur!V124*Calculateur!X124*VLOOKUP('Données projet'!$B$9,Paramètres!$A$1:$I$89,3,0)*0.475*44/12</f>
        <v>0.89449332238229007</v>
      </c>
      <c r="AB124" s="21">
        <f>EXP(-LN(2)/2)*AB123+(1-EXP(-LN(2)/2))/(LN(2)/2)*V124*Y124*VLOOKUP('Données projet'!$B$9,Paramètres!$A$1:$I$89,3,0)*0.475*44/12</f>
        <v>2.2193578244593512E-13</v>
      </c>
      <c r="AC124" s="22">
        <f t="shared" si="57"/>
        <v>2.3915026141484246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1.9895196601282805E-13</v>
      </c>
      <c r="AJ124" s="13">
        <f>AI124*VLOOKUP('Données projet'!$B$10,Paramètres!$A$1:$I$89,3,0)*VLOOKUP('Données projet'!$B$10,Paramètres!$A$1:$I$89,5,0)</f>
        <v>1.738044375088066E-13</v>
      </c>
      <c r="AK124" s="13">
        <f t="shared" si="89"/>
        <v>2.4483293633950478E-12</v>
      </c>
      <c r="AL124" s="20">
        <f t="shared" si="58"/>
        <v>4.566883036574213E-12</v>
      </c>
      <c r="AM124" s="59">
        <f t="shared" si="59"/>
        <v>293.33333333333786</v>
      </c>
      <c r="AN124" s="59">
        <f ca="1">AVERAGE(OFFSET($AM$3,0,0,'Données projet'!$E$10+1,1))-AVERAGE(OFFSET($H$3,0,0,'Données projet'!$E$10+1,1))</f>
        <v>321.23599968992932</v>
      </c>
      <c r="AO124" s="59">
        <f t="shared" si="90"/>
        <v>388.05195847800502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1.117311029505248</v>
      </c>
      <c r="AV124" s="21">
        <f>EXP(-LN(2)/25)*AV123+(1-EXP(-LN(2)/25))/(LN(2)/25)*Calculateur!AQ124*Calculateur!AS124*VLOOKUP('Données projet'!$B$10,Paramètres!$A$1:$I$89,3,0)*0.475*44/12</f>
        <v>1.2274416008866125</v>
      </c>
      <c r="AW124" s="21">
        <f>EXP(-LN(2)/2)*AW123+(1-EXP(-LN(2)/2))/(LN(2)/2)*AQ124*AT124*VLOOKUP('Données projet'!$B$10,Paramètres!$A$1:$I$89,3,0)*0.475*44/12</f>
        <v>3.4007053585773583E-13</v>
      </c>
      <c r="AX124" s="21">
        <f t="shared" si="60"/>
        <v>2.3447526303922004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1.1368683772161603E-13</v>
      </c>
      <c r="BE124" s="13">
        <f>BD124*VLOOKUP('Données projet'!$B$11,Paramètres!$A$1:$I$89,3,0)*VLOOKUP('Données projet'!$B$11,Paramètres!$A$1:$I$89,5,0)</f>
        <v>6.7984728957526396E-14</v>
      </c>
      <c r="BF124" s="13">
        <f t="shared" si="91"/>
        <v>1.0682447123141398E-12</v>
      </c>
      <c r="BG124" s="20">
        <f t="shared" si="61"/>
        <v>1.978932943548152E-12</v>
      </c>
      <c r="BH124" s="59">
        <f t="shared" si="62"/>
        <v>293.3333333333353</v>
      </c>
      <c r="BI124" s="59">
        <f ca="1">AVERAGE(OFFSET($BH$3,0,0,'Données projet'!$E$11+1,1))-AVERAGE(OFFSET($H$3,0,0,'Données projet'!$E$11+1,1))</f>
        <v>258.31845364515124</v>
      </c>
      <c r="BJ124" s="59">
        <f t="shared" si="92"/>
        <v>280.26155987300996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1.8932612565604339</v>
      </c>
      <c r="BQ124" s="21">
        <f>EXP(-LN(2)/25)*BQ123+(1-EXP(-LN(2)/25))/(LN(2)/25)*Calculateur!BL124*Calculateur!BN124*VLOOKUP('Données projet'!$B$11,Paramètres!$A$1:$I$89,3,0)*0.475*44/12</f>
        <v>0.75618575358170392</v>
      </c>
      <c r="BR124" s="21">
        <f>EXP(-LN(2)/2)*BR123+(1-EXP(-LN(2)/2))/(LN(2)/2)*BL124*BO124*VLOOKUP('Données projet'!$B$11,Paramètres!$A$1:$I$89,3,0)*0.475*44/12</f>
        <v>9.1020071920552669E-14</v>
      </c>
      <c r="BS124" s="22">
        <f t="shared" si="63"/>
        <v>2.6494470101422287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-5.6843418860808015E-14</v>
      </c>
      <c r="BZ124" s="13">
        <f>BY124*VLOOKUP('Données projet'!$B$12,Paramètres!$A$1:$I$89,3,0)*VLOOKUP('Données projet'!$B$12,Paramètres!$A$1:$I$89,5,0)</f>
        <v>-5.1431925385259088E-14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366.86025470473652</v>
      </c>
      <c r="CE124" s="59">
        <f t="shared" si="94"/>
        <v>513.80016421153414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0.4246809725606524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7.4400769383512439E-14</v>
      </c>
      <c r="CN124" s="22">
        <f t="shared" si="66"/>
        <v>0.42468097256072679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-5.6843418860808015E-14</v>
      </c>
      <c r="CU124" s="17">
        <f>CT124*VLOOKUP('Données projet'!$B$13,Paramètres!$A$1:$I$89,3,0)*VLOOKUP('Données projet'!$B$13,Paramètres!$A$1:$I$89,5,0)</f>
        <v>-3.1036506698001178E-14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207.02306964567629</v>
      </c>
      <c r="CZ124" s="59">
        <f t="shared" si="96"/>
        <v>342.06887933351783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1.0895266277187849</v>
      </c>
      <c r="DG124" s="21">
        <f>EXP(-LN(2)/25)*DG123+(1-EXP(-LN(2)/25))/(LN(2)/25)*Calculateur!DB124*Calculateur!DD124*VLOOKUP('Données projet'!$B$13,Paramètres!$A$1:$I$89,3,0)*0.475*44/12</f>
        <v>3.1219057132156758</v>
      </c>
      <c r="DH124" s="21">
        <f>EXP(-LN(2)/2)*DH123+(1-EXP(-LN(2)/2))/(LN(2)/2)*DB124*DE124*VLOOKUP('Données projet'!$B$13,Paramètres!$A$1:$I$89,3,0)*0.475*44/12</f>
        <v>2.6677106644630259E-13</v>
      </c>
      <c r="DI124" s="22">
        <f t="shared" si="69"/>
        <v>4.211432340934727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7">
        <f t="shared" si="56"/>
        <v>256.66666666666669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-1.1368683772161603E-13</v>
      </c>
      <c r="O125" s="13">
        <f>N125*VLOOKUP('Données projet'!$B$9,Paramètres!$A$1:$I$89,3,0)*VLOOKUP('Données projet'!$B$9,Paramètres!$A$1:$I$89,5,0)</f>
        <v>-5.3205440053716299E-14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319.22903094674564</v>
      </c>
      <c r="T125" s="59">
        <f t="shared" si="88"/>
        <v>254.58690973142848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1.467653852639891</v>
      </c>
      <c r="AA125" s="21">
        <f>EXP(-LN(2)/25)*AA124+(1-EXP(-LN(2)/25))/(LN(2)/25)*Calculateur!V125*Calculateur!X125*VLOOKUP('Données projet'!$B$9,Paramètres!$A$1:$I$89,3,0)*0.475*44/12</f>
        <v>0.87003335544238691</v>
      </c>
      <c r="AB125" s="21">
        <f>EXP(-LN(2)/2)*AB124+(1-EXP(-LN(2)/2))/(LN(2)/2)*V125*Y125*VLOOKUP('Données projet'!$B$9,Paramètres!$A$1:$I$89,3,0)*0.475*44/12</f>
        <v>1.5693229675546307E-13</v>
      </c>
      <c r="AC125" s="22">
        <f t="shared" si="57"/>
        <v>2.3376872080824347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1.9895196601282805E-13</v>
      </c>
      <c r="AJ125" s="13">
        <f>AI125*VLOOKUP('Données projet'!$B$10,Paramètres!$A$1:$I$89,3,0)*VLOOKUP('Données projet'!$B$10,Paramètres!$A$1:$I$89,5,0)</f>
        <v>1.738044375088066E-13</v>
      </c>
      <c r="AK125" s="13">
        <f t="shared" si="89"/>
        <v>2.4483293633950478E-12</v>
      </c>
      <c r="AL125" s="20">
        <f t="shared" si="58"/>
        <v>4.566883036574213E-12</v>
      </c>
      <c r="AM125" s="59">
        <f t="shared" si="59"/>
        <v>293.33333333333786</v>
      </c>
      <c r="AN125" s="59">
        <f ca="1">AVERAGE(OFFSET($AM$3,0,0,'Données projet'!$E$10+1,1))-AVERAGE(OFFSET($H$3,0,0,'Données projet'!$E$10+1,1))</f>
        <v>321.23599968992932</v>
      </c>
      <c r="AO125" s="59">
        <f t="shared" si="90"/>
        <v>388.05195847800502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1.0954012417090864</v>
      </c>
      <c r="AV125" s="21">
        <f>EXP(-LN(2)/25)*AV124+(1-EXP(-LN(2)/25))/(LN(2)/25)*Calculateur!AQ125*Calculateur!AS125*VLOOKUP('Données projet'!$B$10,Paramètres!$A$1:$I$89,3,0)*0.475*44/12</f>
        <v>1.1938771457620196</v>
      </c>
      <c r="AW125" s="21">
        <f>EXP(-LN(2)/2)*AW124+(1-EXP(-LN(2)/2))/(LN(2)/2)*AQ125*AT125*VLOOKUP('Données projet'!$B$10,Paramètres!$A$1:$I$89,3,0)*0.475*44/12</f>
        <v>2.4046618198674797E-13</v>
      </c>
      <c r="AX125" s="21">
        <f t="shared" si="60"/>
        <v>2.2892783874713465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1.1368683772161603E-13</v>
      </c>
      <c r="BE125" s="13">
        <f>BD125*VLOOKUP('Données projet'!$B$11,Paramètres!$A$1:$I$89,3,0)*VLOOKUP('Données projet'!$B$11,Paramètres!$A$1:$I$89,5,0)</f>
        <v>6.7984728957526396E-14</v>
      </c>
      <c r="BF125" s="13">
        <f t="shared" si="91"/>
        <v>1.0682447123141398E-12</v>
      </c>
      <c r="BG125" s="20">
        <f t="shared" si="61"/>
        <v>1.978932943548152E-12</v>
      </c>
      <c r="BH125" s="59">
        <f t="shared" si="62"/>
        <v>293.3333333333353</v>
      </c>
      <c r="BI125" s="59">
        <f ca="1">AVERAGE(OFFSET($BH$3,0,0,'Données projet'!$E$11+1,1))-AVERAGE(OFFSET($H$3,0,0,'Données projet'!$E$11+1,1))</f>
        <v>258.31845364515124</v>
      </c>
      <c r="BJ125" s="59">
        <f t="shared" si="92"/>
        <v>280.26155987300996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1.8561355580946257</v>
      </c>
      <c r="BQ125" s="21">
        <f>EXP(-LN(2)/25)*BQ124+(1-EXP(-LN(2)/25))/(LN(2)/25)*Calculateur!BL125*Calculateur!BN125*VLOOKUP('Données projet'!$B$11,Paramètres!$A$1:$I$89,3,0)*0.475*44/12</f>
        <v>0.73550781438393176</v>
      </c>
      <c r="BR125" s="21">
        <f>EXP(-LN(2)/2)*BR124+(1-EXP(-LN(2)/2))/(LN(2)/2)*BL125*BO125*VLOOKUP('Données projet'!$B$11,Paramètres!$A$1:$I$89,3,0)*0.475*44/12</f>
        <v>6.4360910079110054E-14</v>
      </c>
      <c r="BS125" s="22">
        <f t="shared" si="63"/>
        <v>2.5916433724786221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-5.6843418860808015E-14</v>
      </c>
      <c r="BZ125" s="13">
        <f>BY125*VLOOKUP('Données projet'!$B$12,Paramètres!$A$1:$I$89,3,0)*VLOOKUP('Données projet'!$B$12,Paramètres!$A$1:$I$89,5,0)</f>
        <v>-5.1431925385259088E-14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366.86025470473652</v>
      </c>
      <c r="CE125" s="59">
        <f t="shared" si="94"/>
        <v>513.80016421153414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0.4163532377185542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5.2609288556578115E-14</v>
      </c>
      <c r="CN125" s="22">
        <f t="shared" si="66"/>
        <v>0.41635323771860683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-5.6843418860808015E-14</v>
      </c>
      <c r="CU125" s="17">
        <f>CT125*VLOOKUP('Données projet'!$B$13,Paramètres!$A$1:$I$89,3,0)*VLOOKUP('Données projet'!$B$13,Paramètres!$A$1:$I$89,5,0)</f>
        <v>-3.1036506698001178E-14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207.02306964567629</v>
      </c>
      <c r="CZ125" s="59">
        <f t="shared" si="96"/>
        <v>342.06887933351783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1.0681616750948439</v>
      </c>
      <c r="DG125" s="21">
        <f>EXP(-LN(2)/25)*DG124+(1-EXP(-LN(2)/25))/(LN(2)/25)*Calculateur!DB125*Calculateur!DD125*VLOOKUP('Données projet'!$B$13,Paramètres!$A$1:$I$89,3,0)*0.475*44/12</f>
        <v>3.0365370373139067</v>
      </c>
      <c r="DH125" s="21">
        <f>EXP(-LN(2)/2)*DH124+(1-EXP(-LN(2)/2))/(LN(2)/2)*DB125*DE125*VLOOKUP('Données projet'!$B$13,Paramètres!$A$1:$I$89,3,0)*0.475*44/12</f>
        <v>1.8863563010854762E-13</v>
      </c>
      <c r="DI125" s="22">
        <f t="shared" si="69"/>
        <v>4.1046987124089389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7">
        <f t="shared" si="56"/>
        <v>256.66666666666669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-1.1368683772161603E-13</v>
      </c>
      <c r="O126" s="13">
        <f>N126*VLOOKUP('Données projet'!$B$9,Paramètres!$A$1:$I$89,3,0)*VLOOKUP('Données projet'!$B$9,Paramètres!$A$1:$I$89,5,0)</f>
        <v>-5.3205440053716299E-14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319.22903094674564</v>
      </c>
      <c r="T126" s="59">
        <f t="shared" si="88"/>
        <v>254.58690973142848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1.4388740557700812</v>
      </c>
      <c r="AA126" s="21">
        <f>EXP(-LN(2)/25)*AA125+(1-EXP(-LN(2)/25))/(LN(2)/25)*Calculateur!V126*Calculateur!X126*VLOOKUP('Données projet'!$B$9,Paramètres!$A$1:$I$89,3,0)*0.475*44/12</f>
        <v>0.8462422475847492</v>
      </c>
      <c r="AB126" s="21">
        <f>EXP(-LN(2)/2)*AB125+(1-EXP(-LN(2)/2))/(LN(2)/2)*V126*Y126*VLOOKUP('Données projet'!$B$9,Paramètres!$A$1:$I$89,3,0)*0.475*44/12</f>
        <v>1.1096789122296757E-13</v>
      </c>
      <c r="AC126" s="22">
        <f t="shared" si="57"/>
        <v>2.2851163033549415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1.9895196601282805E-13</v>
      </c>
      <c r="AJ126" s="13">
        <f>AI126*VLOOKUP('Données projet'!$B$10,Paramètres!$A$1:$I$89,3,0)*VLOOKUP('Données projet'!$B$10,Paramètres!$A$1:$I$89,5,0)</f>
        <v>1.738044375088066E-13</v>
      </c>
      <c r="AK126" s="13">
        <f t="shared" si="89"/>
        <v>2.4483293633950478E-12</v>
      </c>
      <c r="AL126" s="20">
        <f t="shared" si="58"/>
        <v>4.566883036574213E-12</v>
      </c>
      <c r="AM126" s="59">
        <f t="shared" si="59"/>
        <v>293.33333333333786</v>
      </c>
      <c r="AN126" s="59">
        <f ca="1">AVERAGE(OFFSET($AM$3,0,0,'Données projet'!$E$10+1,1))-AVERAGE(OFFSET($H$3,0,0,'Données projet'!$E$10+1,1))</f>
        <v>321.23599968992932</v>
      </c>
      <c r="AO126" s="59">
        <f t="shared" si="90"/>
        <v>388.05195847800502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1.0739210914879564</v>
      </c>
      <c r="AV126" s="21">
        <f>EXP(-LN(2)/25)*AV125+(1-EXP(-LN(2)/25))/(LN(2)/25)*Calculateur!AQ126*Calculateur!AS126*VLOOKUP('Données projet'!$B$10,Paramètres!$A$1:$I$89,3,0)*0.475*44/12</f>
        <v>1.1612305124278868</v>
      </c>
      <c r="AW126" s="21">
        <f>EXP(-LN(2)/2)*AW125+(1-EXP(-LN(2)/2))/(LN(2)/2)*AQ126*AT126*VLOOKUP('Données projet'!$B$10,Paramètres!$A$1:$I$89,3,0)*0.475*44/12</f>
        <v>1.7003526792886791E-13</v>
      </c>
      <c r="AX126" s="21">
        <f t="shared" si="60"/>
        <v>2.2351516039160133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1.1368683772161603E-13</v>
      </c>
      <c r="BE126" s="13">
        <f>BD126*VLOOKUP('Données projet'!$B$11,Paramètres!$A$1:$I$89,3,0)*VLOOKUP('Données projet'!$B$11,Paramètres!$A$1:$I$89,5,0)</f>
        <v>6.7984728957526396E-14</v>
      </c>
      <c r="BF126" s="13">
        <f t="shared" si="91"/>
        <v>1.0682447123141398E-12</v>
      </c>
      <c r="BG126" s="20">
        <f t="shared" si="61"/>
        <v>1.978932943548152E-12</v>
      </c>
      <c r="BH126" s="59">
        <f t="shared" si="62"/>
        <v>293.3333333333353</v>
      </c>
      <c r="BI126" s="59">
        <f ca="1">AVERAGE(OFFSET($BH$3,0,0,'Données projet'!$E$11+1,1))-AVERAGE(OFFSET($H$3,0,0,'Données projet'!$E$11+1,1))</f>
        <v>258.31845364515124</v>
      </c>
      <c r="BJ126" s="59">
        <f t="shared" si="92"/>
        <v>280.26155987300996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1.819737871931292</v>
      </c>
      <c r="BQ126" s="21">
        <f>EXP(-LN(2)/25)*BQ125+(1-EXP(-LN(2)/25))/(LN(2)/25)*Calculateur!BL126*Calculateur!BN126*VLOOKUP('Données projet'!$B$11,Paramètres!$A$1:$I$89,3,0)*0.475*44/12</f>
        <v>0.71539531452092819</v>
      </c>
      <c r="BR126" s="21">
        <f>EXP(-LN(2)/2)*BR125+(1-EXP(-LN(2)/2))/(LN(2)/2)*BL126*BO126*VLOOKUP('Données projet'!$B$11,Paramètres!$A$1:$I$89,3,0)*0.475*44/12</f>
        <v>4.5510035960276335E-14</v>
      </c>
      <c r="BS126" s="22">
        <f t="shared" si="63"/>
        <v>2.5351331864522653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-5.6843418860808015E-14</v>
      </c>
      <c r="BZ126" s="13">
        <f>BY126*VLOOKUP('Données projet'!$B$12,Paramètres!$A$1:$I$89,3,0)*VLOOKUP('Données projet'!$B$12,Paramètres!$A$1:$I$89,5,0)</f>
        <v>-5.1431925385259088E-14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366.86025470473652</v>
      </c>
      <c r="CE126" s="59">
        <f t="shared" si="94"/>
        <v>513.80016421153414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0.40818880467729285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3.7200384691756219E-14</v>
      </c>
      <c r="CN126" s="22">
        <f t="shared" si="66"/>
        <v>0.40818880467733004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-5.6843418860808015E-14</v>
      </c>
      <c r="CU126" s="17">
        <f>CT126*VLOOKUP('Données projet'!$B$13,Paramètres!$A$1:$I$89,3,0)*VLOOKUP('Données projet'!$B$13,Paramètres!$A$1:$I$89,5,0)</f>
        <v>-3.1036506698001178E-14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207.02306964567629</v>
      </c>
      <c r="CZ126" s="59">
        <f t="shared" si="96"/>
        <v>342.06887933351783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1.0472156761605242</v>
      </c>
      <c r="DG126" s="21">
        <f>EXP(-LN(2)/25)*DG125+(1-EXP(-LN(2)/25))/(LN(2)/25)*Calculateur!DB126*Calculateur!DD126*VLOOKUP('Données projet'!$B$13,Paramètres!$A$1:$I$89,3,0)*0.475*44/12</f>
        <v>2.9535027723440153</v>
      </c>
      <c r="DH126" s="21">
        <f>EXP(-LN(2)/2)*DH125+(1-EXP(-LN(2)/2))/(LN(2)/2)*DB126*DE126*VLOOKUP('Données projet'!$B$13,Paramètres!$A$1:$I$89,3,0)*0.475*44/12</f>
        <v>1.333855332231513E-13</v>
      </c>
      <c r="DI126" s="22">
        <f t="shared" si="69"/>
        <v>4.0007184485046725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7">
        <f t="shared" si="56"/>
        <v>256.66666666666669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-1.1368683772161603E-13</v>
      </c>
      <c r="O127" s="13">
        <f>N127*VLOOKUP('Données projet'!$B$9,Paramètres!$A$1:$I$89,3,0)*VLOOKUP('Données projet'!$B$9,Paramètres!$A$1:$I$89,5,0)</f>
        <v>-5.3205440053716299E-14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319.22903094674564</v>
      </c>
      <c r="T127" s="59">
        <f t="shared" si="88"/>
        <v>254.58690973142848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1.4106586131629455</v>
      </c>
      <c r="AA127" s="21">
        <f>EXP(-LN(2)/25)*AA126+(1-EXP(-LN(2)/25))/(LN(2)/25)*Calculateur!V127*Calculateur!X127*VLOOKUP('Données projet'!$B$9,Paramètres!$A$1:$I$89,3,0)*0.475*44/12</f>
        <v>0.82310170882259859</v>
      </c>
      <c r="AB127" s="21">
        <f>EXP(-LN(2)/2)*AB126+(1-EXP(-LN(2)/2))/(LN(2)/2)*V127*Y127*VLOOKUP('Données projet'!$B$9,Paramètres!$A$1:$I$89,3,0)*0.475*44/12</f>
        <v>7.8466148377731547E-14</v>
      </c>
      <c r="AC127" s="22">
        <f t="shared" si="57"/>
        <v>2.2337603219856228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1.9895196601282805E-13</v>
      </c>
      <c r="AJ127" s="13">
        <f>AI127*VLOOKUP('Données projet'!$B$10,Paramètres!$A$1:$I$89,3,0)*VLOOKUP('Données projet'!$B$10,Paramètres!$A$1:$I$89,5,0)</f>
        <v>1.738044375088066E-13</v>
      </c>
      <c r="AK127" s="13">
        <f t="shared" si="89"/>
        <v>2.4483293633950478E-12</v>
      </c>
      <c r="AL127" s="20">
        <f t="shared" si="58"/>
        <v>4.566883036574213E-12</v>
      </c>
      <c r="AM127" s="59">
        <f t="shared" si="59"/>
        <v>293.33333333333786</v>
      </c>
      <c r="AN127" s="59">
        <f ca="1">AVERAGE(OFFSET($AM$3,0,0,'Données projet'!$E$10+1,1))-AVERAGE(OFFSET($H$3,0,0,'Données projet'!$E$10+1,1))</f>
        <v>321.23599968992932</v>
      </c>
      <c r="AO127" s="59">
        <f t="shared" si="90"/>
        <v>388.05195847800502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1.052862153911065</v>
      </c>
      <c r="AV127" s="21">
        <f>EXP(-LN(2)/25)*AV126+(1-EXP(-LN(2)/25))/(LN(2)/25)*Calculateur!AQ127*Calculateur!AS127*VLOOKUP('Données projet'!$B$10,Paramètres!$A$1:$I$89,3,0)*0.475*44/12</f>
        <v>1.1294766029990877</v>
      </c>
      <c r="AW127" s="21">
        <f>EXP(-LN(2)/2)*AW126+(1-EXP(-LN(2)/2))/(LN(2)/2)*AQ127*AT127*VLOOKUP('Données projet'!$B$10,Paramètres!$A$1:$I$89,3,0)*0.475*44/12</f>
        <v>1.2023309099337399E-13</v>
      </c>
      <c r="AX127" s="21">
        <f t="shared" si="60"/>
        <v>2.1823387569102732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1.1368683772161603E-13</v>
      </c>
      <c r="BE127" s="13">
        <f>BD127*VLOOKUP('Données projet'!$B$11,Paramètres!$A$1:$I$89,3,0)*VLOOKUP('Données projet'!$B$11,Paramètres!$A$1:$I$89,5,0)</f>
        <v>6.7984728957526396E-14</v>
      </c>
      <c r="BF127" s="13">
        <f t="shared" si="91"/>
        <v>1.0682447123141398E-12</v>
      </c>
      <c r="BG127" s="20">
        <f t="shared" si="61"/>
        <v>1.978932943548152E-12</v>
      </c>
      <c r="BH127" s="59">
        <f t="shared" si="62"/>
        <v>293.3333333333353</v>
      </c>
      <c r="BI127" s="59">
        <f ca="1">AVERAGE(OFFSET($BH$3,0,0,'Données projet'!$E$11+1,1))-AVERAGE(OFFSET($H$3,0,0,'Données projet'!$E$11+1,1))</f>
        <v>258.31845364515124</v>
      </c>
      <c r="BJ127" s="59">
        <f t="shared" si="92"/>
        <v>280.26155987300996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1.7840539221932248</v>
      </c>
      <c r="BQ127" s="21">
        <f>EXP(-LN(2)/25)*BQ126+(1-EXP(-LN(2)/25))/(LN(2)/25)*Calculateur!BL127*Calculateur!BN127*VLOOKUP('Données projet'!$B$11,Paramètres!$A$1:$I$89,3,0)*0.475*44/12</f>
        <v>0.69583279202434889</v>
      </c>
      <c r="BR127" s="21">
        <f>EXP(-LN(2)/2)*BR126+(1-EXP(-LN(2)/2))/(LN(2)/2)*BL127*BO127*VLOOKUP('Données projet'!$B$11,Paramètres!$A$1:$I$89,3,0)*0.475*44/12</f>
        <v>3.2180455039555027E-14</v>
      </c>
      <c r="BS127" s="22">
        <f t="shared" si="63"/>
        <v>2.4798867142176055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-5.6843418860808015E-14</v>
      </c>
      <c r="BZ127" s="13">
        <f>BY127*VLOOKUP('Données projet'!$B$12,Paramètres!$A$1:$I$89,3,0)*VLOOKUP('Données projet'!$B$12,Paramètres!$A$1:$I$89,5,0)</f>
        <v>-5.1431925385259088E-14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366.86025470473652</v>
      </c>
      <c r="CE127" s="59">
        <f t="shared" si="94"/>
        <v>513.80016421153414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0.4001844711881582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2.6304644278289058E-14</v>
      </c>
      <c r="CN127" s="22">
        <f t="shared" si="66"/>
        <v>0.40018447118818451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-5.6843418860808015E-14</v>
      </c>
      <c r="CU127" s="17">
        <f>CT127*VLOOKUP('Données projet'!$B$13,Paramètres!$A$1:$I$89,3,0)*VLOOKUP('Données projet'!$B$13,Paramètres!$A$1:$I$89,5,0)</f>
        <v>-3.1036506698001178E-14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207.02306964567629</v>
      </c>
      <c r="CZ127" s="59">
        <f t="shared" si="96"/>
        <v>342.06887933351783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1.0266804154895086</v>
      </c>
      <c r="DG127" s="21">
        <f>EXP(-LN(2)/25)*DG126+(1-EXP(-LN(2)/25))/(LN(2)/25)*Calculateur!DB127*Calculateur!DD127*VLOOKUP('Données projet'!$B$13,Paramètres!$A$1:$I$89,3,0)*0.475*44/12</f>
        <v>2.8727390837163078</v>
      </c>
      <c r="DH127" s="21">
        <f>EXP(-LN(2)/2)*DH126+(1-EXP(-LN(2)/2))/(LN(2)/2)*DB127*DE127*VLOOKUP('Données projet'!$B$13,Paramètres!$A$1:$I$89,3,0)*0.475*44/12</f>
        <v>9.4317815054273811E-14</v>
      </c>
      <c r="DI127" s="22">
        <f t="shared" si="69"/>
        <v>3.8994194992059104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7">
        <f t="shared" si="56"/>
        <v>256.66666666666669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-1.1368683772161603E-13</v>
      </c>
      <c r="O128" s="13">
        <f>N128*VLOOKUP('Données projet'!$B$9,Paramètres!$A$1:$I$89,3,0)*VLOOKUP('Données projet'!$B$9,Paramètres!$A$1:$I$89,5,0)</f>
        <v>-5.3205440053716299E-14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319.22903094674564</v>
      </c>
      <c r="T128" s="59">
        <f t="shared" si="88"/>
        <v>254.58690973142848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1.3829964581756151</v>
      </c>
      <c r="AA128" s="21">
        <f>EXP(-LN(2)/25)*AA127+(1-EXP(-LN(2)/25))/(LN(2)/25)*Calculateur!V128*Calculateur!X128*VLOOKUP('Données projet'!$B$9,Paramètres!$A$1:$I$89,3,0)*0.475*44/12</f>
        <v>0.80059394930980698</v>
      </c>
      <c r="AB128" s="21">
        <f>EXP(-LN(2)/2)*AB127+(1-EXP(-LN(2)/2))/(LN(2)/2)*V128*Y128*VLOOKUP('Données projet'!$B$9,Paramètres!$A$1:$I$89,3,0)*0.475*44/12</f>
        <v>5.5483945611483799E-14</v>
      </c>
      <c r="AC128" s="22">
        <f t="shared" si="57"/>
        <v>2.1835904074854775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1.9895196601282805E-13</v>
      </c>
      <c r="AJ128" s="13">
        <f>AI128*VLOOKUP('Données projet'!$B$10,Paramètres!$A$1:$I$89,3,0)*VLOOKUP('Données projet'!$B$10,Paramètres!$A$1:$I$89,5,0)</f>
        <v>1.738044375088066E-13</v>
      </c>
      <c r="AK128" s="13">
        <f t="shared" si="89"/>
        <v>2.4483293633950478E-12</v>
      </c>
      <c r="AL128" s="20">
        <f t="shared" si="58"/>
        <v>4.566883036574213E-12</v>
      </c>
      <c r="AM128" s="59">
        <f t="shared" si="59"/>
        <v>293.33333333333786</v>
      </c>
      <c r="AN128" s="59">
        <f ca="1">AVERAGE(OFFSET($AM$3,0,0,'Données projet'!$E$10+1,1))-AVERAGE(OFFSET($H$3,0,0,'Données projet'!$E$10+1,1))</f>
        <v>321.23599968992932</v>
      </c>
      <c r="AO128" s="59">
        <f t="shared" si="90"/>
        <v>388.05195847800502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1.0322161692553726</v>
      </c>
      <c r="AV128" s="21">
        <f>EXP(-LN(2)/25)*AV127+(1-EXP(-LN(2)/25))/(LN(2)/25)*Calculateur!AQ128*Calculateur!AS128*VLOOKUP('Données projet'!$B$10,Paramètres!$A$1:$I$89,3,0)*0.475*44/12</f>
        <v>1.0985910058934845</v>
      </c>
      <c r="AW128" s="21">
        <f>EXP(-LN(2)/2)*AW127+(1-EXP(-LN(2)/2))/(LN(2)/2)*AQ128*AT128*VLOOKUP('Données projet'!$B$10,Paramètres!$A$1:$I$89,3,0)*0.475*44/12</f>
        <v>8.5017633964433957E-14</v>
      </c>
      <c r="AX128" s="21">
        <f t="shared" si="60"/>
        <v>2.1308071751489419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1.1368683772161603E-13</v>
      </c>
      <c r="BE128" s="13">
        <f>BD128*VLOOKUP('Données projet'!$B$11,Paramètres!$A$1:$I$89,3,0)*VLOOKUP('Données projet'!$B$11,Paramètres!$A$1:$I$89,5,0)</f>
        <v>6.7984728957526396E-14</v>
      </c>
      <c r="BF128" s="13">
        <f t="shared" si="91"/>
        <v>1.0682447123141398E-12</v>
      </c>
      <c r="BG128" s="20">
        <f t="shared" si="61"/>
        <v>1.978932943548152E-12</v>
      </c>
      <c r="BH128" s="59">
        <f t="shared" si="62"/>
        <v>293.3333333333353</v>
      </c>
      <c r="BI128" s="59">
        <f ca="1">AVERAGE(OFFSET($BH$3,0,0,'Données projet'!$E$11+1,1))-AVERAGE(OFFSET($H$3,0,0,'Données projet'!$E$11+1,1))</f>
        <v>258.31845364515124</v>
      </c>
      <c r="BJ128" s="59">
        <f t="shared" si="92"/>
        <v>280.26155987300996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1.7490697129444608</v>
      </c>
      <c r="BQ128" s="21">
        <f>EXP(-LN(2)/25)*BQ127+(1-EXP(-LN(2)/25))/(LN(2)/25)*Calculateur!BL128*Calculateur!BN128*VLOOKUP('Données projet'!$B$11,Paramètres!$A$1:$I$89,3,0)*0.475*44/12</f>
        <v>0.67680520773418684</v>
      </c>
      <c r="BR128" s="21">
        <f>EXP(-LN(2)/2)*BR127+(1-EXP(-LN(2)/2))/(LN(2)/2)*BL128*BO128*VLOOKUP('Données projet'!$B$11,Paramètres!$A$1:$I$89,3,0)*0.475*44/12</f>
        <v>2.2755017980138167E-14</v>
      </c>
      <c r="BS128" s="22">
        <f t="shared" si="63"/>
        <v>2.4258749206786701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-5.6843418860808015E-14</v>
      </c>
      <c r="BZ128" s="13">
        <f>BY128*VLOOKUP('Données projet'!$B$12,Paramètres!$A$1:$I$89,3,0)*VLOOKUP('Données projet'!$B$12,Paramètres!$A$1:$I$89,5,0)</f>
        <v>-5.1431925385259088E-14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366.86025470473652</v>
      </c>
      <c r="CE128" s="59">
        <f t="shared" si="94"/>
        <v>513.80016421153414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0.3923370977965841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1.860019234587811E-14</v>
      </c>
      <c r="CN128" s="22">
        <f t="shared" si="66"/>
        <v>0.3923370977966027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-5.6843418860808015E-14</v>
      </c>
      <c r="CU128" s="17">
        <f>CT128*VLOOKUP('Données projet'!$B$13,Paramètres!$A$1:$I$89,3,0)*VLOOKUP('Données projet'!$B$13,Paramètres!$A$1:$I$89,5,0)</f>
        <v>-3.1036506698001178E-14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207.02306964567629</v>
      </c>
      <c r="CZ128" s="59">
        <f t="shared" si="96"/>
        <v>342.06887933351783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1.0065478387549793</v>
      </c>
      <c r="DG128" s="21">
        <f>EXP(-LN(2)/25)*DG127+(1-EXP(-LN(2)/25))/(LN(2)/25)*Calculateur!DB128*Calculateur!DD128*VLOOKUP('Données projet'!$B$13,Paramètres!$A$1:$I$89,3,0)*0.475*44/12</f>
        <v>2.7941838824013026</v>
      </c>
      <c r="DH128" s="21">
        <f>EXP(-LN(2)/2)*DH127+(1-EXP(-LN(2)/2))/(LN(2)/2)*DB128*DE128*VLOOKUP('Données projet'!$B$13,Paramètres!$A$1:$I$89,3,0)*0.475*44/12</f>
        <v>6.6692766611575649E-14</v>
      </c>
      <c r="DI128" s="22">
        <f t="shared" si="69"/>
        <v>3.8007317211563487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7">
        <f t="shared" si="56"/>
        <v>256.66666666666669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-1.1368683772161603E-13</v>
      </c>
      <c r="O129" s="13">
        <f>N129*VLOOKUP('Données projet'!$B$9,Paramètres!$A$1:$I$89,3,0)*VLOOKUP('Données projet'!$B$9,Paramètres!$A$1:$I$89,5,0)</f>
        <v>-5.3205440053716299E-14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319.22903094674564</v>
      </c>
      <c r="T129" s="59">
        <f t="shared" si="88"/>
        <v>254.58690973142848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1.3558767411753376</v>
      </c>
      <c r="AA129" s="21">
        <f>EXP(-LN(2)/25)*AA128+(1-EXP(-LN(2)/25))/(LN(2)/25)*Calculateur!V129*Calculateur!X129*VLOOKUP('Données projet'!$B$9,Paramètres!$A$1:$I$89,3,0)*0.475*44/12</f>
        <v>0.77870166566452426</v>
      </c>
      <c r="AB129" s="21">
        <f>EXP(-LN(2)/2)*AB128+(1-EXP(-LN(2)/2))/(LN(2)/2)*V129*Y129*VLOOKUP('Données projet'!$B$9,Paramètres!$A$1:$I$89,3,0)*0.475*44/12</f>
        <v>3.923307418886578E-14</v>
      </c>
      <c r="AC129" s="22">
        <f t="shared" si="57"/>
        <v>2.1345784068399007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1.9895196601282805E-13</v>
      </c>
      <c r="AJ129" s="13">
        <f>AI129*VLOOKUP('Données projet'!$B$10,Paramètres!$A$1:$I$89,3,0)*VLOOKUP('Données projet'!$B$10,Paramètres!$A$1:$I$89,5,0)</f>
        <v>1.738044375088066E-13</v>
      </c>
      <c r="AK129" s="13">
        <f t="shared" si="89"/>
        <v>2.4483293633950478E-12</v>
      </c>
      <c r="AL129" s="20">
        <f t="shared" si="58"/>
        <v>4.566883036574213E-12</v>
      </c>
      <c r="AM129" s="59">
        <f t="shared" si="59"/>
        <v>293.33333333333786</v>
      </c>
      <c r="AN129" s="59">
        <f ca="1">AVERAGE(OFFSET($AM$3,0,0,'Données projet'!$E$10+1,1))-AVERAGE(OFFSET($H$3,0,0,'Données projet'!$E$10+1,1))</f>
        <v>321.23599968992932</v>
      </c>
      <c r="AO129" s="59">
        <f t="shared" si="90"/>
        <v>388.05195847800502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1.0119750397659713</v>
      </c>
      <c r="AV129" s="21">
        <f>EXP(-LN(2)/25)*AV128+(1-EXP(-LN(2)/25))/(LN(2)/25)*Calculateur!AQ129*Calculateur!AS129*VLOOKUP('Données projet'!$B$10,Paramètres!$A$1:$I$89,3,0)*0.475*44/12</f>
        <v>1.0685499770649369</v>
      </c>
      <c r="AW129" s="21">
        <f>EXP(-LN(2)/2)*AW128+(1-EXP(-LN(2)/2))/(LN(2)/2)*AQ129*AT129*VLOOKUP('Données projet'!$B$10,Paramètres!$A$1:$I$89,3,0)*0.475*44/12</f>
        <v>6.0116545496686993E-14</v>
      </c>
      <c r="AX129" s="21">
        <f t="shared" si="60"/>
        <v>2.0805250168309679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1.1368683772161603E-13</v>
      </c>
      <c r="BE129" s="13">
        <f>BD129*VLOOKUP('Données projet'!$B$11,Paramètres!$A$1:$I$89,3,0)*VLOOKUP('Données projet'!$B$11,Paramètres!$A$1:$I$89,5,0)</f>
        <v>6.7984728957526396E-14</v>
      </c>
      <c r="BF129" s="13">
        <f t="shared" si="91"/>
        <v>1.0682447123141398E-12</v>
      </c>
      <c r="BG129" s="20">
        <f t="shared" si="61"/>
        <v>1.978932943548152E-12</v>
      </c>
      <c r="BH129" s="59">
        <f t="shared" si="62"/>
        <v>293.3333333333353</v>
      </c>
      <c r="BI129" s="59">
        <f ca="1">AVERAGE(OFFSET($BH$3,0,0,'Données projet'!$E$11+1,1))-AVERAGE(OFFSET($H$3,0,0,'Données projet'!$E$11+1,1))</f>
        <v>258.31845364515124</v>
      </c>
      <c r="BJ129" s="59">
        <f t="shared" si="92"/>
        <v>280.26155987300996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1.7147715227008045</v>
      </c>
      <c r="BQ129" s="21">
        <f>EXP(-LN(2)/25)*BQ128+(1-EXP(-LN(2)/25))/(LN(2)/25)*Calculateur!BL129*Calculateur!BN129*VLOOKUP('Données projet'!$B$11,Paramètres!$A$1:$I$89,3,0)*0.475*44/12</f>
        <v>0.65829793373705647</v>
      </c>
      <c r="BR129" s="21">
        <f>EXP(-LN(2)/2)*BR128+(1-EXP(-LN(2)/2))/(LN(2)/2)*BL129*BO129*VLOOKUP('Données projet'!$B$11,Paramètres!$A$1:$I$89,3,0)*0.475*44/12</f>
        <v>1.6090227519777514E-14</v>
      </c>
      <c r="BS129" s="22">
        <f t="shared" si="63"/>
        <v>2.3730694564378769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-5.6843418860808015E-14</v>
      </c>
      <c r="BZ129" s="13">
        <f>BY129*VLOOKUP('Données projet'!$B$12,Paramètres!$A$1:$I$89,3,0)*VLOOKUP('Données projet'!$B$12,Paramètres!$A$1:$I$89,5,0)</f>
        <v>-5.1431925385259088E-14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366.86025470473652</v>
      </c>
      <c r="CE129" s="59">
        <f t="shared" si="94"/>
        <v>513.80016421153414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0.38464360661079361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1.3152322139144529E-14</v>
      </c>
      <c r="CN129" s="22">
        <f t="shared" si="66"/>
        <v>0.38464360661080677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-5.6843418860808015E-14</v>
      </c>
      <c r="CU129" s="17">
        <f>CT129*VLOOKUP('Données projet'!$B$13,Paramètres!$A$1:$I$89,3,0)*VLOOKUP('Données projet'!$B$13,Paramètres!$A$1:$I$89,5,0)</f>
        <v>-3.1036506698001178E-14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207.02306964567629</v>
      </c>
      <c r="CZ129" s="59">
        <f t="shared" si="96"/>
        <v>342.06887933351783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0.98681004957055496</v>
      </c>
      <c r="DG129" s="21">
        <f>EXP(-LN(2)/25)*DG128+(1-EXP(-LN(2)/25))/(LN(2)/25)*Calculateur!DB129*Calculateur!DD129*VLOOKUP('Données projet'!$B$13,Paramètres!$A$1:$I$89,3,0)*0.475*44/12</f>
        <v>2.7177767771972947</v>
      </c>
      <c r="DH129" s="21">
        <f>EXP(-LN(2)/2)*DH128+(1-EXP(-LN(2)/2))/(LN(2)/2)*DB129*DE129*VLOOKUP('Données projet'!$B$13,Paramètres!$A$1:$I$89,3,0)*0.475*44/12</f>
        <v>4.7158907527136906E-14</v>
      </c>
      <c r="DI129" s="22">
        <f t="shared" si="69"/>
        <v>3.7045868267678967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7">
        <f t="shared" si="56"/>
        <v>256.66666666666669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-1.1368683772161603E-13</v>
      </c>
      <c r="O130" s="13">
        <f>N130*VLOOKUP('Données projet'!$B$9,Paramètres!$A$1:$I$89,3,0)*VLOOKUP('Données projet'!$B$9,Paramètres!$A$1:$I$89,5,0)</f>
        <v>-5.3205440053716299E-14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319.22903094674564</v>
      </c>
      <c r="T130" s="59">
        <f t="shared" si="88"/>
        <v>254.58690973142848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1.3292888252840416</v>
      </c>
      <c r="AA130" s="21">
        <f>EXP(-LN(2)/25)*AA129+(1-EXP(-LN(2)/25))/(LN(2)/25)*Calculateur!V130*Calculateur!X130*VLOOKUP('Données projet'!$B$9,Paramètres!$A$1:$I$89,3,0)*0.475*44/12</f>
        <v>0.75740802766678694</v>
      </c>
      <c r="AB130" s="21">
        <f>EXP(-LN(2)/2)*AB129+(1-EXP(-LN(2)/2))/(LN(2)/2)*V130*Y130*VLOOKUP('Données projet'!$B$9,Paramètres!$A$1:$I$89,3,0)*0.475*44/12</f>
        <v>2.7741972805741903E-14</v>
      </c>
      <c r="AC130" s="22">
        <f t="shared" si="57"/>
        <v>2.0866968529508561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1.9895196601282805E-13</v>
      </c>
      <c r="AJ130" s="13">
        <f>AI130*VLOOKUP('Données projet'!$B$10,Paramètres!$A$1:$I$89,3,0)*VLOOKUP('Données projet'!$B$10,Paramètres!$A$1:$I$89,5,0)</f>
        <v>1.738044375088066E-13</v>
      </c>
      <c r="AK130" s="13">
        <f t="shared" si="89"/>
        <v>2.4483293633950478E-12</v>
      </c>
      <c r="AL130" s="20">
        <f t="shared" si="58"/>
        <v>4.566883036574213E-12</v>
      </c>
      <c r="AM130" s="59">
        <f t="shared" si="59"/>
        <v>293.33333333333786</v>
      </c>
      <c r="AN130" s="59">
        <f ca="1">AVERAGE(OFFSET($AM$3,0,0,'Données projet'!$E$10+1,1))-AVERAGE(OFFSET($H$3,0,0,'Données projet'!$E$10+1,1))</f>
        <v>321.23599968992932</v>
      </c>
      <c r="AO130" s="59">
        <f t="shared" si="90"/>
        <v>388.05195847800502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0.99213082647998707</v>
      </c>
      <c r="AV130" s="21">
        <f>EXP(-LN(2)/25)*AV129+(1-EXP(-LN(2)/25))/(LN(2)/25)*Calculateur!AQ130*Calculateur!AS130*VLOOKUP('Données projet'!$B$10,Paramètres!$A$1:$I$89,3,0)*0.475*44/12</f>
        <v>1.0393304217494952</v>
      </c>
      <c r="AW130" s="21">
        <f>EXP(-LN(2)/2)*AW129+(1-EXP(-LN(2)/2))/(LN(2)/2)*AQ130*AT130*VLOOKUP('Données projet'!$B$10,Paramètres!$A$1:$I$89,3,0)*0.475*44/12</f>
        <v>4.2508816982216979E-14</v>
      </c>
      <c r="AX130" s="21">
        <f t="shared" si="60"/>
        <v>2.0314612482295251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1.1368683772161603E-13</v>
      </c>
      <c r="BE130" s="13">
        <f>BD130*VLOOKUP('Données projet'!$B$11,Paramètres!$A$1:$I$89,3,0)*VLOOKUP('Données projet'!$B$11,Paramètres!$A$1:$I$89,5,0)</f>
        <v>6.7984728957526396E-14</v>
      </c>
      <c r="BF130" s="13">
        <f t="shared" si="91"/>
        <v>1.0682447123141398E-12</v>
      </c>
      <c r="BG130" s="20">
        <f t="shared" si="61"/>
        <v>1.978932943548152E-12</v>
      </c>
      <c r="BH130" s="59">
        <f t="shared" si="62"/>
        <v>293.3333333333353</v>
      </c>
      <c r="BI130" s="59">
        <f ca="1">AVERAGE(OFFSET($BH$3,0,0,'Données projet'!$E$11+1,1))-AVERAGE(OFFSET($H$3,0,0,'Données projet'!$E$11+1,1))</f>
        <v>258.31845364515124</v>
      </c>
      <c r="BJ130" s="59">
        <f t="shared" si="92"/>
        <v>280.26155987300996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1.6811458990479957</v>
      </c>
      <c r="BQ130" s="21">
        <f>EXP(-LN(2)/25)*BQ129+(1-EXP(-LN(2)/25))/(LN(2)/25)*Calculateur!BL130*Calculateur!BN130*VLOOKUP('Données projet'!$B$11,Paramètres!$A$1:$I$89,3,0)*0.475*44/12</f>
        <v>0.64029674212063292</v>
      </c>
      <c r="BR130" s="21">
        <f>EXP(-LN(2)/2)*BR129+(1-EXP(-LN(2)/2))/(LN(2)/2)*BL130*BO130*VLOOKUP('Données projet'!$B$11,Paramètres!$A$1:$I$89,3,0)*0.475*44/12</f>
        <v>1.1377508990069084E-14</v>
      </c>
      <c r="BS130" s="22">
        <f t="shared" si="63"/>
        <v>2.3214426411686402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-5.6843418860808015E-14</v>
      </c>
      <c r="BZ130" s="13">
        <f>BY130*VLOOKUP('Données projet'!$B$12,Paramètres!$A$1:$I$89,3,0)*VLOOKUP('Données projet'!$B$12,Paramètres!$A$1:$I$89,5,0)</f>
        <v>-5.1431925385259088E-14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366.86025470473652</v>
      </c>
      <c r="CE130" s="59">
        <f t="shared" si="94"/>
        <v>513.80016421153414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0.3771009800945902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9.3000961729390548E-15</v>
      </c>
      <c r="CN130" s="22">
        <f t="shared" si="66"/>
        <v>0.37710098009459952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-5.6843418860808015E-14</v>
      </c>
      <c r="CU130" s="17">
        <f>CT130*VLOOKUP('Données projet'!$B$13,Paramètres!$A$1:$I$89,3,0)*VLOOKUP('Données projet'!$B$13,Paramètres!$A$1:$I$89,5,0)</f>
        <v>-3.1036506698001178E-14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207.02306964567629</v>
      </c>
      <c r="CZ130" s="59">
        <f t="shared" si="96"/>
        <v>342.06887933351783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0.96745930639317446</v>
      </c>
      <c r="DG130" s="21">
        <f>EXP(-LN(2)/25)*DG129+(1-EXP(-LN(2)/25))/(LN(2)/25)*Calculateur!DB130*Calculateur!DD130*VLOOKUP('Données projet'!$B$13,Paramètres!$A$1:$I$89,3,0)*0.475*44/12</f>
        <v>2.6434590283031656</v>
      </c>
      <c r="DH130" s="21">
        <f>EXP(-LN(2)/2)*DH129+(1-EXP(-LN(2)/2))/(LN(2)/2)*DB130*DE130*VLOOKUP('Données projet'!$B$13,Paramètres!$A$1:$I$89,3,0)*0.475*44/12</f>
        <v>3.3346383305787824E-14</v>
      </c>
      <c r="DI130" s="22">
        <f t="shared" si="69"/>
        <v>3.6109183346963731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7">
        <f t="shared" si="56"/>
        <v>256.66666666666669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-1.1368683772161603E-13</v>
      </c>
      <c r="O131" s="13">
        <f>N131*VLOOKUP('Données projet'!$B$9,Paramètres!$A$1:$I$89,3,0)*VLOOKUP('Données projet'!$B$9,Paramètres!$A$1:$I$89,5,0)</f>
        <v>-5.3205440053716299E-14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319.22903094674564</v>
      </c>
      <c r="T131" s="59">
        <f t="shared" si="88"/>
        <v>254.58690973142848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1.3032222822063464</v>
      </c>
      <c r="AA131" s="21">
        <f>EXP(-LN(2)/25)*AA130+(1-EXP(-LN(2)/25))/(LN(2)/25)*Calculateur!V131*Calculateur!X131*VLOOKUP('Données projet'!$B$9,Paramètres!$A$1:$I$89,3,0)*0.475*44/12</f>
        <v>0.73669666531988154</v>
      </c>
      <c r="AB131" s="21">
        <f>EXP(-LN(2)/2)*AB130+(1-EXP(-LN(2)/2))/(LN(2)/2)*V131*Y131*VLOOKUP('Données projet'!$B$9,Paramètres!$A$1:$I$89,3,0)*0.475*44/12</f>
        <v>1.9616537094432893E-14</v>
      </c>
      <c r="AC131" s="22">
        <f t="shared" si="57"/>
        <v>2.0399189475262474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1.9895196601282805E-13</v>
      </c>
      <c r="AJ131" s="13">
        <f>AI131*VLOOKUP('Données projet'!$B$10,Paramètres!$A$1:$I$89,3,0)*VLOOKUP('Données projet'!$B$10,Paramètres!$A$1:$I$89,5,0)</f>
        <v>1.738044375088066E-13</v>
      </c>
      <c r="AK131" s="13">
        <f t="shared" si="89"/>
        <v>2.4483293633950478E-12</v>
      </c>
      <c r="AL131" s="20">
        <f t="shared" si="58"/>
        <v>4.566883036574213E-12</v>
      </c>
      <c r="AM131" s="59">
        <f t="shared" si="59"/>
        <v>293.33333333333786</v>
      </c>
      <c r="AN131" s="59">
        <f ca="1">AVERAGE(OFFSET($AM$3,0,0,'Données projet'!$E$10+1,1))-AVERAGE(OFFSET($H$3,0,0,'Données projet'!$E$10+1,1))</f>
        <v>321.23599968992932</v>
      </c>
      <c r="AO131" s="59">
        <f t="shared" si="90"/>
        <v>388.05195847800502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0.97267574611276608</v>
      </c>
      <c r="AV131" s="21">
        <f>EXP(-LN(2)/25)*AV130+(1-EXP(-LN(2)/25))/(LN(2)/25)*Calculateur!AQ131*Calculateur!AS131*VLOOKUP('Données projet'!$B$10,Paramètres!$A$1:$I$89,3,0)*0.475*44/12</f>
        <v>1.0109098767107438</v>
      </c>
      <c r="AW131" s="21">
        <f>EXP(-LN(2)/2)*AW130+(1-EXP(-LN(2)/2))/(LN(2)/2)*AQ131*AT131*VLOOKUP('Données projet'!$B$10,Paramètres!$A$1:$I$89,3,0)*0.475*44/12</f>
        <v>3.0058272748343497E-14</v>
      </c>
      <c r="AX131" s="21">
        <f t="shared" si="60"/>
        <v>1.9835856228235398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1.1368683772161603E-13</v>
      </c>
      <c r="BE131" s="13">
        <f>BD131*VLOOKUP('Données projet'!$B$11,Paramètres!$A$1:$I$89,3,0)*VLOOKUP('Données projet'!$B$11,Paramètres!$A$1:$I$89,5,0)</f>
        <v>6.7984728957526396E-14</v>
      </c>
      <c r="BF131" s="13">
        <f t="shared" si="91"/>
        <v>1.0682447123141398E-12</v>
      </c>
      <c r="BG131" s="20">
        <f t="shared" si="61"/>
        <v>1.978932943548152E-12</v>
      </c>
      <c r="BH131" s="59">
        <f t="shared" si="62"/>
        <v>293.3333333333353</v>
      </c>
      <c r="BI131" s="59">
        <f ca="1">AVERAGE(OFFSET($BH$3,0,0,'Données projet'!$E$11+1,1))-AVERAGE(OFFSET($H$3,0,0,'Données projet'!$E$11+1,1))</f>
        <v>258.31845364515124</v>
      </c>
      <c r="BJ131" s="59">
        <f t="shared" si="92"/>
        <v>280.26155987300996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1.6481796533654134</v>
      </c>
      <c r="BQ131" s="21">
        <f>EXP(-LN(2)/25)*BQ130+(1-EXP(-LN(2)/25))/(LN(2)/25)*Calculateur!BL131*Calculateur!BN131*VLOOKUP('Données projet'!$B$11,Paramètres!$A$1:$I$89,3,0)*0.475*44/12</f>
        <v>0.62278779403560192</v>
      </c>
      <c r="BR131" s="21">
        <f>EXP(-LN(2)/2)*BR130+(1-EXP(-LN(2)/2))/(LN(2)/2)*BL131*BO131*VLOOKUP('Données projet'!$B$11,Paramètres!$A$1:$I$89,3,0)*0.475*44/12</f>
        <v>8.0451137598887568E-15</v>
      </c>
      <c r="BS131" s="22">
        <f t="shared" si="63"/>
        <v>2.2709674474010235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-5.6843418860808015E-14</v>
      </c>
      <c r="BZ131" s="13">
        <f>BY131*VLOOKUP('Données projet'!$B$12,Paramètres!$A$1:$I$89,3,0)*VLOOKUP('Données projet'!$B$12,Paramètres!$A$1:$I$89,5,0)</f>
        <v>-5.1431925385259088E-14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366.86025470473652</v>
      </c>
      <c r="CE131" s="59">
        <f t="shared" si="94"/>
        <v>513.80016421153414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0.36970625988382166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6.5761610695722644E-15</v>
      </c>
      <c r="CN131" s="22">
        <f t="shared" si="66"/>
        <v>0.36970625988382821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-5.6843418860808015E-14</v>
      </c>
      <c r="CU131" s="17">
        <f>CT131*VLOOKUP('Données projet'!$B$13,Paramètres!$A$1:$I$89,3,0)*VLOOKUP('Données projet'!$B$13,Paramètres!$A$1:$I$89,5,0)</f>
        <v>-3.1036506698001178E-14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207.02306964567629</v>
      </c>
      <c r="CZ131" s="59">
        <f t="shared" si="96"/>
        <v>342.06887933351783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0.94848801948671446</v>
      </c>
      <c r="DG131" s="21">
        <f>EXP(-LN(2)/25)*DG130+(1-EXP(-LN(2)/25))/(LN(2)/25)*Calculateur!DB131*Calculateur!DD131*VLOOKUP('Données projet'!$B$13,Paramètres!$A$1:$I$89,3,0)*0.475*44/12</f>
        <v>2.5711735021607471</v>
      </c>
      <c r="DH131" s="21">
        <f>EXP(-LN(2)/2)*DH130+(1-EXP(-LN(2)/2))/(LN(2)/2)*DB131*DE131*VLOOKUP('Données projet'!$B$13,Paramètres!$A$1:$I$89,3,0)*0.475*44/12</f>
        <v>2.3579453763568453E-14</v>
      </c>
      <c r="DI131" s="22">
        <f t="shared" si="69"/>
        <v>3.5196615216474849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7">
        <f t="shared" ref="H132:H195" si="110">(B132+E132+F132)*44/12+(C132+D132)*0.475*44/12</f>
        <v>256.66666666666669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-1.1368683772161603E-13</v>
      </c>
      <c r="O132" s="13">
        <f>N132*VLOOKUP('Données projet'!$B$9,Paramètres!$A$1:$I$89,3,0)*VLOOKUP('Données projet'!$B$9,Paramètres!$A$1:$I$89,5,0)</f>
        <v>-5.3205440053716299E-14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319.22903094674564</v>
      </c>
      <c r="T132" s="59">
        <f t="shared" si="88"/>
        <v>254.58690973142848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1.2776668881393836</v>
      </c>
      <c r="AA132" s="21">
        <f>EXP(-LN(2)/25)*AA131+(1-EXP(-LN(2)/25))/(LN(2)/25)*Calculateur!V132*Calculateur!X132*VLOOKUP('Données projet'!$B$9,Paramètres!$A$1:$I$89,3,0)*0.475*44/12</f>
        <v>0.71655165626551554</v>
      </c>
      <c r="AB132" s="21">
        <f>EXP(-LN(2)/2)*AB131+(1-EXP(-LN(2)/2))/(LN(2)/2)*V132*Y132*VLOOKUP('Données projet'!$B$9,Paramètres!$A$1:$I$89,3,0)*0.475*44/12</f>
        <v>1.3870986402870953E-14</v>
      </c>
      <c r="AC132" s="22">
        <f t="shared" ref="AC132:AC153" si="111">SUM(Z132:AB132)</f>
        <v>1.9942185444049128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1.9895196601282805E-13</v>
      </c>
      <c r="AJ132" s="13">
        <f>AI132*VLOOKUP('Données projet'!$B$10,Paramètres!$A$1:$I$89,3,0)*VLOOKUP('Données projet'!$B$10,Paramètres!$A$1:$I$89,5,0)</f>
        <v>1.738044375088066E-13</v>
      </c>
      <c r="AK132" s="13">
        <f t="shared" si="89"/>
        <v>2.4483293633950478E-12</v>
      </c>
      <c r="AL132" s="20">
        <f t="shared" ref="AL132:AL153" si="112">(AJ132+AK132)*0.475*44/12</f>
        <v>4.566883036574213E-12</v>
      </c>
      <c r="AM132" s="59">
        <f t="shared" ref="AM132:AM195" si="113">AL132+(AD132+AE132)*44/12</f>
        <v>293.33333333333786</v>
      </c>
      <c r="AN132" s="59">
        <f ca="1">AVERAGE(OFFSET($AM$3,0,0,'Données projet'!$E$10+1,1))-AVERAGE(OFFSET($H$3,0,0,'Données projet'!$E$10+1,1))</f>
        <v>321.23599968992932</v>
      </c>
      <c r="AO132" s="59">
        <f t="shared" si="90"/>
        <v>388.05195847800502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0.95360216800511899</v>
      </c>
      <c r="AV132" s="21">
        <f>EXP(-LN(2)/25)*AV131+(1-EXP(-LN(2)/25))/(LN(2)/25)*Calculateur!AQ132*Calculateur!AS132*VLOOKUP('Données projet'!$B$10,Paramètres!$A$1:$I$89,3,0)*0.475*44/12</f>
        <v>0.98326649297064861</v>
      </c>
      <c r="AW132" s="21">
        <f>EXP(-LN(2)/2)*AW131+(1-EXP(-LN(2)/2))/(LN(2)/2)*AQ132*AT132*VLOOKUP('Données projet'!$B$10,Paramètres!$A$1:$I$89,3,0)*0.475*44/12</f>
        <v>2.1254408491108489E-14</v>
      </c>
      <c r="AX132" s="21">
        <f t="shared" ref="AX132:AX153" si="114">SUM(AU132:AW132)</f>
        <v>1.9368686609757888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1.1368683772161603E-13</v>
      </c>
      <c r="BE132" s="13">
        <f>BD132*VLOOKUP('Données projet'!$B$11,Paramètres!$A$1:$I$89,3,0)*VLOOKUP('Données projet'!$B$11,Paramètres!$A$1:$I$89,5,0)</f>
        <v>6.7984728957526396E-14</v>
      </c>
      <c r="BF132" s="13">
        <f t="shared" si="91"/>
        <v>1.0682447123141398E-12</v>
      </c>
      <c r="BG132" s="20">
        <f t="shared" ref="BG132:BG153" si="115">(BE132+BF132)*0.475*44/12</f>
        <v>1.978932943548152E-12</v>
      </c>
      <c r="BH132" s="59">
        <f t="shared" ref="BH132:BH195" si="116">BG132+(AY132+AZ132)*44/12</f>
        <v>293.3333333333353</v>
      </c>
      <c r="BI132" s="59">
        <f ca="1">AVERAGE(OFFSET($BH$3,0,0,'Données projet'!$E$11+1,1))-AVERAGE(OFFSET($H$3,0,0,'Données projet'!$E$11+1,1))</f>
        <v>258.31845364515124</v>
      </c>
      <c r="BJ132" s="59">
        <f t="shared" si="92"/>
        <v>280.26155987300996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1.615859855653242</v>
      </c>
      <c r="BQ132" s="21">
        <f>EXP(-LN(2)/25)*BQ131+(1-EXP(-LN(2)/25))/(LN(2)/25)*Calculateur!BL132*Calculateur!BN132*VLOOKUP('Données projet'!$B$11,Paramètres!$A$1:$I$89,3,0)*0.475*44/12</f>
        <v>0.60575762905671171</v>
      </c>
      <c r="BR132" s="21">
        <f>EXP(-LN(2)/2)*BR131+(1-EXP(-LN(2)/2))/(LN(2)/2)*BL132*BO132*VLOOKUP('Données projet'!$B$11,Paramètres!$A$1:$I$89,3,0)*0.475*44/12</f>
        <v>5.6887544950345418E-15</v>
      </c>
      <c r="BS132" s="22">
        <f t="shared" ref="BS132:BS153" si="117">SUM(BP132:BR132)</f>
        <v>2.2216174847099595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-5.6843418860808015E-14</v>
      </c>
      <c r="BZ132" s="13">
        <f>BY132*VLOOKUP('Données projet'!$B$12,Paramètres!$A$1:$I$89,3,0)*VLOOKUP('Données projet'!$B$12,Paramètres!$A$1:$I$89,5,0)</f>
        <v>-5.1431925385259088E-14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366.86025470473652</v>
      </c>
      <c r="CE132" s="59">
        <f t="shared" si="94"/>
        <v>513.80016421153414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0.36245654562605234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4.6500480864695274E-15</v>
      </c>
      <c r="CN132" s="22">
        <f t="shared" ref="CN132:CN153" si="120">SUM(CK132:CM132)</f>
        <v>0.362456545626057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-5.6843418860808015E-14</v>
      </c>
      <c r="CU132" s="17">
        <f>CT132*VLOOKUP('Données projet'!$B$13,Paramètres!$A$1:$I$89,3,0)*VLOOKUP('Données projet'!$B$13,Paramètres!$A$1:$I$89,5,0)</f>
        <v>-3.1036506698001178E-14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207.02306964567629</v>
      </c>
      <c r="CZ132" s="59">
        <f t="shared" si="96"/>
        <v>342.06887933351783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0.92988874794514775</v>
      </c>
      <c r="DG132" s="21">
        <f>EXP(-LN(2)/25)*DG131+(1-EXP(-LN(2)/25))/(LN(2)/25)*Calculateur!DB132*Calculateur!DD132*VLOOKUP('Données projet'!$B$13,Paramètres!$A$1:$I$89,3,0)*0.475*44/12</f>
        <v>2.5008646275320237</v>
      </c>
      <c r="DH132" s="21">
        <f>EXP(-LN(2)/2)*DH131+(1-EXP(-LN(2)/2))/(LN(2)/2)*DB132*DE132*VLOOKUP('Données projet'!$B$13,Paramètres!$A$1:$I$89,3,0)*0.475*44/12</f>
        <v>1.6673191652893912E-14</v>
      </c>
      <c r="DI132" s="22">
        <f t="shared" ref="DI132:DI153" si="123">SUM(DF132:DH132)</f>
        <v>3.4307533754771882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7">
        <f t="shared" si="110"/>
        <v>256.66666666666669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-1.1368683772161603E-13</v>
      </c>
      <c r="O133" s="13">
        <f>N133*VLOOKUP('Données projet'!$B$9,Paramètres!$A$1:$I$89,3,0)*VLOOKUP('Données projet'!$B$9,Paramètres!$A$1:$I$89,5,0)</f>
        <v>-5.3205440053716299E-14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319.22903094674564</v>
      </c>
      <c r="T133" s="59">
        <f t="shared" ref="T133:T196" si="142">$T$3</f>
        <v>254.58690973142848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1.2526126197628225</v>
      </c>
      <c r="AA133" s="21">
        <f>EXP(-LN(2)/25)*AA132+(1-EXP(-LN(2)/25))/(LN(2)/25)*Calculateur!V133*Calculateur!X133*VLOOKUP('Données projet'!$B$9,Paramètres!$A$1:$I$89,3,0)*0.475*44/12</f>
        <v>0.69695751354312108</v>
      </c>
      <c r="AB133" s="21">
        <f>EXP(-LN(2)/2)*AB132+(1-EXP(-LN(2)/2))/(LN(2)/2)*V133*Y133*VLOOKUP('Données projet'!$B$9,Paramètres!$A$1:$I$89,3,0)*0.475*44/12</f>
        <v>9.8082685472164481E-15</v>
      </c>
      <c r="AC133" s="22">
        <f t="shared" si="111"/>
        <v>1.9495701333059534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1.9895196601282805E-13</v>
      </c>
      <c r="AJ133" s="13">
        <f>AI133*VLOOKUP('Données projet'!$B$10,Paramètres!$A$1:$I$89,3,0)*VLOOKUP('Données projet'!$B$10,Paramètres!$A$1:$I$89,5,0)</f>
        <v>1.738044375088066E-13</v>
      </c>
      <c r="AK133" s="13">
        <f t="shared" ref="AK133:AK153" si="143">EXP(-1.0587+0.8836*LN(AJ133)+0.284)</f>
        <v>2.4483293633950478E-12</v>
      </c>
      <c r="AL133" s="20">
        <f t="shared" si="112"/>
        <v>4.566883036574213E-12</v>
      </c>
      <c r="AM133" s="59">
        <f t="shared" si="113"/>
        <v>293.33333333333786</v>
      </c>
      <c r="AN133" s="59">
        <f ca="1">AVERAGE(OFFSET($AM$3,0,0,'Données projet'!$E$10+1,1))-AVERAGE(OFFSET($H$3,0,0,'Données projet'!$E$10+1,1))</f>
        <v>321.23599968992932</v>
      </c>
      <c r="AO133" s="59">
        <f t="shared" ref="AO133:AO196" si="144">$AO$3</f>
        <v>388.05195847800502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0.93490261113042894</v>
      </c>
      <c r="AV133" s="21">
        <f>EXP(-LN(2)/25)*AV132+(1-EXP(-LN(2)/25))/(LN(2)/25)*Calculateur!AQ133*Calculateur!AS133*VLOOKUP('Données projet'!$B$10,Paramètres!$A$1:$I$89,3,0)*0.475*44/12</f>
        <v>0.95637901901262867</v>
      </c>
      <c r="AW133" s="21">
        <f>EXP(-LN(2)/2)*AW132+(1-EXP(-LN(2)/2))/(LN(2)/2)*AQ133*AT133*VLOOKUP('Données projet'!$B$10,Paramètres!$A$1:$I$89,3,0)*0.475*44/12</f>
        <v>1.5029136374171748E-14</v>
      </c>
      <c r="AX133" s="21">
        <f t="shared" si="114"/>
        <v>1.8912816301430726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1.1368683772161603E-13</v>
      </c>
      <c r="BE133" s="13">
        <f>BD133*VLOOKUP('Données projet'!$B$11,Paramètres!$A$1:$I$89,3,0)*VLOOKUP('Données projet'!$B$11,Paramètres!$A$1:$I$89,5,0)</f>
        <v>6.7984728957526396E-14</v>
      </c>
      <c r="BF133" s="13">
        <f t="shared" ref="BF133:BF153" si="145">EXP(-1.0587+0.8836*LN(BE133)+0.284)</f>
        <v>1.0682447123141398E-12</v>
      </c>
      <c r="BG133" s="20">
        <f t="shared" si="115"/>
        <v>1.978932943548152E-12</v>
      </c>
      <c r="BH133" s="59">
        <f t="shared" si="116"/>
        <v>293.3333333333353</v>
      </c>
      <c r="BI133" s="59">
        <f ca="1">AVERAGE(OFFSET($BH$3,0,0,'Données projet'!$E$11+1,1))-AVERAGE(OFFSET($H$3,0,0,'Données projet'!$E$11+1,1))</f>
        <v>258.31845364515124</v>
      </c>
      <c r="BJ133" s="59">
        <f t="shared" ref="BJ133:BJ196" si="146">$BJ$3</f>
        <v>280.26155987300996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1.5841738294610761</v>
      </c>
      <c r="BQ133" s="21">
        <f>EXP(-LN(2)/25)*BQ132+(1-EXP(-LN(2)/25))/(LN(2)/25)*Calculateur!BL133*Calculateur!BN133*VLOOKUP('Données projet'!$B$11,Paramètres!$A$1:$I$89,3,0)*0.475*44/12</f>
        <v>0.58919315483474666</v>
      </c>
      <c r="BR133" s="21">
        <f>EXP(-LN(2)/2)*BR132+(1-EXP(-LN(2)/2))/(LN(2)/2)*BL133*BO133*VLOOKUP('Données projet'!$B$11,Paramètres!$A$1:$I$89,3,0)*0.475*44/12</f>
        <v>4.0225568799443784E-15</v>
      </c>
      <c r="BS133" s="22">
        <f t="shared" si="117"/>
        <v>2.1733669842958268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-5.6843418860808015E-14</v>
      </c>
      <c r="BZ133" s="13">
        <f>BY133*VLOOKUP('Données projet'!$B$12,Paramètres!$A$1:$I$89,3,0)*VLOOKUP('Données projet'!$B$12,Paramètres!$A$1:$I$89,5,0)</f>
        <v>-5.1431925385259088E-14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366.86025470473652</v>
      </c>
      <c r="CE133" s="59">
        <f t="shared" ref="CE133:CE196" si="148">$CE$3</f>
        <v>513.80016421153414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0.35534899384298879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3.2880805347861322E-15</v>
      </c>
      <c r="CN133" s="22">
        <f t="shared" si="120"/>
        <v>0.35534899384299207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-5.6843418860808015E-14</v>
      </c>
      <c r="CU133" s="17">
        <f>CT133*VLOOKUP('Données projet'!$B$13,Paramètres!$A$1:$I$89,3,0)*VLOOKUP('Données projet'!$B$13,Paramètres!$A$1:$I$89,5,0)</f>
        <v>-3.1036506698001178E-14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207.02306964567629</v>
      </c>
      <c r="CZ133" s="59">
        <f t="shared" ref="CZ133:CZ196" si="150">$CZ$3</f>
        <v>342.06887933351783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0.91165419677407566</v>
      </c>
      <c r="DG133" s="21">
        <f>EXP(-LN(2)/25)*DG132+(1-EXP(-LN(2)/25))/(LN(2)/25)*Calculateur!DB133*Calculateur!DD133*VLOOKUP('Données projet'!$B$13,Paramètres!$A$1:$I$89,3,0)*0.475*44/12</f>
        <v>2.4324783527774057</v>
      </c>
      <c r="DH133" s="21">
        <f>EXP(-LN(2)/2)*DH132+(1-EXP(-LN(2)/2))/(LN(2)/2)*DB133*DE133*VLOOKUP('Données projet'!$B$13,Paramètres!$A$1:$I$89,3,0)*0.475*44/12</f>
        <v>1.1789726881784226E-14</v>
      </c>
      <c r="DI133" s="22">
        <f t="shared" si="123"/>
        <v>3.3441325495514933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7">
        <f t="shared" si="110"/>
        <v>256.66666666666669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-1.1368683772161603E-13</v>
      </c>
      <c r="O134" s="13">
        <f>N134*VLOOKUP('Données projet'!$B$9,Paramètres!$A$1:$I$89,3,0)*VLOOKUP('Données projet'!$B$9,Paramètres!$A$1:$I$89,5,0)</f>
        <v>-5.3205440053716299E-14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319.22903094674564</v>
      </c>
      <c r="T134" s="59">
        <f t="shared" si="142"/>
        <v>254.58690973142848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1.2280496503075311</v>
      </c>
      <c r="AA134" s="21">
        <f>EXP(-LN(2)/25)*AA133+(1-EXP(-LN(2)/25))/(LN(2)/25)*Calculateur!V134*Calculateur!X134*VLOOKUP('Données projet'!$B$9,Paramètres!$A$1:$I$89,3,0)*0.475*44/12</f>
        <v>0.67789917368388175</v>
      </c>
      <c r="AB134" s="21">
        <f>EXP(-LN(2)/2)*AB133+(1-EXP(-LN(2)/2))/(LN(2)/2)*V134*Y134*VLOOKUP('Données projet'!$B$9,Paramètres!$A$1:$I$89,3,0)*0.475*44/12</f>
        <v>6.935493201435478E-15</v>
      </c>
      <c r="AC134" s="22">
        <f t="shared" si="111"/>
        <v>1.9059488239914197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1.9895196601282805E-13</v>
      </c>
      <c r="AJ134" s="13">
        <f>AI134*VLOOKUP('Données projet'!$B$10,Paramètres!$A$1:$I$89,3,0)*VLOOKUP('Données projet'!$B$10,Paramètres!$A$1:$I$89,5,0)</f>
        <v>1.738044375088066E-13</v>
      </c>
      <c r="AK134" s="13">
        <f t="shared" si="143"/>
        <v>2.4483293633950478E-12</v>
      </c>
      <c r="AL134" s="20">
        <f t="shared" si="112"/>
        <v>4.566883036574213E-12</v>
      </c>
      <c r="AM134" s="59">
        <f t="shared" si="113"/>
        <v>293.33333333333786</v>
      </c>
      <c r="AN134" s="59">
        <f ca="1">AVERAGE(OFFSET($AM$3,0,0,'Données projet'!$E$10+1,1))-AVERAGE(OFFSET($H$3,0,0,'Données projet'!$E$10+1,1))</f>
        <v>321.23599968992932</v>
      </c>
      <c r="AO134" s="59">
        <f t="shared" si="144"/>
        <v>388.05195847800502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0.91656974116044809</v>
      </c>
      <c r="AV134" s="21">
        <f>EXP(-LN(2)/25)*AV133+(1-EXP(-LN(2)/25))/(LN(2)/25)*Calculateur!AQ134*Calculateur!AS134*VLOOKUP('Données projet'!$B$10,Paramètres!$A$1:$I$89,3,0)*0.475*44/12</f>
        <v>0.93022678444394158</v>
      </c>
      <c r="AW134" s="21">
        <f>EXP(-LN(2)/2)*AW133+(1-EXP(-LN(2)/2))/(LN(2)/2)*AQ134*AT134*VLOOKUP('Données projet'!$B$10,Paramètres!$A$1:$I$89,3,0)*0.475*44/12</f>
        <v>1.0627204245554245E-14</v>
      </c>
      <c r="AX134" s="21">
        <f t="shared" si="114"/>
        <v>1.8467965256044003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1.1368683772161603E-13</v>
      </c>
      <c r="BE134" s="13">
        <f>BD134*VLOOKUP('Données projet'!$B$11,Paramètres!$A$1:$I$89,3,0)*VLOOKUP('Données projet'!$B$11,Paramètres!$A$1:$I$89,5,0)</f>
        <v>6.7984728957526396E-14</v>
      </c>
      <c r="BF134" s="13">
        <f t="shared" si="145"/>
        <v>1.0682447123141398E-12</v>
      </c>
      <c r="BG134" s="20">
        <f t="shared" si="115"/>
        <v>1.978932943548152E-12</v>
      </c>
      <c r="BH134" s="59">
        <f t="shared" si="116"/>
        <v>293.3333333333353</v>
      </c>
      <c r="BI134" s="59">
        <f ca="1">AVERAGE(OFFSET($BH$3,0,0,'Données projet'!$E$11+1,1))-AVERAGE(OFFSET($H$3,0,0,'Données projet'!$E$11+1,1))</f>
        <v>258.31845364515124</v>
      </c>
      <c r="BJ134" s="59">
        <f t="shared" si="146"/>
        <v>280.26155987300996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1.553109146915971</v>
      </c>
      <c r="BQ134" s="21">
        <f>EXP(-LN(2)/25)*BQ133+(1-EXP(-LN(2)/25))/(LN(2)/25)*Calculateur!BL134*Calculateur!BN134*VLOOKUP('Données projet'!$B$11,Paramètres!$A$1:$I$89,3,0)*0.475*44/12</f>
        <v>0.57308163703146908</v>
      </c>
      <c r="BR134" s="21">
        <f>EXP(-LN(2)/2)*BR133+(1-EXP(-LN(2)/2))/(LN(2)/2)*BL134*BO134*VLOOKUP('Données projet'!$B$11,Paramètres!$A$1:$I$89,3,0)*0.475*44/12</f>
        <v>2.8443772475172709E-15</v>
      </c>
      <c r="BS134" s="22">
        <f t="shared" si="117"/>
        <v>2.1261907839474428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-5.6843418860808015E-14</v>
      </c>
      <c r="BZ134" s="13">
        <f>BY134*VLOOKUP('Données projet'!$B$12,Paramètres!$A$1:$I$89,3,0)*VLOOKUP('Données projet'!$B$12,Paramètres!$A$1:$I$89,5,0)</f>
        <v>-5.1431925385259088E-14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366.86025470473652</v>
      </c>
      <c r="CE134" s="59">
        <f t="shared" si="148"/>
        <v>513.80016421153414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0.3483808168152126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2.3250240432347637E-15</v>
      </c>
      <c r="CN134" s="22">
        <f t="shared" si="120"/>
        <v>0.34838081681521493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-5.6843418860808015E-14</v>
      </c>
      <c r="CU134" s="17">
        <f>CT134*VLOOKUP('Données projet'!$B$13,Paramètres!$A$1:$I$89,3,0)*VLOOKUP('Données projet'!$B$13,Paramètres!$A$1:$I$89,5,0)</f>
        <v>-3.1036506698001178E-14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207.02306964567629</v>
      </c>
      <c r="CZ134" s="59">
        <f t="shared" si="150"/>
        <v>342.06887933351783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0.89377721402949029</v>
      </c>
      <c r="DG134" s="21">
        <f>EXP(-LN(2)/25)*DG133+(1-EXP(-LN(2)/25))/(LN(2)/25)*Calculateur!DB134*Calculateur!DD134*VLOOKUP('Données projet'!$B$13,Paramètres!$A$1:$I$89,3,0)*0.475*44/12</f>
        <v>2.3659621043022305</v>
      </c>
      <c r="DH134" s="21">
        <f>EXP(-LN(2)/2)*DH133+(1-EXP(-LN(2)/2))/(LN(2)/2)*DB134*DE134*VLOOKUP('Données projet'!$B$13,Paramètres!$A$1:$I$89,3,0)*0.475*44/12</f>
        <v>8.3365958264469561E-15</v>
      </c>
      <c r="DI134" s="22">
        <f t="shared" si="123"/>
        <v>3.2597393183317291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7">
        <f t="shared" si="110"/>
        <v>256.66666666666669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-1.1368683772161603E-13</v>
      </c>
      <c r="O135" s="13">
        <f>N135*VLOOKUP('Données projet'!$B$9,Paramètres!$A$1:$I$89,3,0)*VLOOKUP('Données projet'!$B$9,Paramètres!$A$1:$I$89,5,0)</f>
        <v>-5.3205440053716299E-14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319.22903094674564</v>
      </c>
      <c r="T135" s="59">
        <f t="shared" si="142"/>
        <v>254.58690973142848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1.2039683457013259</v>
      </c>
      <c r="AA135" s="21">
        <f>EXP(-LN(2)/25)*AA134+(1-EXP(-LN(2)/25))/(LN(2)/25)*Calculateur!V135*Calculateur!X135*VLOOKUP('Données projet'!$B$9,Paramètres!$A$1:$I$89,3,0)*0.475*44/12</f>
        <v>0.65936198513032784</v>
      </c>
      <c r="AB135" s="21">
        <f>EXP(-LN(2)/2)*AB134+(1-EXP(-LN(2)/2))/(LN(2)/2)*V135*Y135*VLOOKUP('Données projet'!$B$9,Paramètres!$A$1:$I$89,3,0)*0.475*44/12</f>
        <v>4.9041342736082248E-15</v>
      </c>
      <c r="AC135" s="22">
        <f t="shared" si="111"/>
        <v>1.8633303308316587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1.9895196601282805E-13</v>
      </c>
      <c r="AJ135" s="13">
        <f>AI135*VLOOKUP('Données projet'!$B$10,Paramètres!$A$1:$I$89,3,0)*VLOOKUP('Données projet'!$B$10,Paramètres!$A$1:$I$89,5,0)</f>
        <v>1.738044375088066E-13</v>
      </c>
      <c r="AK135" s="13">
        <f t="shared" si="143"/>
        <v>2.4483293633950478E-12</v>
      </c>
      <c r="AL135" s="20">
        <f t="shared" si="112"/>
        <v>4.566883036574213E-12</v>
      </c>
      <c r="AM135" s="59">
        <f t="shared" si="113"/>
        <v>293.33333333333786</v>
      </c>
      <c r="AN135" s="59">
        <f ca="1">AVERAGE(OFFSET($AM$3,0,0,'Données projet'!$E$10+1,1))-AVERAGE(OFFSET($H$3,0,0,'Données projet'!$E$10+1,1))</f>
        <v>321.23599968992932</v>
      </c>
      <c r="AO135" s="59">
        <f t="shared" si="144"/>
        <v>388.05195847800502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0.89859636758863193</v>
      </c>
      <c r="AV135" s="21">
        <f>EXP(-LN(2)/25)*AV134+(1-EXP(-LN(2)/25))/(LN(2)/25)*Calculateur!AQ135*Calculateur!AS135*VLOOKUP('Données projet'!$B$10,Paramètres!$A$1:$I$89,3,0)*0.475*44/12</f>
        <v>0.90478968410482141</v>
      </c>
      <c r="AW135" s="21">
        <f>EXP(-LN(2)/2)*AW134+(1-EXP(-LN(2)/2))/(LN(2)/2)*AQ135*AT135*VLOOKUP('Données projet'!$B$10,Paramètres!$A$1:$I$89,3,0)*0.475*44/12</f>
        <v>7.5145681870858741E-15</v>
      </c>
      <c r="AX135" s="21">
        <f t="shared" si="114"/>
        <v>1.8033860516934608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1.1368683772161603E-13</v>
      </c>
      <c r="BE135" s="13">
        <f>BD135*VLOOKUP('Données projet'!$B$11,Paramètres!$A$1:$I$89,3,0)*VLOOKUP('Données projet'!$B$11,Paramètres!$A$1:$I$89,5,0)</f>
        <v>6.7984728957526396E-14</v>
      </c>
      <c r="BF135" s="13">
        <f t="shared" si="145"/>
        <v>1.0682447123141398E-12</v>
      </c>
      <c r="BG135" s="20">
        <f t="shared" si="115"/>
        <v>1.978932943548152E-12</v>
      </c>
      <c r="BH135" s="59">
        <f t="shared" si="116"/>
        <v>293.3333333333353</v>
      </c>
      <c r="BI135" s="59">
        <f ca="1">AVERAGE(OFFSET($BH$3,0,0,'Données projet'!$E$11+1,1))-AVERAGE(OFFSET($H$3,0,0,'Données projet'!$E$11+1,1))</f>
        <v>258.31845364515124</v>
      </c>
      <c r="BJ135" s="59">
        <f t="shared" si="146"/>
        <v>280.26155987300996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1.52265362384799</v>
      </c>
      <c r="BQ135" s="21">
        <f>EXP(-LN(2)/25)*BQ134+(1-EXP(-LN(2)/25))/(LN(2)/25)*Calculateur!BL135*Calculateur!BN135*VLOOKUP('Données projet'!$B$11,Paramètres!$A$1:$I$89,3,0)*0.475*44/12</f>
        <v>0.55741068952979012</v>
      </c>
      <c r="BR135" s="21">
        <f>EXP(-LN(2)/2)*BR134+(1-EXP(-LN(2)/2))/(LN(2)/2)*BL135*BO135*VLOOKUP('Données projet'!$B$11,Paramètres!$A$1:$I$89,3,0)*0.475*44/12</f>
        <v>2.0112784399721892E-15</v>
      </c>
      <c r="BS135" s="22">
        <f t="shared" si="117"/>
        <v>2.0800643133777821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-5.6843418860808015E-14</v>
      </c>
      <c r="BZ135" s="13">
        <f>BY135*VLOOKUP('Données projet'!$B$12,Paramètres!$A$1:$I$89,3,0)*VLOOKUP('Données projet'!$B$12,Paramètres!$A$1:$I$89,5,0)</f>
        <v>-5.1431925385259088E-14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366.86025470473652</v>
      </c>
      <c r="CE135" s="59">
        <f t="shared" si="148"/>
        <v>513.80016421153414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0.34154928148878277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1.6440402673930661E-15</v>
      </c>
      <c r="CN135" s="22">
        <f t="shared" si="120"/>
        <v>0.34154928148878444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-5.6843418860808015E-14</v>
      </c>
      <c r="CU135" s="17">
        <f>CT135*VLOOKUP('Données projet'!$B$13,Paramètres!$A$1:$I$89,3,0)*VLOOKUP('Données projet'!$B$13,Paramètres!$A$1:$I$89,5,0)</f>
        <v>-3.1036506698001178E-14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207.02306964567629</v>
      </c>
      <c r="CZ135" s="59">
        <f t="shared" si="150"/>
        <v>342.06887933351783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0.87625078801264344</v>
      </c>
      <c r="DG135" s="21">
        <f>EXP(-LN(2)/25)*DG134+(1-EXP(-LN(2)/25))/(LN(2)/25)*Calculateur!DB135*Calculateur!DD135*VLOOKUP('Données projet'!$B$13,Paramètres!$A$1:$I$89,3,0)*0.475*44/12</f>
        <v>2.3012647461395463</v>
      </c>
      <c r="DH135" s="21">
        <f>EXP(-LN(2)/2)*DH134+(1-EXP(-LN(2)/2))/(LN(2)/2)*DB135*DE135*VLOOKUP('Données projet'!$B$13,Paramètres!$A$1:$I$89,3,0)*0.475*44/12</f>
        <v>5.8948634408921132E-15</v>
      </c>
      <c r="DI135" s="22">
        <f t="shared" si="123"/>
        <v>3.1775155341521955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7">
        <f t="shared" si="110"/>
        <v>256.66666666666669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-1.1368683772161603E-13</v>
      </c>
      <c r="O136" s="13">
        <f>N136*VLOOKUP('Données projet'!$B$9,Paramètres!$A$1:$I$89,3,0)*VLOOKUP('Données projet'!$B$9,Paramètres!$A$1:$I$89,5,0)</f>
        <v>-5.3205440053716299E-14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319.22903094674564</v>
      </c>
      <c r="T136" s="59">
        <f t="shared" si="142"/>
        <v>254.58690973142848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1.1803592607903028</v>
      </c>
      <c r="AA136" s="21">
        <f>EXP(-LN(2)/25)*AA135+(1-EXP(-LN(2)/25))/(LN(2)/25)*Calculateur!V136*Calculateur!X136*VLOOKUP('Données projet'!$B$9,Paramètres!$A$1:$I$89,3,0)*0.475*44/12</f>
        <v>0.64133169697259917</v>
      </c>
      <c r="AB136" s="21">
        <f>EXP(-LN(2)/2)*AB135+(1-EXP(-LN(2)/2))/(LN(2)/2)*V136*Y136*VLOOKUP('Données projet'!$B$9,Paramètres!$A$1:$I$89,3,0)*0.475*44/12</f>
        <v>3.4677466007177394E-15</v>
      </c>
      <c r="AC136" s="22">
        <f t="shared" si="111"/>
        <v>1.8216909577629057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1.9895196601282805E-13</v>
      </c>
      <c r="AJ136" s="13">
        <f>AI136*VLOOKUP('Données projet'!$B$10,Paramètres!$A$1:$I$89,3,0)*VLOOKUP('Données projet'!$B$10,Paramètres!$A$1:$I$89,5,0)</f>
        <v>1.738044375088066E-13</v>
      </c>
      <c r="AK136" s="13">
        <f t="shared" si="143"/>
        <v>2.4483293633950478E-12</v>
      </c>
      <c r="AL136" s="20">
        <f t="shared" si="112"/>
        <v>4.566883036574213E-12</v>
      </c>
      <c r="AM136" s="59">
        <f t="shared" si="113"/>
        <v>293.33333333333786</v>
      </c>
      <c r="AN136" s="59">
        <f ca="1">AVERAGE(OFFSET($AM$3,0,0,'Données projet'!$E$10+1,1))-AVERAGE(OFFSET($H$3,0,0,'Données projet'!$E$10+1,1))</f>
        <v>321.23599968992932</v>
      </c>
      <c r="AO136" s="59">
        <f t="shared" si="144"/>
        <v>388.05195847800502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0.88097544090988378</v>
      </c>
      <c r="AV136" s="21">
        <f>EXP(-LN(2)/25)*AV135+(1-EXP(-LN(2)/25))/(LN(2)/25)*Calculateur!AQ136*Calculateur!AS136*VLOOKUP('Données projet'!$B$10,Paramètres!$A$1:$I$89,3,0)*0.475*44/12</f>
        <v>0.88004816261215346</v>
      </c>
      <c r="AW136" s="21">
        <f>EXP(-LN(2)/2)*AW135+(1-EXP(-LN(2)/2))/(LN(2)/2)*AQ136*AT136*VLOOKUP('Données projet'!$B$10,Paramètres!$A$1:$I$89,3,0)*0.475*44/12</f>
        <v>5.3136021227771223E-15</v>
      </c>
      <c r="AX136" s="21">
        <f t="shared" si="114"/>
        <v>1.7610236035220426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1.1368683772161603E-13</v>
      </c>
      <c r="BE136" s="13">
        <f>BD136*VLOOKUP('Données projet'!$B$11,Paramètres!$A$1:$I$89,3,0)*VLOOKUP('Données projet'!$B$11,Paramètres!$A$1:$I$89,5,0)</f>
        <v>6.7984728957526396E-14</v>
      </c>
      <c r="BF136" s="13">
        <f t="shared" si="145"/>
        <v>1.0682447123141398E-12</v>
      </c>
      <c r="BG136" s="20">
        <f t="shared" si="115"/>
        <v>1.978932943548152E-12</v>
      </c>
      <c r="BH136" s="59">
        <f t="shared" si="116"/>
        <v>293.3333333333353</v>
      </c>
      <c r="BI136" s="59">
        <f ca="1">AVERAGE(OFFSET($BH$3,0,0,'Données projet'!$E$11+1,1))-AVERAGE(OFFSET($H$3,0,0,'Données projet'!$E$11+1,1))</f>
        <v>258.31845364515124</v>
      </c>
      <c r="BJ136" s="59">
        <f t="shared" si="146"/>
        <v>280.26155987300996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1.4927953150113373</v>
      </c>
      <c r="BQ136" s="21">
        <f>EXP(-LN(2)/25)*BQ135+(1-EXP(-LN(2)/25))/(LN(2)/25)*Calculateur!BL136*Calculateur!BN136*VLOOKUP('Données projet'!$B$11,Paramètres!$A$1:$I$89,3,0)*0.475*44/12</f>
        <v>0.54216826491164383</v>
      </c>
      <c r="BR136" s="21">
        <f>EXP(-LN(2)/2)*BR135+(1-EXP(-LN(2)/2))/(LN(2)/2)*BL136*BO136*VLOOKUP('Données projet'!$B$11,Paramètres!$A$1:$I$89,3,0)*0.475*44/12</f>
        <v>1.4221886237586355E-15</v>
      </c>
      <c r="BS136" s="22">
        <f t="shared" si="117"/>
        <v>2.0349635799229824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-5.6843418860808015E-14</v>
      </c>
      <c r="BZ136" s="13">
        <f>BY136*VLOOKUP('Données projet'!$B$12,Paramètres!$A$1:$I$89,3,0)*VLOOKUP('Données projet'!$B$12,Paramètres!$A$1:$I$89,5,0)</f>
        <v>-5.1431925385259088E-14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366.86025470473652</v>
      </c>
      <c r="CE136" s="59">
        <f t="shared" si="148"/>
        <v>513.80016421153414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0.3348517084032791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1.1625120216173819E-15</v>
      </c>
      <c r="CN136" s="22">
        <f t="shared" si="120"/>
        <v>0.33485170840328027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-5.6843418860808015E-14</v>
      </c>
      <c r="CU136" s="17">
        <f>CT136*VLOOKUP('Données projet'!$B$13,Paramètres!$A$1:$I$89,3,0)*VLOOKUP('Données projet'!$B$13,Paramètres!$A$1:$I$89,5,0)</f>
        <v>-3.1036506698001178E-14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207.02306964567629</v>
      </c>
      <c r="CZ136" s="59">
        <f t="shared" si="150"/>
        <v>342.06887933351783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0.85906804451992258</v>
      </c>
      <c r="DG136" s="21">
        <f>EXP(-LN(2)/25)*DG135+(1-EXP(-LN(2)/25))/(LN(2)/25)*Calculateur!DB136*Calculateur!DD136*VLOOKUP('Données projet'!$B$13,Paramètres!$A$1:$I$89,3,0)*0.475*44/12</f>
        <v>2.2383365406381071</v>
      </c>
      <c r="DH136" s="21">
        <f>EXP(-LN(2)/2)*DH135+(1-EXP(-LN(2)/2))/(LN(2)/2)*DB136*DE136*VLOOKUP('Données projet'!$B$13,Paramètres!$A$1:$I$89,3,0)*0.475*44/12</f>
        <v>4.168297913223478E-15</v>
      </c>
      <c r="DI136" s="22">
        <f t="shared" si="123"/>
        <v>3.0974045851580336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7">
        <f t="shared" si="110"/>
        <v>256.66666666666669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-1.1368683772161603E-13</v>
      </c>
      <c r="O137" s="13">
        <f>N137*VLOOKUP('Données projet'!$B$9,Paramètres!$A$1:$I$89,3,0)*VLOOKUP('Données projet'!$B$9,Paramètres!$A$1:$I$89,5,0)</f>
        <v>-5.3205440053716299E-14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319.22903094674564</v>
      </c>
      <c r="T137" s="59">
        <f t="shared" si="142"/>
        <v>254.58690973142848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1.1572131356342652</v>
      </c>
      <c r="AA137" s="21">
        <f>EXP(-LN(2)/25)*AA136+(1-EXP(-LN(2)/25))/(LN(2)/25)*Calculateur!V137*Calculateur!X137*VLOOKUP('Données projet'!$B$9,Paramètres!$A$1:$I$89,3,0)*0.475*44/12</f>
        <v>0.62379444799271533</v>
      </c>
      <c r="AB137" s="21">
        <f>EXP(-LN(2)/2)*AB136+(1-EXP(-LN(2)/2))/(LN(2)/2)*V137*Y137*VLOOKUP('Données projet'!$B$9,Paramètres!$A$1:$I$89,3,0)*0.475*44/12</f>
        <v>2.4520671368041128E-15</v>
      </c>
      <c r="AC137" s="22">
        <f t="shared" si="111"/>
        <v>1.781007583626983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1.9895196601282805E-13</v>
      </c>
      <c r="AJ137" s="13">
        <f>AI137*VLOOKUP('Données projet'!$B$10,Paramètres!$A$1:$I$89,3,0)*VLOOKUP('Données projet'!$B$10,Paramètres!$A$1:$I$89,5,0)</f>
        <v>1.738044375088066E-13</v>
      </c>
      <c r="AK137" s="13">
        <f t="shared" si="143"/>
        <v>2.4483293633950478E-12</v>
      </c>
      <c r="AL137" s="20">
        <f t="shared" si="112"/>
        <v>4.566883036574213E-12</v>
      </c>
      <c r="AM137" s="59">
        <f t="shared" si="113"/>
        <v>293.33333333333786</v>
      </c>
      <c r="AN137" s="59">
        <f ca="1">AVERAGE(OFFSET($AM$3,0,0,'Données projet'!$E$10+1,1))-AVERAGE(OFFSET($H$3,0,0,'Données projet'!$E$10+1,1))</f>
        <v>321.23599968992932</v>
      </c>
      <c r="AO137" s="59">
        <f t="shared" si="144"/>
        <v>388.05195847800502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0.86370004985560178</v>
      </c>
      <c r="AV137" s="21">
        <f>EXP(-LN(2)/25)*AV136+(1-EXP(-LN(2)/25))/(LN(2)/25)*Calculateur!AQ137*Calculateur!AS137*VLOOKUP('Données projet'!$B$10,Paramètres!$A$1:$I$89,3,0)*0.475*44/12</f>
        <v>0.85598319932580258</v>
      </c>
      <c r="AW137" s="21">
        <f>EXP(-LN(2)/2)*AW136+(1-EXP(-LN(2)/2))/(LN(2)/2)*AQ137*AT137*VLOOKUP('Données projet'!$B$10,Paramètres!$A$1:$I$89,3,0)*0.475*44/12</f>
        <v>3.7572840935429371E-15</v>
      </c>
      <c r="AX137" s="21">
        <f t="shared" si="114"/>
        <v>1.719683249181408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1.1368683772161603E-13</v>
      </c>
      <c r="BE137" s="13">
        <f>BD137*VLOOKUP('Données projet'!$B$11,Paramètres!$A$1:$I$89,3,0)*VLOOKUP('Données projet'!$B$11,Paramètres!$A$1:$I$89,5,0)</f>
        <v>6.7984728957526396E-14</v>
      </c>
      <c r="BF137" s="13">
        <f t="shared" si="145"/>
        <v>1.0682447123141398E-12</v>
      </c>
      <c r="BG137" s="20">
        <f t="shared" si="115"/>
        <v>1.978932943548152E-12</v>
      </c>
      <c r="BH137" s="59">
        <f t="shared" si="116"/>
        <v>293.3333333333353</v>
      </c>
      <c r="BI137" s="59">
        <f ca="1">AVERAGE(OFFSET($BH$3,0,0,'Données projet'!$E$11+1,1))-AVERAGE(OFFSET($H$3,0,0,'Données projet'!$E$11+1,1))</f>
        <v>258.31845364515124</v>
      </c>
      <c r="BJ137" s="59">
        <f t="shared" si="146"/>
        <v>280.26155987300996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1.4635225093992013</v>
      </c>
      <c r="BQ137" s="21">
        <f>EXP(-LN(2)/25)*BQ136+(1-EXP(-LN(2)/25))/(LN(2)/25)*Calculateur!BL137*Calculateur!BN137*VLOOKUP('Données projet'!$B$11,Paramètres!$A$1:$I$89,3,0)*0.475*44/12</f>
        <v>0.52734264519624496</v>
      </c>
      <c r="BR137" s="21">
        <f>EXP(-LN(2)/2)*BR136+(1-EXP(-LN(2)/2))/(LN(2)/2)*BL137*BO137*VLOOKUP('Données projet'!$B$11,Paramètres!$A$1:$I$89,3,0)*0.475*44/12</f>
        <v>1.0056392199860946E-15</v>
      </c>
      <c r="BS137" s="22">
        <f t="shared" si="117"/>
        <v>1.9908651545954472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-5.6843418860808015E-14</v>
      </c>
      <c r="BZ137" s="13">
        <f>BY137*VLOOKUP('Données projet'!$B$12,Paramètres!$A$1:$I$89,3,0)*VLOOKUP('Données projet'!$B$12,Paramètres!$A$1:$I$89,5,0)</f>
        <v>-5.1431925385259088E-14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366.86025470473652</v>
      </c>
      <c r="CE137" s="59">
        <f t="shared" si="148"/>
        <v>513.80016421153414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0.32828547064086594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8.2202013369653305E-16</v>
      </c>
      <c r="CN137" s="22">
        <f t="shared" si="120"/>
        <v>0.32828547064086677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-5.6843418860808015E-14</v>
      </c>
      <c r="CU137" s="17">
        <f>CT137*VLOOKUP('Données projet'!$B$13,Paramètres!$A$1:$I$89,3,0)*VLOOKUP('Données projet'!$B$13,Paramètres!$A$1:$I$89,5,0)</f>
        <v>-3.1036506698001178E-14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207.02306964567629</v>
      </c>
      <c r="CZ137" s="59">
        <f t="shared" si="150"/>
        <v>342.06887933351783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0.84222224414665536</v>
      </c>
      <c r="DG137" s="21">
        <f>EXP(-LN(2)/25)*DG136+(1-EXP(-LN(2)/25))/(LN(2)/25)*Calculateur!DB137*Calculateur!DD137*VLOOKUP('Données projet'!$B$13,Paramètres!$A$1:$I$89,3,0)*0.475*44/12</f>
        <v>2.1771291102253549</v>
      </c>
      <c r="DH137" s="21">
        <f>EXP(-LN(2)/2)*DH136+(1-EXP(-LN(2)/2))/(LN(2)/2)*DB137*DE137*VLOOKUP('Données projet'!$B$13,Paramètres!$A$1:$I$89,3,0)*0.475*44/12</f>
        <v>2.9474317204460566E-15</v>
      </c>
      <c r="DI137" s="22">
        <f t="shared" si="123"/>
        <v>3.0193513543720134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7">
        <f t="shared" si="110"/>
        <v>256.66666666666669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-1.1368683772161603E-13</v>
      </c>
      <c r="O138" s="13">
        <f>N138*VLOOKUP('Données projet'!$B$9,Paramètres!$A$1:$I$89,3,0)*VLOOKUP('Données projet'!$B$9,Paramètres!$A$1:$I$89,5,0)</f>
        <v>-5.3205440053716299E-14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319.22903094674564</v>
      </c>
      <c r="T138" s="59">
        <f t="shared" si="142"/>
        <v>254.58690973142848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1.1345208918747951</v>
      </c>
      <c r="AA138" s="21">
        <f>EXP(-LN(2)/25)*AA137+(1-EXP(-LN(2)/25))/(LN(2)/25)*Calculateur!V138*Calculateur!X138*VLOOKUP('Données projet'!$B$9,Paramètres!$A$1:$I$89,3,0)*0.475*44/12</f>
        <v>0.60673675600843024</v>
      </c>
      <c r="AB138" s="21">
        <f>EXP(-LN(2)/2)*AB137+(1-EXP(-LN(2)/2))/(LN(2)/2)*V138*Y138*VLOOKUP('Données projet'!$B$9,Paramètres!$A$1:$I$89,3,0)*0.475*44/12</f>
        <v>1.7338733003588701E-15</v>
      </c>
      <c r="AC138" s="22">
        <f t="shared" si="111"/>
        <v>1.7412576478832271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1.9895196601282805E-13</v>
      </c>
      <c r="AJ138" s="13">
        <f>AI138*VLOOKUP('Données projet'!$B$10,Paramètres!$A$1:$I$89,3,0)*VLOOKUP('Données projet'!$B$10,Paramètres!$A$1:$I$89,5,0)</f>
        <v>1.738044375088066E-13</v>
      </c>
      <c r="AK138" s="13">
        <f t="shared" si="143"/>
        <v>2.4483293633950478E-12</v>
      </c>
      <c r="AL138" s="20">
        <f t="shared" si="112"/>
        <v>4.566883036574213E-12</v>
      </c>
      <c r="AM138" s="59">
        <f t="shared" si="113"/>
        <v>293.33333333333786</v>
      </c>
      <c r="AN138" s="59">
        <f ca="1">AVERAGE(OFFSET($AM$3,0,0,'Données projet'!$E$10+1,1))-AVERAGE(OFFSET($H$3,0,0,'Données projet'!$E$10+1,1))</f>
        <v>321.23599968992932</v>
      </c>
      <c r="AO138" s="59">
        <f t="shared" si="144"/>
        <v>388.05195847800502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0.84676341868294613</v>
      </c>
      <c r="AV138" s="21">
        <f>EXP(-LN(2)/25)*AV137+(1-EXP(-LN(2)/25))/(LN(2)/25)*Calculateur!AQ138*Calculateur!AS138*VLOOKUP('Données projet'!$B$10,Paramètres!$A$1:$I$89,3,0)*0.475*44/12</f>
        <v>0.83257629372603847</v>
      </c>
      <c r="AW138" s="21">
        <f>EXP(-LN(2)/2)*AW137+(1-EXP(-LN(2)/2))/(LN(2)/2)*AQ138*AT138*VLOOKUP('Données projet'!$B$10,Paramètres!$A$1:$I$89,3,0)*0.475*44/12</f>
        <v>2.6568010613885612E-15</v>
      </c>
      <c r="AX138" s="21">
        <f t="shared" si="114"/>
        <v>1.6793397124089873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1.1368683772161603E-13</v>
      </c>
      <c r="BE138" s="13">
        <f>BD138*VLOOKUP('Données projet'!$B$11,Paramètres!$A$1:$I$89,3,0)*VLOOKUP('Données projet'!$B$11,Paramètres!$A$1:$I$89,5,0)</f>
        <v>6.7984728957526396E-14</v>
      </c>
      <c r="BF138" s="13">
        <f t="shared" si="145"/>
        <v>1.0682447123141398E-12</v>
      </c>
      <c r="BG138" s="20">
        <f t="shared" si="115"/>
        <v>1.978932943548152E-12</v>
      </c>
      <c r="BH138" s="59">
        <f t="shared" si="116"/>
        <v>293.3333333333353</v>
      </c>
      <c r="BI138" s="59">
        <f ca="1">AVERAGE(OFFSET($BH$3,0,0,'Données projet'!$E$11+1,1))-AVERAGE(OFFSET($H$3,0,0,'Données projet'!$E$11+1,1))</f>
        <v>258.31845364515124</v>
      </c>
      <c r="BJ138" s="59">
        <f t="shared" si="146"/>
        <v>280.26155987300996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1.4348237256504708</v>
      </c>
      <c r="BQ138" s="21">
        <f>EXP(-LN(2)/25)*BQ137+(1-EXP(-LN(2)/25))/(LN(2)/25)*Calculateur!BL138*Calculateur!BN138*VLOOKUP('Données projet'!$B$11,Paramètres!$A$1:$I$89,3,0)*0.475*44/12</f>
        <v>0.51292243283160921</v>
      </c>
      <c r="BR138" s="21">
        <f>EXP(-LN(2)/2)*BR137+(1-EXP(-LN(2)/2))/(LN(2)/2)*BL138*BO138*VLOOKUP('Données projet'!$B$11,Paramètres!$A$1:$I$89,3,0)*0.475*44/12</f>
        <v>7.1109431187931773E-16</v>
      </c>
      <c r="BS138" s="22">
        <f t="shared" si="117"/>
        <v>1.9477461584820805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-5.6843418860808015E-14</v>
      </c>
      <c r="BZ138" s="13">
        <f>BY138*VLOOKUP('Données projet'!$B$12,Paramètres!$A$1:$I$89,3,0)*VLOOKUP('Données projet'!$B$12,Paramètres!$A$1:$I$89,5,0)</f>
        <v>-5.1431925385259088E-14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366.86025470473652</v>
      </c>
      <c r="CE138" s="59">
        <f t="shared" si="148"/>
        <v>513.80016421153414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0.32184799279596416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5.8125601080869093E-16</v>
      </c>
      <c r="CN138" s="22">
        <f t="shared" si="120"/>
        <v>0.32184799279596471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-5.6843418860808015E-14</v>
      </c>
      <c r="CU138" s="17">
        <f>CT138*VLOOKUP('Données projet'!$B$13,Paramètres!$A$1:$I$89,3,0)*VLOOKUP('Données projet'!$B$13,Paramètres!$A$1:$I$89,5,0)</f>
        <v>-3.1036506698001178E-14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207.02306964567629</v>
      </c>
      <c r="CZ138" s="59">
        <f t="shared" si="150"/>
        <v>342.06887933351783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0.82570677964378425</v>
      </c>
      <c r="DG138" s="21">
        <f>EXP(-LN(2)/25)*DG137+(1-EXP(-LN(2)/25))/(LN(2)/25)*Calculateur!DB138*Calculateur!DD138*VLOOKUP('Données projet'!$B$13,Paramètres!$A$1:$I$89,3,0)*0.475*44/12</f>
        <v>2.1175954002159987</v>
      </c>
      <c r="DH138" s="21">
        <f>EXP(-LN(2)/2)*DH137+(1-EXP(-LN(2)/2))/(LN(2)/2)*DB138*DE138*VLOOKUP('Données projet'!$B$13,Paramètres!$A$1:$I$89,3,0)*0.475*44/12</f>
        <v>2.084148956611739E-15</v>
      </c>
      <c r="DI138" s="22">
        <f t="shared" si="123"/>
        <v>2.9433021798597854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7">
        <f t="shared" si="110"/>
        <v>256.66666666666669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-1.1368683772161603E-13</v>
      </c>
      <c r="O139" s="13">
        <f>N139*VLOOKUP('Données projet'!$B$9,Paramètres!$A$1:$I$89,3,0)*VLOOKUP('Données projet'!$B$9,Paramètres!$A$1:$I$89,5,0)</f>
        <v>-5.3205440053716299E-14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319.22903094674564</v>
      </c>
      <c r="T139" s="59">
        <f t="shared" si="142"/>
        <v>254.58690973142848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1.1122736291745461</v>
      </c>
      <c r="AA139" s="21">
        <f>EXP(-LN(2)/25)*AA138+(1-EXP(-LN(2)/25))/(LN(2)/25)*Calculateur!V139*Calculateur!X139*VLOOKUP('Données projet'!$B$9,Paramètres!$A$1:$I$89,3,0)*0.475*44/12</f>
        <v>0.59014550750848038</v>
      </c>
      <c r="AB139" s="21">
        <f>EXP(-LN(2)/2)*AB138+(1-EXP(-LN(2)/2))/(LN(2)/2)*V139*Y139*VLOOKUP('Données projet'!$B$9,Paramètres!$A$1:$I$89,3,0)*0.475*44/12</f>
        <v>1.2260335684020566E-15</v>
      </c>
      <c r="AC139" s="22">
        <f t="shared" si="111"/>
        <v>1.7024191366830279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1.9895196601282805E-13</v>
      </c>
      <c r="AJ139" s="13">
        <f>AI139*VLOOKUP('Données projet'!$B$10,Paramètres!$A$1:$I$89,3,0)*VLOOKUP('Données projet'!$B$10,Paramètres!$A$1:$I$89,5,0)</f>
        <v>1.738044375088066E-13</v>
      </c>
      <c r="AK139" s="13">
        <f t="shared" si="143"/>
        <v>2.4483293633950478E-12</v>
      </c>
      <c r="AL139" s="20">
        <f t="shared" si="112"/>
        <v>4.566883036574213E-12</v>
      </c>
      <c r="AM139" s="59">
        <f t="shared" si="113"/>
        <v>293.33333333333786</v>
      </c>
      <c r="AN139" s="59">
        <f ca="1">AVERAGE(OFFSET($AM$3,0,0,'Données projet'!$E$10+1,1))-AVERAGE(OFFSET($H$3,0,0,'Données projet'!$E$10+1,1))</f>
        <v>321.23599968992932</v>
      </c>
      <c r="AO139" s="59">
        <f t="shared" si="144"/>
        <v>388.05195847800502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0.83015890451726126</v>
      </c>
      <c r="AV139" s="21">
        <f>EXP(-LN(2)/25)*AV138+(1-EXP(-LN(2)/25))/(LN(2)/25)*Calculateur!AQ139*Calculateur!AS139*VLOOKUP('Données projet'!$B$10,Paramètres!$A$1:$I$89,3,0)*0.475*44/12</f>
        <v>0.8098094511908156</v>
      </c>
      <c r="AW139" s="21">
        <f>EXP(-LN(2)/2)*AW138+(1-EXP(-LN(2)/2))/(LN(2)/2)*AQ139*AT139*VLOOKUP('Données projet'!$B$10,Paramètres!$A$1:$I$89,3,0)*0.475*44/12</f>
        <v>1.8786420467714685E-15</v>
      </c>
      <c r="AX139" s="21">
        <f t="shared" si="114"/>
        <v>1.6399683557080786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1.1368683772161603E-13</v>
      </c>
      <c r="BE139" s="13">
        <f>BD139*VLOOKUP('Données projet'!$B$11,Paramètres!$A$1:$I$89,3,0)*VLOOKUP('Données projet'!$B$11,Paramètres!$A$1:$I$89,5,0)</f>
        <v>6.7984728957526396E-14</v>
      </c>
      <c r="BF139" s="13">
        <f t="shared" si="145"/>
        <v>1.0682447123141398E-12</v>
      </c>
      <c r="BG139" s="20">
        <f t="shared" si="115"/>
        <v>1.978932943548152E-12</v>
      </c>
      <c r="BH139" s="59">
        <f t="shared" si="116"/>
        <v>293.3333333333353</v>
      </c>
      <c r="BI139" s="59">
        <f ca="1">AVERAGE(OFFSET($BH$3,0,0,'Données projet'!$E$11+1,1))-AVERAGE(OFFSET($H$3,0,0,'Données projet'!$E$11+1,1))</f>
        <v>258.31845364515124</v>
      </c>
      <c r="BJ139" s="59">
        <f t="shared" si="146"/>
        <v>280.26155987300996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1.4066877075465232</v>
      </c>
      <c r="BQ139" s="21">
        <f>EXP(-LN(2)/25)*BQ138+(1-EXP(-LN(2)/25))/(LN(2)/25)*Calculateur!BL139*Calculateur!BN139*VLOOKUP('Données projet'!$B$11,Paramètres!$A$1:$I$89,3,0)*0.475*44/12</f>
        <v>0.4988965419324104</v>
      </c>
      <c r="BR139" s="21">
        <f>EXP(-LN(2)/2)*BR138+(1-EXP(-LN(2)/2))/(LN(2)/2)*BL139*BO139*VLOOKUP('Données projet'!$B$11,Paramètres!$A$1:$I$89,3,0)*0.475*44/12</f>
        <v>5.028196099930473E-16</v>
      </c>
      <c r="BS139" s="22">
        <f t="shared" si="117"/>
        <v>1.9055842494789341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-5.6843418860808015E-14</v>
      </c>
      <c r="BZ139" s="13">
        <f>BY139*VLOOKUP('Données projet'!$B$12,Paramètres!$A$1:$I$89,3,0)*VLOOKUP('Données projet'!$B$12,Paramètres!$A$1:$I$89,5,0)</f>
        <v>-5.1431925385259088E-14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366.86025470473652</v>
      </c>
      <c r="CE139" s="59">
        <f t="shared" si="148"/>
        <v>513.80016421153414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0.31553674996512709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4.1101006684826652E-16</v>
      </c>
      <c r="CN139" s="22">
        <f t="shared" si="120"/>
        <v>0.31553674996512748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-5.6843418860808015E-14</v>
      </c>
      <c r="CU139" s="17">
        <f>CT139*VLOOKUP('Données projet'!$B$13,Paramètres!$A$1:$I$89,3,0)*VLOOKUP('Données projet'!$B$13,Paramètres!$A$1:$I$89,5,0)</f>
        <v>-3.1036506698001178E-14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207.02306964567629</v>
      </c>
      <c r="CZ139" s="59">
        <f t="shared" si="150"/>
        <v>342.06887933351783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0.80951517332637579</v>
      </c>
      <c r="DG139" s="21">
        <f>EXP(-LN(2)/25)*DG138+(1-EXP(-LN(2)/25))/(LN(2)/25)*Calculateur!DB139*Calculateur!DD139*VLOOKUP('Données projet'!$B$13,Paramètres!$A$1:$I$89,3,0)*0.475*44/12</f>
        <v>2.0596896426375899</v>
      </c>
      <c r="DH139" s="21">
        <f>EXP(-LN(2)/2)*DH138+(1-EXP(-LN(2)/2))/(LN(2)/2)*DB139*DE139*VLOOKUP('Données projet'!$B$13,Paramètres!$A$1:$I$89,3,0)*0.475*44/12</f>
        <v>1.4737158602230283E-15</v>
      </c>
      <c r="DI139" s="22">
        <f t="shared" si="123"/>
        <v>2.8692048159639669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7">
        <f t="shared" si="110"/>
        <v>256.66666666666669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-1.1368683772161603E-13</v>
      </c>
      <c r="O140" s="13">
        <f>N140*VLOOKUP('Données projet'!$B$9,Paramètres!$A$1:$I$89,3,0)*VLOOKUP('Données projet'!$B$9,Paramètres!$A$1:$I$89,5,0)</f>
        <v>-5.3205440053716299E-14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319.22903094674564</v>
      </c>
      <c r="T140" s="59">
        <f t="shared" si="142"/>
        <v>254.58690973142848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1.0904626217263587</v>
      </c>
      <c r="AA140" s="21">
        <f>EXP(-LN(2)/25)*AA139+(1-EXP(-LN(2)/25))/(LN(2)/25)*Calculateur!V140*Calculateur!X140*VLOOKUP('Données projet'!$B$9,Paramètres!$A$1:$I$89,3,0)*0.475*44/12</f>
        <v>0.5740079475712575</v>
      </c>
      <c r="AB140" s="21">
        <f>EXP(-LN(2)/2)*AB139+(1-EXP(-LN(2)/2))/(LN(2)/2)*V140*Y140*VLOOKUP('Données projet'!$B$9,Paramètres!$A$1:$I$89,3,0)*0.475*44/12</f>
        <v>8.6693665017943514E-16</v>
      </c>
      <c r="AC140" s="22">
        <f t="shared" si="111"/>
        <v>1.6644705692976172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1.9895196601282805E-13</v>
      </c>
      <c r="AJ140" s="13">
        <f>AI140*VLOOKUP('Données projet'!$B$10,Paramètres!$A$1:$I$89,3,0)*VLOOKUP('Données projet'!$B$10,Paramètres!$A$1:$I$89,5,0)</f>
        <v>1.738044375088066E-13</v>
      </c>
      <c r="AK140" s="13">
        <f t="shared" si="143"/>
        <v>2.4483293633950478E-12</v>
      </c>
      <c r="AL140" s="20">
        <f t="shared" si="112"/>
        <v>4.566883036574213E-12</v>
      </c>
      <c r="AM140" s="59">
        <f t="shared" si="113"/>
        <v>293.33333333333786</v>
      </c>
      <c r="AN140" s="59">
        <f ca="1">AVERAGE(OFFSET($AM$3,0,0,'Données projet'!$E$10+1,1))-AVERAGE(OFFSET($H$3,0,0,'Données projet'!$E$10+1,1))</f>
        <v>321.23599968992932</v>
      </c>
      <c r="AO140" s="59">
        <f t="shared" si="144"/>
        <v>388.05195847800502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0.81387999474661188</v>
      </c>
      <c r="AV140" s="21">
        <f>EXP(-LN(2)/25)*AV139+(1-EXP(-LN(2)/25))/(LN(2)/25)*Calculateur!AQ140*Calculateur!AS140*VLOOKUP('Données projet'!$B$10,Paramètres!$A$1:$I$89,3,0)*0.475*44/12</f>
        <v>0.7876651691619746</v>
      </c>
      <c r="AW140" s="21">
        <f>EXP(-LN(2)/2)*AW139+(1-EXP(-LN(2)/2))/(LN(2)/2)*AQ140*AT140*VLOOKUP('Données projet'!$B$10,Paramètres!$A$1:$I$89,3,0)*0.475*44/12</f>
        <v>1.3284005306942806E-15</v>
      </c>
      <c r="AX140" s="21">
        <f t="shared" si="114"/>
        <v>1.6015451639085878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1.1368683772161603E-13</v>
      </c>
      <c r="BE140" s="13">
        <f>BD140*VLOOKUP('Données projet'!$B$11,Paramètres!$A$1:$I$89,3,0)*VLOOKUP('Données projet'!$B$11,Paramètres!$A$1:$I$89,5,0)</f>
        <v>6.7984728957526396E-14</v>
      </c>
      <c r="BF140" s="13">
        <f t="shared" si="145"/>
        <v>1.0682447123141398E-12</v>
      </c>
      <c r="BG140" s="20">
        <f t="shared" si="115"/>
        <v>1.978932943548152E-12</v>
      </c>
      <c r="BH140" s="59">
        <f t="shared" si="116"/>
        <v>293.3333333333353</v>
      </c>
      <c r="BI140" s="59">
        <f ca="1">AVERAGE(OFFSET($BH$3,0,0,'Données projet'!$E$11+1,1))-AVERAGE(OFFSET($H$3,0,0,'Données projet'!$E$11+1,1))</f>
        <v>258.31845364515124</v>
      </c>
      <c r="BJ140" s="59">
        <f t="shared" si="146"/>
        <v>280.26155987300996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1.3791034195963174</v>
      </c>
      <c r="BQ140" s="21">
        <f>EXP(-LN(2)/25)*BQ139+(1-EXP(-LN(2)/25))/(LN(2)/25)*Calculateur!BL140*Calculateur!BN140*VLOOKUP('Données projet'!$B$11,Paramètres!$A$1:$I$89,3,0)*0.475*44/12</f>
        <v>0.48525418975743972</v>
      </c>
      <c r="BR140" s="21">
        <f>EXP(-LN(2)/2)*BR139+(1-EXP(-LN(2)/2))/(LN(2)/2)*BL140*BO140*VLOOKUP('Données projet'!$B$11,Paramètres!$A$1:$I$89,3,0)*0.475*44/12</f>
        <v>3.5554715593965886E-16</v>
      </c>
      <c r="BS140" s="22">
        <f t="shared" si="117"/>
        <v>1.8643576093537577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-5.6843418860808015E-14</v>
      </c>
      <c r="BZ140" s="13">
        <f>BY140*VLOOKUP('Données projet'!$B$12,Paramètres!$A$1:$I$89,3,0)*VLOOKUP('Données projet'!$B$12,Paramètres!$A$1:$I$89,5,0)</f>
        <v>-5.1431925385259088E-14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366.86025470473652</v>
      </c>
      <c r="CE140" s="59">
        <f t="shared" si="148"/>
        <v>513.80016421153414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0.30934926675672475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2.9062800540434546E-16</v>
      </c>
      <c r="CN140" s="22">
        <f t="shared" si="120"/>
        <v>0.30934926675672503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-5.6843418860808015E-14</v>
      </c>
      <c r="CU140" s="17">
        <f>CT140*VLOOKUP('Données projet'!$B$13,Paramètres!$A$1:$I$89,3,0)*VLOOKUP('Données projet'!$B$13,Paramètres!$A$1:$I$89,5,0)</f>
        <v>-3.1036506698001178E-14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207.02306964567629</v>
      </c>
      <c r="CZ140" s="59">
        <f t="shared" si="150"/>
        <v>342.06887933351783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0.79364107453294697</v>
      </c>
      <c r="DG140" s="21">
        <f>EXP(-LN(2)/25)*DG139+(1-EXP(-LN(2)/25))/(LN(2)/25)*Calculateur!DB140*Calculateur!DD140*VLOOKUP('Données projet'!$B$13,Paramètres!$A$1:$I$89,3,0)*0.475*44/12</f>
        <v>2.0033673210452942</v>
      </c>
      <c r="DH140" s="21">
        <f>EXP(-LN(2)/2)*DH139+(1-EXP(-LN(2)/2))/(LN(2)/2)*DB140*DE140*VLOOKUP('Données projet'!$B$13,Paramètres!$A$1:$I$89,3,0)*0.475*44/12</f>
        <v>1.0420744783058695E-15</v>
      </c>
      <c r="DI140" s="22">
        <f t="shared" si="123"/>
        <v>2.7970083955782421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7">
        <f t="shared" si="110"/>
        <v>256.66666666666669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-1.1368683772161603E-13</v>
      </c>
      <c r="O141" s="13">
        <f>N141*VLOOKUP('Données projet'!$B$9,Paramètres!$A$1:$I$89,3,0)*VLOOKUP('Données projet'!$B$9,Paramètres!$A$1:$I$89,5,0)</f>
        <v>-5.3205440053716299E-14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319.22903094674564</v>
      </c>
      <c r="T141" s="59">
        <f t="shared" si="142"/>
        <v>254.58690973142848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1.0690793148308293</v>
      </c>
      <c r="AA141" s="21">
        <f>EXP(-LN(2)/25)*AA140+(1-EXP(-LN(2)/25))/(LN(2)/25)*Calculateur!V141*Calculateur!X141*VLOOKUP('Données projet'!$B$9,Paramètres!$A$1:$I$89,3,0)*0.475*44/12</f>
        <v>0.55831167005915538</v>
      </c>
      <c r="AB141" s="21">
        <f>EXP(-LN(2)/2)*AB140+(1-EXP(-LN(2)/2))/(LN(2)/2)*V141*Y141*VLOOKUP('Données projet'!$B$9,Paramètres!$A$1:$I$89,3,0)*0.475*44/12</f>
        <v>6.130167842010284E-16</v>
      </c>
      <c r="AC141" s="22">
        <f t="shared" si="111"/>
        <v>1.6273909848899855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1.9895196601282805E-13</v>
      </c>
      <c r="AJ141" s="13">
        <f>AI141*VLOOKUP('Données projet'!$B$10,Paramètres!$A$1:$I$89,3,0)*VLOOKUP('Données projet'!$B$10,Paramètres!$A$1:$I$89,5,0)</f>
        <v>1.738044375088066E-13</v>
      </c>
      <c r="AK141" s="13">
        <f t="shared" si="143"/>
        <v>2.4483293633950478E-12</v>
      </c>
      <c r="AL141" s="20">
        <f t="shared" si="112"/>
        <v>4.566883036574213E-12</v>
      </c>
      <c r="AM141" s="59">
        <f t="shared" si="113"/>
        <v>293.33333333333786</v>
      </c>
      <c r="AN141" s="59">
        <f ca="1">AVERAGE(OFFSET($AM$3,0,0,'Données projet'!$E$10+1,1))-AVERAGE(OFFSET($H$3,0,0,'Données projet'!$E$10+1,1))</f>
        <v>321.23599968992932</v>
      </c>
      <c r="AO141" s="59">
        <f t="shared" si="144"/>
        <v>388.05195847800502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0.79792030446741047</v>
      </c>
      <c r="AV141" s="21">
        <f>EXP(-LN(2)/25)*AV140+(1-EXP(-LN(2)/25))/(LN(2)/25)*Calculateur!AQ141*Calculateur!AS141*VLOOKUP('Données projet'!$B$10,Paramètres!$A$1:$I$89,3,0)*0.475*44/12</f>
        <v>0.76612642368972939</v>
      </c>
      <c r="AW141" s="21">
        <f>EXP(-LN(2)/2)*AW140+(1-EXP(-LN(2)/2))/(LN(2)/2)*AQ141*AT141*VLOOKUP('Données projet'!$B$10,Paramètres!$A$1:$I$89,3,0)*0.475*44/12</f>
        <v>9.3932102338573427E-16</v>
      </c>
      <c r="AX141" s="21">
        <f t="shared" si="114"/>
        <v>1.5640467281571406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1.1368683772161603E-13</v>
      </c>
      <c r="BE141" s="13">
        <f>BD141*VLOOKUP('Données projet'!$B$11,Paramètres!$A$1:$I$89,3,0)*VLOOKUP('Données projet'!$B$11,Paramètres!$A$1:$I$89,5,0)</f>
        <v>6.7984728957526396E-14</v>
      </c>
      <c r="BF141" s="13">
        <f t="shared" si="145"/>
        <v>1.0682447123141398E-12</v>
      </c>
      <c r="BG141" s="20">
        <f t="shared" si="115"/>
        <v>1.978932943548152E-12</v>
      </c>
      <c r="BH141" s="59">
        <f t="shared" si="116"/>
        <v>293.3333333333353</v>
      </c>
      <c r="BI141" s="59">
        <f ca="1">AVERAGE(OFFSET($BH$3,0,0,'Données projet'!$E$11+1,1))-AVERAGE(OFFSET($H$3,0,0,'Données projet'!$E$11+1,1))</f>
        <v>258.31845364515124</v>
      </c>
      <c r="BJ141" s="59">
        <f t="shared" si="146"/>
        <v>280.26155987300996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1.3520600427080609</v>
      </c>
      <c r="BQ141" s="21">
        <f>EXP(-LN(2)/25)*BQ140+(1-EXP(-LN(2)/25))/(LN(2)/25)*Calculateur!BL141*Calculateur!BN141*VLOOKUP('Données projet'!$B$11,Paramètres!$A$1:$I$89,3,0)*0.475*44/12</f>
        <v>0.47198488842011377</v>
      </c>
      <c r="BR141" s="21">
        <f>EXP(-LN(2)/2)*BR140+(1-EXP(-LN(2)/2))/(LN(2)/2)*BL141*BO141*VLOOKUP('Données projet'!$B$11,Paramètres!$A$1:$I$89,3,0)*0.475*44/12</f>
        <v>2.5140980499652365E-16</v>
      </c>
      <c r="BS141" s="22">
        <f t="shared" si="117"/>
        <v>1.824044931128175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-5.6843418860808015E-14</v>
      </c>
      <c r="BZ141" s="13">
        <f>BY141*VLOOKUP('Données projet'!$B$12,Paramètres!$A$1:$I$89,3,0)*VLOOKUP('Données projet'!$B$12,Paramètres!$A$1:$I$89,5,0)</f>
        <v>-5.1431925385259088E-14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366.86025470473652</v>
      </c>
      <c r="CE141" s="59">
        <f t="shared" si="148"/>
        <v>513.80016421153414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0.30328311632004706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2.0550503342413326E-16</v>
      </c>
      <c r="CN141" s="22">
        <f t="shared" si="120"/>
        <v>0.30328311632004729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-5.6843418860808015E-14</v>
      </c>
      <c r="CU141" s="17">
        <f>CT141*VLOOKUP('Données projet'!$B$13,Paramètres!$A$1:$I$89,3,0)*VLOOKUP('Données projet'!$B$13,Paramètres!$A$1:$I$89,5,0)</f>
        <v>-3.1036506698001178E-14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207.02306964567629</v>
      </c>
      <c r="CZ141" s="59">
        <f t="shared" si="150"/>
        <v>342.06887933351783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0.77807825713461309</v>
      </c>
      <c r="DG141" s="21">
        <f>EXP(-LN(2)/25)*DG140+(1-EXP(-LN(2)/25))/(LN(2)/25)*Calculateur!DB141*Calculateur!DD141*VLOOKUP('Données projet'!$B$13,Paramètres!$A$1:$I$89,3,0)*0.475*44/12</f>
        <v>1.948585136298802</v>
      </c>
      <c r="DH141" s="21">
        <f>EXP(-LN(2)/2)*DH140+(1-EXP(-LN(2)/2))/(LN(2)/2)*DB141*DE141*VLOOKUP('Données projet'!$B$13,Paramètres!$A$1:$I$89,3,0)*0.475*44/12</f>
        <v>7.3685793011151415E-16</v>
      </c>
      <c r="DI141" s="22">
        <f t="shared" si="123"/>
        <v>2.7266633934334159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7">
        <f t="shared" si="110"/>
        <v>256.66666666666669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-1.1368683772161603E-13</v>
      </c>
      <c r="O142" s="13">
        <f>N142*VLOOKUP('Données projet'!$B$9,Paramètres!$A$1:$I$89,3,0)*VLOOKUP('Données projet'!$B$9,Paramètres!$A$1:$I$89,5,0)</f>
        <v>-5.3205440053716299E-14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319.22903094674564</v>
      </c>
      <c r="T142" s="59">
        <f t="shared" si="142"/>
        <v>254.58690973142848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1.0481153215409917</v>
      </c>
      <c r="AA142" s="21">
        <f>EXP(-LN(2)/25)*AA141+(1-EXP(-LN(2)/25))/(LN(2)/25)*Calculateur!V142*Calculateur!X142*VLOOKUP('Données projet'!$B$9,Paramètres!$A$1:$I$89,3,0)*0.475*44/12</f>
        <v>0.54304460808105304</v>
      </c>
      <c r="AB142" s="21">
        <f>EXP(-LN(2)/2)*AB141+(1-EXP(-LN(2)/2))/(LN(2)/2)*V142*Y142*VLOOKUP('Données projet'!$B$9,Paramètres!$A$1:$I$89,3,0)*0.475*44/12</f>
        <v>4.3346832508971762E-16</v>
      </c>
      <c r="AC142" s="22">
        <f t="shared" si="111"/>
        <v>1.5911599296220453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1.9895196601282805E-13</v>
      </c>
      <c r="AJ142" s="13">
        <f>AI142*VLOOKUP('Données projet'!$B$10,Paramètres!$A$1:$I$89,3,0)*VLOOKUP('Données projet'!$B$10,Paramètres!$A$1:$I$89,5,0)</f>
        <v>1.738044375088066E-13</v>
      </c>
      <c r="AK142" s="13">
        <f t="shared" si="143"/>
        <v>2.4483293633950478E-12</v>
      </c>
      <c r="AL142" s="20">
        <f t="shared" si="112"/>
        <v>4.566883036574213E-12</v>
      </c>
      <c r="AM142" s="59">
        <f t="shared" si="113"/>
        <v>293.33333333333786</v>
      </c>
      <c r="AN142" s="59">
        <f ca="1">AVERAGE(OFFSET($AM$3,0,0,'Données projet'!$E$10+1,1))-AVERAGE(OFFSET($H$3,0,0,'Données projet'!$E$10+1,1))</f>
        <v>321.23599968992932</v>
      </c>
      <c r="AO142" s="59">
        <f t="shared" si="144"/>
        <v>388.05195847800502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0.78227357398013431</v>
      </c>
      <c r="AV142" s="21">
        <f>EXP(-LN(2)/25)*AV141+(1-EXP(-LN(2)/25))/(LN(2)/25)*Calculateur!AQ142*Calculateur!AS142*VLOOKUP('Données projet'!$B$10,Paramètres!$A$1:$I$89,3,0)*0.475*44/12</f>
        <v>0.74517665634509611</v>
      </c>
      <c r="AW142" s="21">
        <f>EXP(-LN(2)/2)*AW141+(1-EXP(-LN(2)/2))/(LN(2)/2)*AQ142*AT142*VLOOKUP('Données projet'!$B$10,Paramètres!$A$1:$I$89,3,0)*0.475*44/12</f>
        <v>6.6420026534714029E-16</v>
      </c>
      <c r="AX142" s="21">
        <f t="shared" si="114"/>
        <v>1.5274502303252311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1.1368683772161603E-13</v>
      </c>
      <c r="BE142" s="13">
        <f>BD142*VLOOKUP('Données projet'!$B$11,Paramètres!$A$1:$I$89,3,0)*VLOOKUP('Données projet'!$B$11,Paramètres!$A$1:$I$89,5,0)</f>
        <v>6.7984728957526396E-14</v>
      </c>
      <c r="BF142" s="13">
        <f t="shared" si="145"/>
        <v>1.0682447123141398E-12</v>
      </c>
      <c r="BG142" s="20">
        <f t="shared" si="115"/>
        <v>1.978932943548152E-12</v>
      </c>
      <c r="BH142" s="59">
        <f t="shared" si="116"/>
        <v>293.3333333333353</v>
      </c>
      <c r="BI142" s="59">
        <f ca="1">AVERAGE(OFFSET($BH$3,0,0,'Données projet'!$E$11+1,1))-AVERAGE(OFFSET($H$3,0,0,'Données projet'!$E$11+1,1))</f>
        <v>258.31845364515124</v>
      </c>
      <c r="BJ142" s="59">
        <f t="shared" si="146"/>
        <v>280.26155987300996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1.3255469699457521</v>
      </c>
      <c r="BQ142" s="21">
        <f>EXP(-LN(2)/25)*BQ141+(1-EXP(-LN(2)/25))/(LN(2)/25)*Calculateur!BL142*Calculateur!BN142*VLOOKUP('Données projet'!$B$11,Paramètres!$A$1:$I$89,3,0)*0.475*44/12</f>
        <v>0.45907843682565919</v>
      </c>
      <c r="BR142" s="21">
        <f>EXP(-LN(2)/2)*BR141+(1-EXP(-LN(2)/2))/(LN(2)/2)*BL142*BO142*VLOOKUP('Données projet'!$B$11,Paramètres!$A$1:$I$89,3,0)*0.475*44/12</f>
        <v>1.7777357796982943E-16</v>
      </c>
      <c r="BS142" s="22">
        <f t="shared" si="117"/>
        <v>1.7846254067714116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-5.6843418860808015E-14</v>
      </c>
      <c r="BZ142" s="13">
        <f>BY142*VLOOKUP('Données projet'!$B$12,Paramètres!$A$1:$I$89,3,0)*VLOOKUP('Données projet'!$B$12,Paramètres!$A$1:$I$89,5,0)</f>
        <v>-5.1431925385259088E-14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366.86025470473652</v>
      </c>
      <c r="CE142" s="59">
        <f t="shared" si="148"/>
        <v>513.80016421153414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0.29733591939344622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1.4531400270217273E-16</v>
      </c>
      <c r="CN142" s="22">
        <f t="shared" si="120"/>
        <v>0.29733591939344639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-5.6843418860808015E-14</v>
      </c>
      <c r="CU142" s="17">
        <f>CT142*VLOOKUP('Données projet'!$B$13,Paramètres!$A$1:$I$89,3,0)*VLOOKUP('Données projet'!$B$13,Paramètres!$A$1:$I$89,5,0)</f>
        <v>-3.1036506698001178E-14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207.02306964567629</v>
      </c>
      <c r="CZ142" s="59">
        <f t="shared" si="150"/>
        <v>342.06887933351783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0.76282061709307925</v>
      </c>
      <c r="DG142" s="21">
        <f>EXP(-LN(2)/25)*DG141+(1-EXP(-LN(2)/25))/(LN(2)/25)*Calculateur!DB142*Calculateur!DD142*VLOOKUP('Données projet'!$B$13,Paramètres!$A$1:$I$89,3,0)*0.475*44/12</f>
        <v>1.8953009732750725</v>
      </c>
      <c r="DH142" s="21">
        <f>EXP(-LN(2)/2)*DH141+(1-EXP(-LN(2)/2))/(LN(2)/2)*DB142*DE142*VLOOKUP('Données projet'!$B$13,Paramètres!$A$1:$I$89,3,0)*0.475*44/12</f>
        <v>5.2103723915293475E-16</v>
      </c>
      <c r="DI142" s="22">
        <f t="shared" si="123"/>
        <v>2.6581215903681521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7">
        <f t="shared" si="110"/>
        <v>256.66666666666669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-1.1368683772161603E-13</v>
      </c>
      <c r="O143" s="13">
        <f>N143*VLOOKUP('Données projet'!$B$9,Paramètres!$A$1:$I$89,3,0)*VLOOKUP('Données projet'!$B$9,Paramètres!$A$1:$I$89,5,0)</f>
        <v>-5.3205440053716299E-14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319.22903094674564</v>
      </c>
      <c r="T143" s="59">
        <f t="shared" si="142"/>
        <v>254.58690973142848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1.0275624193727946</v>
      </c>
      <c r="AA143" s="21">
        <f>EXP(-LN(2)/25)*AA142+(1-EXP(-LN(2)/25))/(LN(2)/25)*Calculateur!V143*Calculateur!X143*VLOOKUP('Données projet'!$B$9,Paramètres!$A$1:$I$89,3,0)*0.475*44/12</f>
        <v>0.52819502471560187</v>
      </c>
      <c r="AB143" s="21">
        <f>EXP(-LN(2)/2)*AB142+(1-EXP(-LN(2)/2))/(LN(2)/2)*V143*Y143*VLOOKUP('Données projet'!$B$9,Paramètres!$A$1:$I$89,3,0)*0.475*44/12</f>
        <v>3.0650839210051425E-16</v>
      </c>
      <c r="AC143" s="22">
        <f t="shared" si="111"/>
        <v>1.5557574440883968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1.9895196601282805E-13</v>
      </c>
      <c r="AJ143" s="13">
        <f>AI143*VLOOKUP('Données projet'!$B$10,Paramètres!$A$1:$I$89,3,0)*VLOOKUP('Données projet'!$B$10,Paramètres!$A$1:$I$89,5,0)</f>
        <v>1.738044375088066E-13</v>
      </c>
      <c r="AK143" s="13">
        <f t="shared" si="143"/>
        <v>2.4483293633950478E-12</v>
      </c>
      <c r="AL143" s="20">
        <f t="shared" si="112"/>
        <v>4.566883036574213E-12</v>
      </c>
      <c r="AM143" s="59">
        <f t="shared" si="113"/>
        <v>293.33333333333786</v>
      </c>
      <c r="AN143" s="59">
        <f ca="1">AVERAGE(OFFSET($AM$3,0,0,'Données projet'!$E$10+1,1))-AVERAGE(OFFSET($H$3,0,0,'Données projet'!$E$10+1,1))</f>
        <v>321.23599968992932</v>
      </c>
      <c r="AO143" s="59">
        <f t="shared" si="144"/>
        <v>388.05195847800502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0.76693366633415039</v>
      </c>
      <c r="AV143" s="21">
        <f>EXP(-LN(2)/25)*AV142+(1-EXP(-LN(2)/25))/(LN(2)/25)*Calculateur!AQ143*Calculateur!AS143*VLOOKUP('Données projet'!$B$10,Paramètres!$A$1:$I$89,3,0)*0.475*44/12</f>
        <v>0.7247997614902022</v>
      </c>
      <c r="AW143" s="21">
        <f>EXP(-LN(2)/2)*AW142+(1-EXP(-LN(2)/2))/(LN(2)/2)*AQ143*AT143*VLOOKUP('Données projet'!$B$10,Paramètres!$A$1:$I$89,3,0)*0.475*44/12</f>
        <v>4.6966051169286713E-16</v>
      </c>
      <c r="AX143" s="21">
        <f t="shared" si="114"/>
        <v>1.491733427824353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1.1368683772161603E-13</v>
      </c>
      <c r="BE143" s="13">
        <f>BD143*VLOOKUP('Données projet'!$B$11,Paramètres!$A$1:$I$89,3,0)*VLOOKUP('Données projet'!$B$11,Paramètres!$A$1:$I$89,5,0)</f>
        <v>6.7984728957526396E-14</v>
      </c>
      <c r="BF143" s="13">
        <f t="shared" si="145"/>
        <v>1.0682447123141398E-12</v>
      </c>
      <c r="BG143" s="20">
        <f t="shared" si="115"/>
        <v>1.978932943548152E-12</v>
      </c>
      <c r="BH143" s="59">
        <f t="shared" si="116"/>
        <v>293.3333333333353</v>
      </c>
      <c r="BI143" s="59">
        <f ca="1">AVERAGE(OFFSET($BH$3,0,0,'Données projet'!$E$11+1,1))-AVERAGE(OFFSET($H$3,0,0,'Données projet'!$E$11+1,1))</f>
        <v>258.31845364515124</v>
      </c>
      <c r="BJ143" s="59">
        <f t="shared" si="146"/>
        <v>280.26155987300996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1.2995538023689344</v>
      </c>
      <c r="BQ143" s="21">
        <f>EXP(-LN(2)/25)*BQ142+(1-EXP(-LN(2)/25))/(LN(2)/25)*Calculateur!BL143*Calculateur!BN143*VLOOKUP('Données projet'!$B$11,Paramètres!$A$1:$I$89,3,0)*0.475*44/12</f>
        <v>0.44652491282877577</v>
      </c>
      <c r="BR143" s="21">
        <f>EXP(-LN(2)/2)*BR142+(1-EXP(-LN(2)/2))/(LN(2)/2)*BL143*BO143*VLOOKUP('Données projet'!$B$11,Paramètres!$A$1:$I$89,3,0)*0.475*44/12</f>
        <v>1.2570490249826183E-16</v>
      </c>
      <c r="BS143" s="22">
        <f t="shared" si="117"/>
        <v>1.7460787151977104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-5.6843418860808015E-14</v>
      </c>
      <c r="BZ143" s="13">
        <f>BY143*VLOOKUP('Données projet'!$B$12,Paramètres!$A$1:$I$89,3,0)*VLOOKUP('Données projet'!$B$12,Paramètres!$A$1:$I$89,5,0)</f>
        <v>-5.1431925385259088E-14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366.86025470473652</v>
      </c>
      <c r="CE143" s="59">
        <f t="shared" si="148"/>
        <v>513.80016421153414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0.29150534337114403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1.0275251671206663E-16</v>
      </c>
      <c r="CN143" s="22">
        <f t="shared" si="120"/>
        <v>0.29150534337114414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-5.6843418860808015E-14</v>
      </c>
      <c r="CU143" s="17">
        <f>CT143*VLOOKUP('Données projet'!$B$13,Paramètres!$A$1:$I$89,3,0)*VLOOKUP('Données projet'!$B$13,Paramètres!$A$1:$I$89,5,0)</f>
        <v>-3.1036506698001178E-14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207.02306964567629</v>
      </c>
      <c r="CZ143" s="59">
        <f t="shared" si="150"/>
        <v>342.06887933351783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0.74786217006651834</v>
      </c>
      <c r="DG143" s="21">
        <f>EXP(-LN(2)/25)*DG142+(1-EXP(-LN(2)/25))/(LN(2)/25)*Calculateur!DB143*Calculateur!DD143*VLOOKUP('Données projet'!$B$13,Paramètres!$A$1:$I$89,3,0)*0.475*44/12</f>
        <v>1.8434738684913192</v>
      </c>
      <c r="DH143" s="21">
        <f>EXP(-LN(2)/2)*DH142+(1-EXP(-LN(2)/2))/(LN(2)/2)*DB143*DE143*VLOOKUP('Données projet'!$B$13,Paramètres!$A$1:$I$89,3,0)*0.475*44/12</f>
        <v>3.6842896505575708E-16</v>
      </c>
      <c r="DI143" s="22">
        <f t="shared" si="123"/>
        <v>2.5913360385578379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7">
        <f t="shared" si="110"/>
        <v>256.66666666666669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-1.1368683772161603E-13</v>
      </c>
      <c r="O144" s="13">
        <f>N144*VLOOKUP('Données projet'!$B$9,Paramètres!$A$1:$I$89,3,0)*VLOOKUP('Données projet'!$B$9,Paramètres!$A$1:$I$89,5,0)</f>
        <v>-5.3205440053716299E-14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319.22903094674564</v>
      </c>
      <c r="T144" s="59">
        <f t="shared" si="142"/>
        <v>254.58690973142848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1.0074125470800834</v>
      </c>
      <c r="AA144" s="21">
        <f>EXP(-LN(2)/25)*AA143+(1-EXP(-LN(2)/25))/(LN(2)/25)*Calculateur!V144*Calculateur!X144*VLOOKUP('Données projet'!$B$9,Paramètres!$A$1:$I$89,3,0)*0.475*44/12</f>
        <v>0.51375150398818459</v>
      </c>
      <c r="AB144" s="21">
        <f>EXP(-LN(2)/2)*AB143+(1-EXP(-LN(2)/2))/(LN(2)/2)*V144*Y144*VLOOKUP('Données projet'!$B$9,Paramètres!$A$1:$I$89,3,0)*0.475*44/12</f>
        <v>2.1673416254485886E-16</v>
      </c>
      <c r="AC144" s="22">
        <f t="shared" si="111"/>
        <v>1.5211640510682682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1.9895196601282805E-13</v>
      </c>
      <c r="AJ144" s="13">
        <f>AI144*VLOOKUP('Données projet'!$B$10,Paramètres!$A$1:$I$89,3,0)*VLOOKUP('Données projet'!$B$10,Paramètres!$A$1:$I$89,5,0)</f>
        <v>1.738044375088066E-13</v>
      </c>
      <c r="AK144" s="13">
        <f t="shared" si="143"/>
        <v>2.4483293633950478E-12</v>
      </c>
      <c r="AL144" s="20">
        <f t="shared" si="112"/>
        <v>4.566883036574213E-12</v>
      </c>
      <c r="AM144" s="59">
        <f t="shared" si="113"/>
        <v>293.33333333333786</v>
      </c>
      <c r="AN144" s="59">
        <f ca="1">AVERAGE(OFFSET($AM$3,0,0,'Données projet'!$E$10+1,1))-AVERAGE(OFFSET($H$3,0,0,'Données projet'!$E$10+1,1))</f>
        <v>321.23599968992932</v>
      </c>
      <c r="AO144" s="59">
        <f t="shared" si="144"/>
        <v>388.05195847800502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0.75189456492068441</v>
      </c>
      <c r="AV144" s="21">
        <f>EXP(-LN(2)/25)*AV143+(1-EXP(-LN(2)/25))/(LN(2)/25)*Calculateur!AQ144*Calculateur!AS144*VLOOKUP('Données projet'!$B$10,Paramètres!$A$1:$I$89,3,0)*0.475*44/12</f>
        <v>0.70498007389668971</v>
      </c>
      <c r="AW144" s="21">
        <f>EXP(-LN(2)/2)*AW143+(1-EXP(-LN(2)/2))/(LN(2)/2)*AQ144*AT144*VLOOKUP('Données projet'!$B$10,Paramètres!$A$1:$I$89,3,0)*0.475*44/12</f>
        <v>3.3210013267357014E-16</v>
      </c>
      <c r="AX144" s="21">
        <f t="shared" si="114"/>
        <v>1.4568746388173743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1.1368683772161603E-13</v>
      </c>
      <c r="BE144" s="13">
        <f>BD144*VLOOKUP('Données projet'!$B$11,Paramètres!$A$1:$I$89,3,0)*VLOOKUP('Données projet'!$B$11,Paramètres!$A$1:$I$89,5,0)</f>
        <v>6.7984728957526396E-14</v>
      </c>
      <c r="BF144" s="13">
        <f t="shared" si="145"/>
        <v>1.0682447123141398E-12</v>
      </c>
      <c r="BG144" s="20">
        <f t="shared" si="115"/>
        <v>1.978932943548152E-12</v>
      </c>
      <c r="BH144" s="59">
        <f t="shared" si="116"/>
        <v>293.3333333333353</v>
      </c>
      <c r="BI144" s="59">
        <f ca="1">AVERAGE(OFFSET($BH$3,0,0,'Données projet'!$E$11+1,1))-AVERAGE(OFFSET($H$3,0,0,'Données projet'!$E$11+1,1))</f>
        <v>258.31845364515124</v>
      </c>
      <c r="BJ144" s="59">
        <f t="shared" si="146"/>
        <v>280.26155987300996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1.2740703449540314</v>
      </c>
      <c r="BQ144" s="21">
        <f>EXP(-LN(2)/25)*BQ143+(1-EXP(-LN(2)/25))/(LN(2)/25)*Calculateur!BL144*Calculateur!BN144*VLOOKUP('Données projet'!$B$11,Paramètres!$A$1:$I$89,3,0)*0.475*44/12</f>
        <v>0.43431466560574827</v>
      </c>
      <c r="BR144" s="21">
        <f>EXP(-LN(2)/2)*BR143+(1-EXP(-LN(2)/2))/(LN(2)/2)*BL144*BO144*VLOOKUP('Données projet'!$B$11,Paramètres!$A$1:$I$89,3,0)*0.475*44/12</f>
        <v>8.8886788984914716E-17</v>
      </c>
      <c r="BS144" s="22">
        <f t="shared" si="117"/>
        <v>1.7083850105597795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-5.6843418860808015E-14</v>
      </c>
      <c r="BZ144" s="13">
        <f>BY144*VLOOKUP('Données projet'!$B$12,Paramètres!$A$1:$I$89,3,0)*VLOOKUP('Données projet'!$B$12,Paramètres!$A$1:$I$89,5,0)</f>
        <v>-5.1431925385259088E-14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366.86025470473652</v>
      </c>
      <c r="CE144" s="59">
        <f t="shared" si="148"/>
        <v>513.80016421153414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0.28578910138833902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7.2657001351086366E-17</v>
      </c>
      <c r="CN144" s="22">
        <f t="shared" si="120"/>
        <v>0.28578910138833907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-5.6843418860808015E-14</v>
      </c>
      <c r="CU144" s="17">
        <f>CT144*VLOOKUP('Données projet'!$B$13,Paramètres!$A$1:$I$89,3,0)*VLOOKUP('Données projet'!$B$13,Paramètres!$A$1:$I$89,5,0)</f>
        <v>-3.1036506698001178E-14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207.02306964567629</v>
      </c>
      <c r="CZ144" s="59">
        <f t="shared" si="150"/>
        <v>342.06887933351783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0.73319704906239647</v>
      </c>
      <c r="DG144" s="21">
        <f>EXP(-LN(2)/25)*DG143+(1-EXP(-LN(2)/25))/(LN(2)/25)*Calculateur!DB144*Calculateur!DD144*VLOOKUP('Données projet'!$B$13,Paramètres!$A$1:$I$89,3,0)*0.475*44/12</f>
        <v>1.7930639786133467</v>
      </c>
      <c r="DH144" s="21">
        <f>EXP(-LN(2)/2)*DH143+(1-EXP(-LN(2)/2))/(LN(2)/2)*DB144*DE144*VLOOKUP('Données projet'!$B$13,Paramètres!$A$1:$I$89,3,0)*0.475*44/12</f>
        <v>2.6051861957646738E-16</v>
      </c>
      <c r="DI144" s="22">
        <f t="shared" si="123"/>
        <v>2.5262610276757438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7">
        <f t="shared" si="110"/>
        <v>256.66666666666669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-1.1368683772161603E-13</v>
      </c>
      <c r="O145" s="13">
        <f>N145*VLOOKUP('Données projet'!$B$9,Paramètres!$A$1:$I$89,3,0)*VLOOKUP('Données projet'!$B$9,Paramètres!$A$1:$I$89,5,0)</f>
        <v>-5.3205440053716299E-14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319.22903094674564</v>
      </c>
      <c r="T145" s="59">
        <f t="shared" si="142"/>
        <v>254.58690973142848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0.98765780149282378</v>
      </c>
      <c r="AA145" s="21">
        <f>EXP(-LN(2)/25)*AA144+(1-EXP(-LN(2)/25))/(LN(2)/25)*Calculateur!V145*Calculateur!X145*VLOOKUP('Données projet'!$B$9,Paramètres!$A$1:$I$89,3,0)*0.475*44/12</f>
        <v>0.4997029420946103</v>
      </c>
      <c r="AB145" s="21">
        <f>EXP(-LN(2)/2)*AB144+(1-EXP(-LN(2)/2))/(LN(2)/2)*V145*Y145*VLOOKUP('Données projet'!$B$9,Paramètres!$A$1:$I$89,3,0)*0.475*44/12</f>
        <v>1.5325419605025715E-16</v>
      </c>
      <c r="AC145" s="22">
        <f t="shared" si="111"/>
        <v>1.4873607435874343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1.9895196601282805E-13</v>
      </c>
      <c r="AJ145" s="13">
        <f>AI145*VLOOKUP('Données projet'!$B$10,Paramètres!$A$1:$I$89,3,0)*VLOOKUP('Données projet'!$B$10,Paramètres!$A$1:$I$89,5,0)</f>
        <v>1.738044375088066E-13</v>
      </c>
      <c r="AK145" s="13">
        <f t="shared" si="143"/>
        <v>2.4483293633950478E-12</v>
      </c>
      <c r="AL145" s="20">
        <f t="shared" si="112"/>
        <v>4.566883036574213E-12</v>
      </c>
      <c r="AM145" s="59">
        <f t="shared" si="113"/>
        <v>293.33333333333786</v>
      </c>
      <c r="AN145" s="59">
        <f ca="1">AVERAGE(OFFSET($AM$3,0,0,'Données projet'!$E$10+1,1))-AVERAGE(OFFSET($H$3,0,0,'Données projet'!$E$10+1,1))</f>
        <v>321.23599968992932</v>
      </c>
      <c r="AO145" s="59">
        <f t="shared" si="144"/>
        <v>388.05195847800502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0.73715037111299042</v>
      </c>
      <c r="AV145" s="21">
        <f>EXP(-LN(2)/25)*AV144+(1-EXP(-LN(2)/25))/(LN(2)/25)*Calculateur!AQ145*Calculateur!AS145*VLOOKUP('Données projet'!$B$10,Paramètres!$A$1:$I$89,3,0)*0.475*44/12</f>
        <v>0.68570235670269386</v>
      </c>
      <c r="AW145" s="21">
        <f>EXP(-LN(2)/2)*AW144+(1-EXP(-LN(2)/2))/(LN(2)/2)*AQ145*AT145*VLOOKUP('Données projet'!$B$10,Paramètres!$A$1:$I$89,3,0)*0.475*44/12</f>
        <v>2.3483025584643357E-16</v>
      </c>
      <c r="AX145" s="21">
        <f t="shared" si="114"/>
        <v>1.4228527278156846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1.1368683772161603E-13</v>
      </c>
      <c r="BE145" s="13">
        <f>BD145*VLOOKUP('Données projet'!$B$11,Paramètres!$A$1:$I$89,3,0)*VLOOKUP('Données projet'!$B$11,Paramètres!$A$1:$I$89,5,0)</f>
        <v>6.7984728957526396E-14</v>
      </c>
      <c r="BF145" s="13">
        <f t="shared" si="145"/>
        <v>1.0682447123141398E-12</v>
      </c>
      <c r="BG145" s="20">
        <f t="shared" si="115"/>
        <v>1.978932943548152E-12</v>
      </c>
      <c r="BH145" s="59">
        <f t="shared" si="116"/>
        <v>293.3333333333353</v>
      </c>
      <c r="BI145" s="59">
        <f ca="1">AVERAGE(OFFSET($BH$3,0,0,'Données projet'!$E$11+1,1))-AVERAGE(OFFSET($H$3,0,0,'Données projet'!$E$11+1,1))</f>
        <v>258.31845364515124</v>
      </c>
      <c r="BJ145" s="59">
        <f t="shared" si="146"/>
        <v>280.26155987300996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1.2490866025956604</v>
      </c>
      <c r="BQ145" s="21">
        <f>EXP(-LN(2)/25)*BQ144+(1-EXP(-LN(2)/25))/(LN(2)/25)*Calculateur!BL145*Calculateur!BN145*VLOOKUP('Données projet'!$B$11,Paramètres!$A$1:$I$89,3,0)*0.475*44/12</f>
        <v>0.42243830823514344</v>
      </c>
      <c r="BR145" s="21">
        <f>EXP(-LN(2)/2)*BR144+(1-EXP(-LN(2)/2))/(LN(2)/2)*BL145*BO145*VLOOKUP('Données projet'!$B$11,Paramètres!$A$1:$I$89,3,0)*0.475*44/12</f>
        <v>6.2852451249130913E-17</v>
      </c>
      <c r="BS145" s="22">
        <f t="shared" si="117"/>
        <v>1.6715249108308039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-5.6843418860808015E-14</v>
      </c>
      <c r="BZ145" s="13">
        <f>BY145*VLOOKUP('Données projet'!$B$12,Paramètres!$A$1:$I$89,3,0)*VLOOKUP('Données projet'!$B$12,Paramètres!$A$1:$I$89,5,0)</f>
        <v>-5.1431925385259088E-14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366.86025470473652</v>
      </c>
      <c r="CE145" s="59">
        <f t="shared" si="148"/>
        <v>513.80016421153414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0.28018495142425343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5.1376258356033316E-17</v>
      </c>
      <c r="CN145" s="22">
        <f t="shared" si="120"/>
        <v>0.28018495142425348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-5.6843418860808015E-14</v>
      </c>
      <c r="CU145" s="17">
        <f>CT145*VLOOKUP('Données projet'!$B$13,Paramètres!$A$1:$I$89,3,0)*VLOOKUP('Données projet'!$B$13,Paramètres!$A$1:$I$89,5,0)</f>
        <v>-3.1036506698001178E-14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207.02306964567629</v>
      </c>
      <c r="CZ145" s="59">
        <f t="shared" si="150"/>
        <v>342.06887933351783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0.71881950213632484</v>
      </c>
      <c r="DG145" s="21">
        <f>EXP(-LN(2)/25)*DG144+(1-EXP(-LN(2)/25))/(LN(2)/25)*Calculateur!DB145*Calculateur!DD145*VLOOKUP('Données projet'!$B$13,Paramètres!$A$1:$I$89,3,0)*0.475*44/12</f>
        <v>1.7440325498250282</v>
      </c>
      <c r="DH145" s="21">
        <f>EXP(-LN(2)/2)*DH144+(1-EXP(-LN(2)/2))/(LN(2)/2)*DB145*DE145*VLOOKUP('Données projet'!$B$13,Paramètres!$A$1:$I$89,3,0)*0.475*44/12</f>
        <v>1.8421448252787854E-16</v>
      </c>
      <c r="DI145" s="22">
        <f t="shared" si="123"/>
        <v>2.4628520519613533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7">
        <f t="shared" si="110"/>
        <v>256.66666666666669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-1.1368683772161603E-13</v>
      </c>
      <c r="O146" s="13">
        <f>N146*VLOOKUP('Données projet'!$B$9,Paramètres!$A$1:$I$89,3,0)*VLOOKUP('Données projet'!$B$9,Paramètres!$A$1:$I$89,5,0)</f>
        <v>-5.3205440053716299E-14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319.22903094674564</v>
      </c>
      <c r="T146" s="59">
        <f t="shared" si="142"/>
        <v>254.58690973142848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0.96829043441732521</v>
      </c>
      <c r="AA146" s="21">
        <f>EXP(-LN(2)/25)*AA145+(1-EXP(-LN(2)/25))/(LN(2)/25)*Calculateur!V146*Calculateur!X146*VLOOKUP('Données projet'!$B$9,Paramètres!$A$1:$I$89,3,0)*0.475*44/12</f>
        <v>0.48603853886479753</v>
      </c>
      <c r="AB146" s="21">
        <f>EXP(-LN(2)/2)*AB145+(1-EXP(-LN(2)/2))/(LN(2)/2)*V146*Y146*VLOOKUP('Données projet'!$B$9,Paramètres!$A$1:$I$89,3,0)*0.475*44/12</f>
        <v>1.0836708127242944E-16</v>
      </c>
      <c r="AC146" s="22">
        <f t="shared" si="111"/>
        <v>1.4543289732821227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1.9895196601282805E-13</v>
      </c>
      <c r="AJ146" s="13">
        <f>AI146*VLOOKUP('Données projet'!$B$10,Paramètres!$A$1:$I$89,3,0)*VLOOKUP('Données projet'!$B$10,Paramètres!$A$1:$I$89,5,0)</f>
        <v>1.738044375088066E-13</v>
      </c>
      <c r="AK146" s="13">
        <f t="shared" si="143"/>
        <v>2.4483293633950478E-12</v>
      </c>
      <c r="AL146" s="20">
        <f t="shared" si="112"/>
        <v>4.566883036574213E-12</v>
      </c>
      <c r="AM146" s="59">
        <f t="shared" si="113"/>
        <v>293.33333333333786</v>
      </c>
      <c r="AN146" s="59">
        <f ca="1">AVERAGE(OFFSET($AM$3,0,0,'Données projet'!$E$10+1,1))-AVERAGE(OFFSET($H$3,0,0,'Données projet'!$E$10+1,1))</f>
        <v>321.23599968992932</v>
      </c>
      <c r="AO146" s="59">
        <f t="shared" si="144"/>
        <v>388.05195847800502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0.72269530195279508</v>
      </c>
      <c r="AV146" s="21">
        <f>EXP(-LN(2)/25)*AV145+(1-EXP(-LN(2)/25))/(LN(2)/25)*Calculateur!AQ146*Calculateur!AS146*VLOOKUP('Données projet'!$B$10,Paramètres!$A$1:$I$89,3,0)*0.475*44/12</f>
        <v>0.66695178969913893</v>
      </c>
      <c r="AW146" s="21">
        <f>EXP(-LN(2)/2)*AW145+(1-EXP(-LN(2)/2))/(LN(2)/2)*AQ146*AT146*VLOOKUP('Données projet'!$B$10,Paramètres!$A$1:$I$89,3,0)*0.475*44/12</f>
        <v>1.6605006633678507E-16</v>
      </c>
      <c r="AX146" s="21">
        <f t="shared" si="114"/>
        <v>1.3896470916519343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1.1368683772161603E-13</v>
      </c>
      <c r="BE146" s="13">
        <f>BD146*VLOOKUP('Données projet'!$B$11,Paramètres!$A$1:$I$89,3,0)*VLOOKUP('Données projet'!$B$11,Paramètres!$A$1:$I$89,5,0)</f>
        <v>6.7984728957526396E-14</v>
      </c>
      <c r="BF146" s="13">
        <f t="shared" si="145"/>
        <v>1.0682447123141398E-12</v>
      </c>
      <c r="BG146" s="20">
        <f t="shared" si="115"/>
        <v>1.978932943548152E-12</v>
      </c>
      <c r="BH146" s="59">
        <f t="shared" si="116"/>
        <v>293.3333333333353</v>
      </c>
      <c r="BI146" s="59">
        <f ca="1">AVERAGE(OFFSET($BH$3,0,0,'Données projet'!$E$11+1,1))-AVERAGE(OFFSET($H$3,0,0,'Données projet'!$E$11+1,1))</f>
        <v>258.31845364515124</v>
      </c>
      <c r="BJ146" s="59">
        <f t="shared" si="146"/>
        <v>280.26155987300996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1.2245927761863589</v>
      </c>
      <c r="BQ146" s="21">
        <f>EXP(-LN(2)/25)*BQ145+(1-EXP(-LN(2)/25))/(LN(2)/25)*Calculateur!BL146*Calculateur!BN146*VLOOKUP('Données projet'!$B$11,Paramètres!$A$1:$I$89,3,0)*0.475*44/12</f>
        <v>0.41088671048138831</v>
      </c>
      <c r="BR146" s="21">
        <f>EXP(-LN(2)/2)*BR145+(1-EXP(-LN(2)/2))/(LN(2)/2)*BL146*BO146*VLOOKUP('Données projet'!$B$11,Paramètres!$A$1:$I$89,3,0)*0.475*44/12</f>
        <v>4.4443394492457358E-17</v>
      </c>
      <c r="BS146" s="22">
        <f t="shared" si="117"/>
        <v>1.6354794866677471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-5.6843418860808015E-14</v>
      </c>
      <c r="BZ146" s="13">
        <f>BY146*VLOOKUP('Données projet'!$B$12,Paramètres!$A$1:$I$89,3,0)*VLOOKUP('Données projet'!$B$12,Paramètres!$A$1:$I$89,5,0)</f>
        <v>-5.1431925385259088E-14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366.86025470473652</v>
      </c>
      <c r="CE146" s="59">
        <f t="shared" si="148"/>
        <v>513.80016421153414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0.27469069542276964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3.6328500675543183E-17</v>
      </c>
      <c r="CN146" s="22">
        <f t="shared" si="120"/>
        <v>0.27469069542276969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-5.6843418860808015E-14</v>
      </c>
      <c r="CU146" s="17">
        <f>CT146*VLOOKUP('Données projet'!$B$13,Paramètres!$A$1:$I$89,3,0)*VLOOKUP('Données projet'!$B$13,Paramètres!$A$1:$I$89,5,0)</f>
        <v>-3.1036506698001178E-14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207.02306964567629</v>
      </c>
      <c r="CZ146" s="59">
        <f t="shared" si="150"/>
        <v>342.06887933351783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0.70472389013603576</v>
      </c>
      <c r="DG146" s="21">
        <f>EXP(-LN(2)/25)*DG145+(1-EXP(-LN(2)/25))/(LN(2)/25)*Calculateur!DB146*Calculateur!DD146*VLOOKUP('Données projet'!$B$13,Paramètres!$A$1:$I$89,3,0)*0.475*44/12</f>
        <v>1.6963418880353771</v>
      </c>
      <c r="DH146" s="21">
        <f>EXP(-LN(2)/2)*DH145+(1-EXP(-LN(2)/2))/(LN(2)/2)*DB146*DE146*VLOOKUP('Données projet'!$B$13,Paramètres!$A$1:$I$89,3,0)*0.475*44/12</f>
        <v>1.3025930978823369E-16</v>
      </c>
      <c r="DI146" s="22">
        <f t="shared" si="123"/>
        <v>2.4010657781714126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7">
        <f t="shared" si="110"/>
        <v>256.66666666666669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-1.1368683772161603E-13</v>
      </c>
      <c r="O147" s="13">
        <f>N147*VLOOKUP('Données projet'!$B$9,Paramètres!$A$1:$I$89,3,0)*VLOOKUP('Données projet'!$B$9,Paramètres!$A$1:$I$89,5,0)</f>
        <v>-5.3205440053716299E-14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319.22903094674564</v>
      </c>
      <c r="T147" s="59">
        <f t="shared" si="142"/>
        <v>254.58690973142848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0.94930284959724964</v>
      </c>
      <c r="AA147" s="21">
        <f>EXP(-LN(2)/25)*AA146+(1-EXP(-LN(2)/25))/(LN(2)/25)*Calculateur!V147*Calculateur!X147*VLOOKUP('Données projet'!$B$9,Paramètres!$A$1:$I$89,3,0)*0.475*44/12</f>
        <v>0.47274778945988372</v>
      </c>
      <c r="AB147" s="21">
        <f>EXP(-LN(2)/2)*AB146+(1-EXP(-LN(2)/2))/(LN(2)/2)*V147*Y147*VLOOKUP('Données projet'!$B$9,Paramètres!$A$1:$I$89,3,0)*0.475*44/12</f>
        <v>7.6627098025128587E-17</v>
      </c>
      <c r="AC147" s="22">
        <f t="shared" si="111"/>
        <v>1.4220506390571335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1.9895196601282805E-13</v>
      </c>
      <c r="AJ147" s="13">
        <f>AI147*VLOOKUP('Données projet'!$B$10,Paramètres!$A$1:$I$89,3,0)*VLOOKUP('Données projet'!$B$10,Paramètres!$A$1:$I$89,5,0)</f>
        <v>1.738044375088066E-13</v>
      </c>
      <c r="AK147" s="13">
        <f t="shared" si="143"/>
        <v>2.4483293633950478E-12</v>
      </c>
      <c r="AL147" s="20">
        <f t="shared" si="112"/>
        <v>4.566883036574213E-12</v>
      </c>
      <c r="AM147" s="59">
        <f t="shared" si="113"/>
        <v>293.33333333333786</v>
      </c>
      <c r="AN147" s="59">
        <f ca="1">AVERAGE(OFFSET($AM$3,0,0,'Données projet'!$E$10+1,1))-AVERAGE(OFFSET($H$3,0,0,'Données projet'!$E$10+1,1))</f>
        <v>321.23599968992932</v>
      </c>
      <c r="AO147" s="59">
        <f t="shared" si="144"/>
        <v>388.05195847800502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0.70852368788210951</v>
      </c>
      <c r="AV147" s="21">
        <f>EXP(-LN(2)/25)*AV146+(1-EXP(-LN(2)/25))/(LN(2)/25)*Calculateur!AQ147*Calculateur!AS147*VLOOKUP('Données projet'!$B$10,Paramètres!$A$1:$I$89,3,0)*0.475*44/12</f>
        <v>0.64871395793634568</v>
      </c>
      <c r="AW147" s="21">
        <f>EXP(-LN(2)/2)*AW146+(1-EXP(-LN(2)/2))/(LN(2)/2)*AQ147*AT147*VLOOKUP('Données projet'!$B$10,Paramètres!$A$1:$I$89,3,0)*0.475*44/12</f>
        <v>1.1741512792321678E-16</v>
      </c>
      <c r="AX147" s="21">
        <f t="shared" si="114"/>
        <v>1.3572376458184554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1.1368683772161603E-13</v>
      </c>
      <c r="BE147" s="13">
        <f>BD147*VLOOKUP('Données projet'!$B$11,Paramètres!$A$1:$I$89,3,0)*VLOOKUP('Données projet'!$B$11,Paramètres!$A$1:$I$89,5,0)</f>
        <v>6.7984728957526396E-14</v>
      </c>
      <c r="BF147" s="13">
        <f t="shared" si="145"/>
        <v>1.0682447123141398E-12</v>
      </c>
      <c r="BG147" s="20">
        <f t="shared" si="115"/>
        <v>1.978932943548152E-12</v>
      </c>
      <c r="BH147" s="59">
        <f t="shared" si="116"/>
        <v>293.3333333333353</v>
      </c>
      <c r="BI147" s="59">
        <f ca="1">AVERAGE(OFFSET($BH$3,0,0,'Données projet'!$E$11+1,1))-AVERAGE(OFFSET($H$3,0,0,'Données projet'!$E$11+1,1))</f>
        <v>258.31845364515124</v>
      </c>
      <c r="BJ147" s="59">
        <f t="shared" si="146"/>
        <v>280.26155987300996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1.2005792587731849</v>
      </c>
      <c r="BQ147" s="21">
        <f>EXP(-LN(2)/25)*BQ146+(1-EXP(-LN(2)/25))/(LN(2)/25)*Calculateur!BL147*Calculateur!BN147*VLOOKUP('Données projet'!$B$11,Paramètres!$A$1:$I$89,3,0)*0.475*44/12</f>
        <v>0.39965099177568175</v>
      </c>
      <c r="BR147" s="21">
        <f>EXP(-LN(2)/2)*BR146+(1-EXP(-LN(2)/2))/(LN(2)/2)*BL147*BO147*VLOOKUP('Données projet'!$B$11,Paramètres!$A$1:$I$89,3,0)*0.475*44/12</f>
        <v>3.1426225624565456E-17</v>
      </c>
      <c r="BS147" s="22">
        <f t="shared" si="117"/>
        <v>1.6002302505488668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-5.6843418860808015E-14</v>
      </c>
      <c r="BZ147" s="13">
        <f>BY147*VLOOKUP('Données projet'!$B$12,Paramètres!$A$1:$I$89,3,0)*VLOOKUP('Données projet'!$B$12,Paramètres!$A$1:$I$89,5,0)</f>
        <v>-5.1431925385259088E-14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366.86025470473652</v>
      </c>
      <c r="CE147" s="59">
        <f t="shared" si="148"/>
        <v>513.80016421153414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0.26930417843030968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2.5688129178016658E-17</v>
      </c>
      <c r="CN147" s="22">
        <f t="shared" si="120"/>
        <v>0.26930417843030968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-5.6843418860808015E-14</v>
      </c>
      <c r="CU147" s="17">
        <f>CT147*VLOOKUP('Données projet'!$B$13,Paramètres!$A$1:$I$89,3,0)*VLOOKUP('Données projet'!$B$13,Paramètres!$A$1:$I$89,5,0)</f>
        <v>-3.1036506698001178E-14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207.02306964567629</v>
      </c>
      <c r="CZ147" s="59">
        <f t="shared" si="150"/>
        <v>342.06887933351783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0.69090468448959796</v>
      </c>
      <c r="DG147" s="21">
        <f>EXP(-LN(2)/25)*DG146+(1-EXP(-LN(2)/25))/(LN(2)/25)*Calculateur!DB147*Calculateur!DD147*VLOOKUP('Données projet'!$B$13,Paramètres!$A$1:$I$89,3,0)*0.475*44/12</f>
        <v>1.6499553299003069</v>
      </c>
      <c r="DH147" s="21">
        <f>EXP(-LN(2)/2)*DH146+(1-EXP(-LN(2)/2))/(LN(2)/2)*DB147*DE147*VLOOKUP('Données projet'!$B$13,Paramètres!$A$1:$I$89,3,0)*0.475*44/12</f>
        <v>9.2107241263939269E-17</v>
      </c>
      <c r="DI147" s="22">
        <f t="shared" si="123"/>
        <v>2.340860014389905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7">
        <f t="shared" si="110"/>
        <v>256.66666666666669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-1.1368683772161603E-13</v>
      </c>
      <c r="O148" s="13">
        <f>N148*VLOOKUP('Données projet'!$B$9,Paramètres!$A$1:$I$89,3,0)*VLOOKUP('Données projet'!$B$9,Paramètres!$A$1:$I$89,5,0)</f>
        <v>-5.3205440053716299E-14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319.22903094674564</v>
      </c>
      <c r="T148" s="59">
        <f t="shared" si="142"/>
        <v>254.58690973142848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0.93068759973421256</v>
      </c>
      <c r="AA148" s="21">
        <f>EXP(-LN(2)/25)*AA147+(1-EXP(-LN(2)/25))/(LN(2)/25)*Calculateur!V148*Calculateur!X148*VLOOKUP('Données projet'!$B$9,Paramètres!$A$1:$I$89,3,0)*0.475*44/12</f>
        <v>0.4598204762963774</v>
      </c>
      <c r="AB148" s="21">
        <f>EXP(-LN(2)/2)*AB147+(1-EXP(-LN(2)/2))/(LN(2)/2)*V148*Y148*VLOOKUP('Données projet'!$B$9,Paramètres!$A$1:$I$89,3,0)*0.475*44/12</f>
        <v>5.4183540636214733E-17</v>
      </c>
      <c r="AC148" s="22">
        <f t="shared" si="111"/>
        <v>1.3905080760305899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1.9895196601282805E-13</v>
      </c>
      <c r="AJ148" s="13">
        <f>AI148*VLOOKUP('Données projet'!$B$10,Paramètres!$A$1:$I$89,3,0)*VLOOKUP('Données projet'!$B$10,Paramètres!$A$1:$I$89,5,0)</f>
        <v>1.738044375088066E-13</v>
      </c>
      <c r="AK148" s="13">
        <f t="shared" si="143"/>
        <v>2.4483293633950478E-12</v>
      </c>
      <c r="AL148" s="20">
        <f t="shared" si="112"/>
        <v>4.566883036574213E-12</v>
      </c>
      <c r="AM148" s="59">
        <f t="shared" si="113"/>
        <v>293.33333333333786</v>
      </c>
      <c r="AN148" s="59">
        <f ca="1">AVERAGE(OFFSET($AM$3,0,0,'Données projet'!$E$10+1,1))-AVERAGE(OFFSET($H$3,0,0,'Données projet'!$E$10+1,1))</f>
        <v>321.23599968992932</v>
      </c>
      <c r="AO148" s="59">
        <f t="shared" si="144"/>
        <v>388.05195847800502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0.69462997051951902</v>
      </c>
      <c r="AV148" s="21">
        <f>EXP(-LN(2)/25)*AV147+(1-EXP(-LN(2)/25))/(LN(2)/25)*Calculateur!AQ148*Calculateur!AS148*VLOOKUP('Données projet'!$B$10,Paramètres!$A$1:$I$89,3,0)*0.475*44/12</f>
        <v>0.63097484064219189</v>
      </c>
      <c r="AW148" s="21">
        <f>EXP(-LN(2)/2)*AW147+(1-EXP(-LN(2)/2))/(LN(2)/2)*AQ148*AT148*VLOOKUP('Données projet'!$B$10,Paramètres!$A$1:$I$89,3,0)*0.475*44/12</f>
        <v>8.3025033168392536E-17</v>
      </c>
      <c r="AX148" s="21">
        <f t="shared" si="114"/>
        <v>1.3256048111617109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1.1368683772161603E-13</v>
      </c>
      <c r="BE148" s="13">
        <f>BD148*VLOOKUP('Données projet'!$B$11,Paramètres!$A$1:$I$89,3,0)*VLOOKUP('Données projet'!$B$11,Paramètres!$A$1:$I$89,5,0)</f>
        <v>6.7984728957526396E-14</v>
      </c>
      <c r="BF148" s="13">
        <f t="shared" si="145"/>
        <v>1.0682447123141398E-12</v>
      </c>
      <c r="BG148" s="20">
        <f t="shared" si="115"/>
        <v>1.978932943548152E-12</v>
      </c>
      <c r="BH148" s="59">
        <f t="shared" si="116"/>
        <v>293.3333333333353</v>
      </c>
      <c r="BI148" s="59">
        <f ca="1">AVERAGE(OFFSET($BH$3,0,0,'Données projet'!$E$11+1,1))-AVERAGE(OFFSET($H$3,0,0,'Données projet'!$E$11+1,1))</f>
        <v>258.31845364515124</v>
      </c>
      <c r="BJ148" s="59">
        <f t="shared" si="146"/>
        <v>280.26155987300996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1.1770366317896839</v>
      </c>
      <c r="BQ148" s="21">
        <f>EXP(-LN(2)/25)*BQ147+(1-EXP(-LN(2)/25))/(LN(2)/25)*Calculateur!BL148*Calculateur!BN148*VLOOKUP('Données projet'!$B$11,Paramètres!$A$1:$I$89,3,0)*0.475*44/12</f>
        <v>0.38872251438884348</v>
      </c>
      <c r="BR148" s="21">
        <f>EXP(-LN(2)/2)*BR147+(1-EXP(-LN(2)/2))/(LN(2)/2)*BL148*BO148*VLOOKUP('Données projet'!$B$11,Paramètres!$A$1:$I$89,3,0)*0.475*44/12</f>
        <v>2.2221697246228679E-17</v>
      </c>
      <c r="BS148" s="22">
        <f t="shared" si="117"/>
        <v>1.5657591461785274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-5.6843418860808015E-14</v>
      </c>
      <c r="BZ148" s="13">
        <f>BY148*VLOOKUP('Données projet'!$B$12,Paramètres!$A$1:$I$89,3,0)*VLOOKUP('Données projet'!$B$12,Paramètres!$A$1:$I$89,5,0)</f>
        <v>-5.1431925385259088E-14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366.86025470473652</v>
      </c>
      <c r="CE148" s="59">
        <f t="shared" si="148"/>
        <v>513.80016421153414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0.26402328775062089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1.8164250337771591E-17</v>
      </c>
      <c r="CN148" s="22">
        <f t="shared" si="120"/>
        <v>0.26402328775062089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-5.6843418860808015E-14</v>
      </c>
      <c r="CU148" s="17">
        <f>CT148*VLOOKUP('Données projet'!$B$13,Paramètres!$A$1:$I$89,3,0)*VLOOKUP('Données projet'!$B$13,Paramètres!$A$1:$I$89,5,0)</f>
        <v>-3.1036506698001178E-14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207.02306964567629</v>
      </c>
      <c r="CZ148" s="59">
        <f t="shared" si="150"/>
        <v>342.06887933351783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0.67735646503700364</v>
      </c>
      <c r="DG148" s="21">
        <f>EXP(-LN(2)/25)*DG147+(1-EXP(-LN(2)/25))/(LN(2)/25)*Calculateur!DB148*Calculateur!DD148*VLOOKUP('Données projet'!$B$13,Paramètres!$A$1:$I$89,3,0)*0.475*44/12</f>
        <v>1.6048372146368033</v>
      </c>
      <c r="DH148" s="21">
        <f>EXP(-LN(2)/2)*DH147+(1-EXP(-LN(2)/2))/(LN(2)/2)*DB148*DE148*VLOOKUP('Données projet'!$B$13,Paramètres!$A$1:$I$89,3,0)*0.475*44/12</f>
        <v>6.5129654894116844E-17</v>
      </c>
      <c r="DI148" s="22">
        <f t="shared" si="123"/>
        <v>2.2821936796738069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7">
        <f t="shared" si="110"/>
        <v>256.66666666666669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-1.1368683772161603E-13</v>
      </c>
      <c r="O149" s="13">
        <f>N149*VLOOKUP('Données projet'!$B$9,Paramètres!$A$1:$I$89,3,0)*VLOOKUP('Données projet'!$B$9,Paramètres!$A$1:$I$89,5,0)</f>
        <v>-5.3205440053716299E-14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319.22903094674564</v>
      </c>
      <c r="T149" s="59">
        <f t="shared" si="142"/>
        <v>254.58690973142848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0.91243738356680837</v>
      </c>
      <c r="AA149" s="21">
        <f>EXP(-LN(2)/25)*AA148+(1-EXP(-LN(2)/25))/(LN(2)/25)*Calculateur!V149*Calculateur!X149*VLOOKUP('Données projet'!$B$9,Paramètres!$A$1:$I$89,3,0)*0.475*44/12</f>
        <v>0.44724666119114503</v>
      </c>
      <c r="AB149" s="21">
        <f>EXP(-LN(2)/2)*AB148+(1-EXP(-LN(2)/2))/(LN(2)/2)*V149*Y149*VLOOKUP('Données projet'!$B$9,Paramètres!$A$1:$I$89,3,0)*0.475*44/12</f>
        <v>3.83135490125643E-17</v>
      </c>
      <c r="AC149" s="22">
        <f t="shared" si="111"/>
        <v>1.3596840447579535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1.9895196601282805E-13</v>
      </c>
      <c r="AJ149" s="13">
        <f>AI149*VLOOKUP('Données projet'!$B$10,Paramètres!$A$1:$I$89,3,0)*VLOOKUP('Données projet'!$B$10,Paramètres!$A$1:$I$89,5,0)</f>
        <v>1.738044375088066E-13</v>
      </c>
      <c r="AK149" s="13">
        <f t="shared" si="143"/>
        <v>2.4483293633950478E-12</v>
      </c>
      <c r="AL149" s="20">
        <f t="shared" si="112"/>
        <v>4.566883036574213E-12</v>
      </c>
      <c r="AM149" s="59">
        <f t="shared" si="113"/>
        <v>293.33333333333786</v>
      </c>
      <c r="AN149" s="59">
        <f ca="1">AVERAGE(OFFSET($AM$3,0,0,'Données projet'!$E$10+1,1))-AVERAGE(OFFSET($H$3,0,0,'Données projet'!$E$10+1,1))</f>
        <v>321.23599968992932</v>
      </c>
      <c r="AO149" s="59">
        <f t="shared" si="144"/>
        <v>388.05195847800502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0.68100870048007811</v>
      </c>
      <c r="AV149" s="21">
        <f>EXP(-LN(2)/25)*AV148+(1-EXP(-LN(2)/25))/(LN(2)/25)*Calculateur!AQ149*Calculateur!AS149*VLOOKUP('Données projet'!$B$10,Paramètres!$A$1:$I$89,3,0)*0.475*44/12</f>
        <v>0.61372080044330635</v>
      </c>
      <c r="AW149" s="21">
        <f>EXP(-LN(2)/2)*AW148+(1-EXP(-LN(2)/2))/(LN(2)/2)*AQ149*AT149*VLOOKUP('Données projet'!$B$10,Paramètres!$A$1:$I$89,3,0)*0.475*44/12</f>
        <v>5.8707563961608392E-17</v>
      </c>
      <c r="AX149" s="21">
        <f t="shared" si="114"/>
        <v>1.2947295009233843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1.1368683772161603E-13</v>
      </c>
      <c r="BE149" s="13">
        <f>BD149*VLOOKUP('Données projet'!$B$11,Paramètres!$A$1:$I$89,3,0)*VLOOKUP('Données projet'!$B$11,Paramètres!$A$1:$I$89,5,0)</f>
        <v>6.7984728957526396E-14</v>
      </c>
      <c r="BF149" s="13">
        <f t="shared" si="145"/>
        <v>1.0682447123141398E-12</v>
      </c>
      <c r="BG149" s="20">
        <f t="shared" si="115"/>
        <v>1.978932943548152E-12</v>
      </c>
      <c r="BH149" s="59">
        <f t="shared" si="116"/>
        <v>293.3333333333353</v>
      </c>
      <c r="BI149" s="59">
        <f ca="1">AVERAGE(OFFSET($BH$3,0,0,'Données projet'!$E$11+1,1))-AVERAGE(OFFSET($H$3,0,0,'Données projet'!$E$11+1,1))</f>
        <v>258.31845364515124</v>
      </c>
      <c r="BJ149" s="59">
        <f t="shared" si="146"/>
        <v>280.26155987300996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1.1539556613617448</v>
      </c>
      <c r="BQ149" s="21">
        <f>EXP(-LN(2)/25)*BQ148+(1-EXP(-LN(2)/25))/(LN(2)/25)*Calculateur!BL149*Calculateur!BN149*VLOOKUP('Données projet'!$B$11,Paramètres!$A$1:$I$89,3,0)*0.475*44/12</f>
        <v>0.37809287679085196</v>
      </c>
      <c r="BR149" s="21">
        <f>EXP(-LN(2)/2)*BR148+(1-EXP(-LN(2)/2))/(LN(2)/2)*BL149*BO149*VLOOKUP('Données projet'!$B$11,Paramètres!$A$1:$I$89,3,0)*0.475*44/12</f>
        <v>1.5713112812282728E-17</v>
      </c>
      <c r="BS149" s="22">
        <f t="shared" si="117"/>
        <v>1.5320485381525968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-5.6843418860808015E-14</v>
      </c>
      <c r="BZ149" s="13">
        <f>BY149*VLOOKUP('Données projet'!$B$12,Paramètres!$A$1:$I$89,3,0)*VLOOKUP('Données projet'!$B$12,Paramètres!$A$1:$I$89,5,0)</f>
        <v>-5.1431925385259088E-14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366.86025470473652</v>
      </c>
      <c r="CE149" s="59">
        <f t="shared" si="148"/>
        <v>513.80016421153414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0.25884595211613554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1.2844064589008329E-17</v>
      </c>
      <c r="CN149" s="22">
        <f t="shared" si="120"/>
        <v>0.25884595211613554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-5.6843418860808015E-14</v>
      </c>
      <c r="CU149" s="17">
        <f>CT149*VLOOKUP('Données projet'!$B$13,Paramètres!$A$1:$I$89,3,0)*VLOOKUP('Données projet'!$B$13,Paramètres!$A$1:$I$89,5,0)</f>
        <v>-3.1036506698001178E-14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207.02306964567629</v>
      </c>
      <c r="CZ149" s="59">
        <f t="shared" si="150"/>
        <v>342.06887933351783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0.66407391790427683</v>
      </c>
      <c r="DG149" s="21">
        <f>EXP(-LN(2)/25)*DG148+(1-EXP(-LN(2)/25))/(LN(2)/25)*Calculateur!DB149*Calculateur!DD149*VLOOKUP('Données projet'!$B$13,Paramètres!$A$1:$I$89,3,0)*0.475*44/12</f>
        <v>1.5609528566078388</v>
      </c>
      <c r="DH149" s="21">
        <f>EXP(-LN(2)/2)*DH148+(1-EXP(-LN(2)/2))/(LN(2)/2)*DB149*DE149*VLOOKUP('Données projet'!$B$13,Paramètres!$A$1:$I$89,3,0)*0.475*44/12</f>
        <v>4.6053620631969634E-17</v>
      </c>
      <c r="DI149" s="22">
        <f t="shared" si="123"/>
        <v>2.2250267745121155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7">
        <f t="shared" si="110"/>
        <v>256.66666666666669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-1.1368683772161603E-13</v>
      </c>
      <c r="O150" s="13">
        <f>N150*VLOOKUP('Données projet'!$B$9,Paramètres!$A$1:$I$89,3,0)*VLOOKUP('Données projet'!$B$9,Paramètres!$A$1:$I$89,5,0)</f>
        <v>-5.3205440053716299E-14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319.22903094674564</v>
      </c>
      <c r="T150" s="59">
        <f t="shared" si="142"/>
        <v>254.58690973142848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0.89454504300691429</v>
      </c>
      <c r="AA150" s="21">
        <f>EXP(-LN(2)/25)*AA149+(1-EXP(-LN(2)/25))/(LN(2)/25)*Calculateur!V150*Calculateur!X150*VLOOKUP('Données projet'!$B$9,Paramètres!$A$1:$I$89,3,0)*0.475*44/12</f>
        <v>0.43501667772119346</v>
      </c>
      <c r="AB150" s="21">
        <f>EXP(-LN(2)/2)*AB149+(1-EXP(-LN(2)/2))/(LN(2)/2)*V150*Y150*VLOOKUP('Données projet'!$B$9,Paramètres!$A$1:$I$89,3,0)*0.475*44/12</f>
        <v>2.709177031810737E-17</v>
      </c>
      <c r="AC150" s="22">
        <f t="shared" si="111"/>
        <v>1.3295617207281079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1.9895196601282805E-13</v>
      </c>
      <c r="AJ150" s="13">
        <f>AI150*VLOOKUP('Données projet'!$B$10,Paramètres!$A$1:$I$89,3,0)*VLOOKUP('Données projet'!$B$10,Paramètres!$A$1:$I$89,5,0)</f>
        <v>1.738044375088066E-13</v>
      </c>
      <c r="AK150" s="13">
        <f t="shared" si="143"/>
        <v>2.4483293633950478E-12</v>
      </c>
      <c r="AL150" s="20">
        <f t="shared" si="112"/>
        <v>4.566883036574213E-12</v>
      </c>
      <c r="AM150" s="59">
        <f t="shared" si="113"/>
        <v>293.33333333333786</v>
      </c>
      <c r="AN150" s="59">
        <f ca="1">AVERAGE(OFFSET($AM$3,0,0,'Données projet'!$E$10+1,1))-AVERAGE(OFFSET($H$3,0,0,'Données projet'!$E$10+1,1))</f>
        <v>321.23599968992932</v>
      </c>
      <c r="AO150" s="59">
        <f t="shared" si="144"/>
        <v>388.05195847800502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0.66765453523795626</v>
      </c>
      <c r="AV150" s="21">
        <f>EXP(-LN(2)/25)*AV149+(1-EXP(-LN(2)/25))/(LN(2)/25)*Calculateur!AQ150*Calculateur!AS150*VLOOKUP('Données projet'!$B$10,Paramètres!$A$1:$I$89,3,0)*0.475*44/12</f>
        <v>0.59693857288100993</v>
      </c>
      <c r="AW150" s="21">
        <f>EXP(-LN(2)/2)*AW149+(1-EXP(-LN(2)/2))/(LN(2)/2)*AQ150*AT150*VLOOKUP('Données projet'!$B$10,Paramètres!$A$1:$I$89,3,0)*0.475*44/12</f>
        <v>4.1512516584196268E-17</v>
      </c>
      <c r="AX150" s="21">
        <f t="shared" si="114"/>
        <v>1.2645931081189663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1.1368683772161603E-13</v>
      </c>
      <c r="BE150" s="13">
        <f>BD150*VLOOKUP('Données projet'!$B$11,Paramètres!$A$1:$I$89,3,0)*VLOOKUP('Données projet'!$B$11,Paramètres!$A$1:$I$89,5,0)</f>
        <v>6.7984728957526396E-14</v>
      </c>
      <c r="BF150" s="13">
        <f t="shared" si="145"/>
        <v>1.0682447123141398E-12</v>
      </c>
      <c r="BG150" s="20">
        <f t="shared" si="115"/>
        <v>1.978932943548152E-12</v>
      </c>
      <c r="BH150" s="59">
        <f t="shared" si="116"/>
        <v>293.3333333333353</v>
      </c>
      <c r="BI150" s="59">
        <f ca="1">AVERAGE(OFFSET($BH$3,0,0,'Données projet'!$E$11+1,1))-AVERAGE(OFFSET($H$3,0,0,'Données projet'!$E$11+1,1))</f>
        <v>258.31845364515124</v>
      </c>
      <c r="BJ150" s="59">
        <f t="shared" si="146"/>
        <v>280.26155987300996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1.1313272946858957</v>
      </c>
      <c r="BQ150" s="21">
        <f>EXP(-LN(2)/25)*BQ149+(1-EXP(-LN(2)/25))/(LN(2)/25)*Calculateur!BL150*Calculateur!BN150*VLOOKUP('Données projet'!$B$11,Paramètres!$A$1:$I$89,3,0)*0.475*44/12</f>
        <v>0.36775390719196588</v>
      </c>
      <c r="BR150" s="21">
        <f>EXP(-LN(2)/2)*BR149+(1-EXP(-LN(2)/2))/(LN(2)/2)*BL150*BO150*VLOOKUP('Données projet'!$B$11,Paramètres!$A$1:$I$89,3,0)*0.475*44/12</f>
        <v>1.111084862311434E-17</v>
      </c>
      <c r="BS150" s="22">
        <f t="shared" si="117"/>
        <v>1.4990812018778614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-5.6843418860808015E-14</v>
      </c>
      <c r="BZ150" s="13">
        <f>BY150*VLOOKUP('Données projet'!$B$12,Paramètres!$A$1:$I$89,3,0)*VLOOKUP('Données projet'!$B$12,Paramètres!$A$1:$I$89,5,0)</f>
        <v>-5.1431925385259088E-14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366.86025470473652</v>
      </c>
      <c r="CE150" s="59">
        <f t="shared" si="148"/>
        <v>513.80016421153414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0.25377014087557953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9.0821251688857957E-18</v>
      </c>
      <c r="CN150" s="22">
        <f t="shared" si="120"/>
        <v>0.25377014087557953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-5.6843418860808015E-14</v>
      </c>
      <c r="CU150" s="17">
        <f>CT150*VLOOKUP('Données projet'!$B$13,Paramètres!$A$1:$I$89,3,0)*VLOOKUP('Données projet'!$B$13,Paramètres!$A$1:$I$89,5,0)</f>
        <v>-3.1036506698001178E-14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207.02306964567629</v>
      </c>
      <c r="CZ150" s="59">
        <f t="shared" si="150"/>
        <v>342.06887933351783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0.65105183341926898</v>
      </c>
      <c r="DG150" s="21">
        <f>EXP(-LN(2)/25)*DG149+(1-EXP(-LN(2)/25))/(LN(2)/25)*Calculateur!DB150*Calculateur!DD150*VLOOKUP('Données projet'!$B$13,Paramètres!$A$1:$I$89,3,0)*0.475*44/12</f>
        <v>1.5182685186569542</v>
      </c>
      <c r="DH150" s="21">
        <f>EXP(-LN(2)/2)*DH149+(1-EXP(-LN(2)/2))/(LN(2)/2)*DB150*DE150*VLOOKUP('Données projet'!$B$13,Paramètres!$A$1:$I$89,3,0)*0.475*44/12</f>
        <v>3.2564827447058422E-17</v>
      </c>
      <c r="DI150" s="22">
        <f t="shared" si="123"/>
        <v>2.1693203520762232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7">
        <f t="shared" si="110"/>
        <v>256.66666666666669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-1.1368683772161603E-13</v>
      </c>
      <c r="O151" s="13">
        <f>N151*VLOOKUP('Données projet'!$B$9,Paramètres!$A$1:$I$89,3,0)*VLOOKUP('Données projet'!$B$9,Paramètres!$A$1:$I$89,5,0)</f>
        <v>-5.3205440053716299E-14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319.22903094674564</v>
      </c>
      <c r="T151" s="59">
        <f t="shared" si="142"/>
        <v>254.58690973142848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0.87700356033214955</v>
      </c>
      <c r="AA151" s="21">
        <f>EXP(-LN(2)/25)*AA150+(1-EXP(-LN(2)/25))/(LN(2)/25)*Calculateur!V151*Calculateur!X151*VLOOKUP('Données projet'!$B$9,Paramètres!$A$1:$I$89,3,0)*0.475*44/12</f>
        <v>0.4231211237923746</v>
      </c>
      <c r="AB151" s="21">
        <f>EXP(-LN(2)/2)*AB150+(1-EXP(-LN(2)/2))/(LN(2)/2)*V151*Y151*VLOOKUP('Données projet'!$B$9,Paramètres!$A$1:$I$89,3,0)*0.475*44/12</f>
        <v>1.9156774506282153E-17</v>
      </c>
      <c r="AC151" s="22">
        <f t="shared" si="111"/>
        <v>1.3001246841245242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1.9895196601282805E-13</v>
      </c>
      <c r="AJ151" s="13">
        <f>AI151*VLOOKUP('Données projet'!$B$10,Paramètres!$A$1:$I$89,3,0)*VLOOKUP('Données projet'!$B$10,Paramètres!$A$1:$I$89,5,0)</f>
        <v>1.738044375088066E-13</v>
      </c>
      <c r="AK151" s="13">
        <f t="shared" si="143"/>
        <v>2.4483293633950478E-12</v>
      </c>
      <c r="AL151" s="20">
        <f t="shared" si="112"/>
        <v>4.566883036574213E-12</v>
      </c>
      <c r="AM151" s="59">
        <f t="shared" si="113"/>
        <v>293.33333333333786</v>
      </c>
      <c r="AN151" s="59">
        <f ca="1">AVERAGE(OFFSET($AM$3,0,0,'Données projet'!$E$10+1,1))-AVERAGE(OFFSET($H$3,0,0,'Données projet'!$E$10+1,1))</f>
        <v>321.23599968992932</v>
      </c>
      <c r="AO151" s="59">
        <f t="shared" si="144"/>
        <v>388.05195847800502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0.65456223703099592</v>
      </c>
      <c r="AV151" s="21">
        <f>EXP(-LN(2)/25)*AV150+(1-EXP(-LN(2)/25))/(LN(2)/25)*Calculateur!AQ151*Calculateur!AS151*VLOOKUP('Données projet'!$B$10,Paramètres!$A$1:$I$89,3,0)*0.475*44/12</f>
        <v>0.5806152562139435</v>
      </c>
      <c r="AW151" s="21">
        <f>EXP(-LN(2)/2)*AW150+(1-EXP(-LN(2)/2))/(LN(2)/2)*AQ151*AT151*VLOOKUP('Données projet'!$B$10,Paramètres!$A$1:$I$89,3,0)*0.475*44/12</f>
        <v>2.9353781980804196E-17</v>
      </c>
      <c r="AX151" s="21">
        <f t="shared" si="114"/>
        <v>1.2351774932449393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1.1368683772161603E-13</v>
      </c>
      <c r="BE151" s="13">
        <f>BD151*VLOOKUP('Données projet'!$B$11,Paramètres!$A$1:$I$89,3,0)*VLOOKUP('Données projet'!$B$11,Paramètres!$A$1:$I$89,5,0)</f>
        <v>6.7984728957526396E-14</v>
      </c>
      <c r="BF151" s="13">
        <f t="shared" si="145"/>
        <v>1.0682447123141398E-12</v>
      </c>
      <c r="BG151" s="20">
        <f t="shared" si="115"/>
        <v>1.978932943548152E-12</v>
      </c>
      <c r="BH151" s="59">
        <f t="shared" si="116"/>
        <v>293.3333333333353</v>
      </c>
      <c r="BI151" s="59">
        <f ca="1">AVERAGE(OFFSET($BH$3,0,0,'Données projet'!$E$11+1,1))-AVERAGE(OFFSET($H$3,0,0,'Données projet'!$E$11+1,1))</f>
        <v>258.31845364515124</v>
      </c>
      <c r="BJ151" s="59">
        <f t="shared" si="146"/>
        <v>280.26155987300996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1.1091426564786191</v>
      </c>
      <c r="BQ151" s="21">
        <f>EXP(-LN(2)/25)*BQ150+(1-EXP(-LN(2)/25))/(LN(2)/25)*Calculateur!BL151*Calculateur!BN151*VLOOKUP('Données projet'!$B$11,Paramètres!$A$1:$I$89,3,0)*0.475*44/12</f>
        <v>0.3576976572604641</v>
      </c>
      <c r="BR151" s="21">
        <f>EXP(-LN(2)/2)*BR150+(1-EXP(-LN(2)/2))/(LN(2)/2)*BL151*BO151*VLOOKUP('Données projet'!$B$11,Paramètres!$A$1:$I$89,3,0)*0.475*44/12</f>
        <v>7.8565564061413641E-18</v>
      </c>
      <c r="BS151" s="22">
        <f t="shared" si="117"/>
        <v>1.4668403137390831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-5.6843418860808015E-14</v>
      </c>
      <c r="BZ151" s="13">
        <f>BY151*VLOOKUP('Données projet'!$B$12,Paramètres!$A$1:$I$89,3,0)*VLOOKUP('Données projet'!$B$12,Paramètres!$A$1:$I$89,5,0)</f>
        <v>-5.1431925385259088E-14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366.86025470473652</v>
      </c>
      <c r="CE151" s="59">
        <f t="shared" si="148"/>
        <v>513.80016421153414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0.24879386319751165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6.4220322945041644E-18</v>
      </c>
      <c r="CN151" s="22">
        <f t="shared" si="120"/>
        <v>0.24879386319751165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-5.6843418860808015E-14</v>
      </c>
      <c r="CU151" s="17">
        <f>CT151*VLOOKUP('Données projet'!$B$13,Paramètres!$A$1:$I$89,3,0)*VLOOKUP('Données projet'!$B$13,Paramètres!$A$1:$I$89,5,0)</f>
        <v>-3.1036506698001178E-14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207.02306964567629</v>
      </c>
      <c r="CZ151" s="59">
        <f t="shared" si="150"/>
        <v>342.06887933351783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0.63828510406832484</v>
      </c>
      <c r="DG151" s="21">
        <f>EXP(-LN(2)/25)*DG150+(1-EXP(-LN(2)/25))/(LN(2)/25)*Calculateur!DB151*Calculateur!DD151*VLOOKUP('Données projet'!$B$13,Paramètres!$A$1:$I$89,3,0)*0.475*44/12</f>
        <v>1.4767513861720085</v>
      </c>
      <c r="DH151" s="21">
        <f>EXP(-LN(2)/2)*DH150+(1-EXP(-LN(2)/2))/(LN(2)/2)*DB151*DE151*VLOOKUP('Données projet'!$B$13,Paramètres!$A$1:$I$89,3,0)*0.475*44/12</f>
        <v>2.3026810315984817E-17</v>
      </c>
      <c r="DI151" s="22">
        <f t="shared" si="123"/>
        <v>2.1150364902403336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7">
        <f t="shared" si="110"/>
        <v>256.66666666666669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-1.1368683772161603E-13</v>
      </c>
      <c r="O152" s="13">
        <f>N152*VLOOKUP('Données projet'!$B$9,Paramètres!$A$1:$I$89,3,0)*VLOOKUP('Données projet'!$B$9,Paramètres!$A$1:$I$89,5,0)</f>
        <v>-5.3205440053716299E-14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319.22903094674564</v>
      </c>
      <c r="T152" s="59">
        <f t="shared" si="142"/>
        <v>254.58690973142848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0.85980605543338895</v>
      </c>
      <c r="AA152" s="21">
        <f>EXP(-LN(2)/25)*AA151+(1-EXP(-LN(2)/25))/(LN(2)/25)*Calculateur!V152*Calculateur!X152*VLOOKUP('Données projet'!$B$9,Paramètres!$A$1:$I$89,3,0)*0.475*44/12</f>
        <v>0.41155085441129929</v>
      </c>
      <c r="AB152" s="21">
        <f>EXP(-LN(2)/2)*AB151+(1-EXP(-LN(2)/2))/(LN(2)/2)*V152*Y152*VLOOKUP('Données projet'!$B$9,Paramètres!$A$1:$I$89,3,0)*0.475*44/12</f>
        <v>1.3545885159053686E-17</v>
      </c>
      <c r="AC152" s="22">
        <f t="shared" si="111"/>
        <v>1.2713569098446882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1.9895196601282805E-13</v>
      </c>
      <c r="AJ152" s="13">
        <f>AI152*VLOOKUP('Données projet'!$B$10,Paramètres!$A$1:$I$89,3,0)*VLOOKUP('Données projet'!$B$10,Paramètres!$A$1:$I$89,5,0)</f>
        <v>1.738044375088066E-13</v>
      </c>
      <c r="AK152" s="13">
        <f t="shared" si="143"/>
        <v>2.4483293633950478E-12</v>
      </c>
      <c r="AL152" s="20">
        <f t="shared" si="112"/>
        <v>4.566883036574213E-12</v>
      </c>
      <c r="AM152" s="59">
        <f t="shared" si="113"/>
        <v>293.33333333333786</v>
      </c>
      <c r="AN152" s="59">
        <f ca="1">AVERAGE(OFFSET($AM$3,0,0,'Données projet'!$E$10+1,1))-AVERAGE(OFFSET($H$3,0,0,'Données projet'!$E$10+1,1))</f>
        <v>321.23599968992932</v>
      </c>
      <c r="AO152" s="59">
        <f t="shared" si="144"/>
        <v>388.05195847800502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0.6417266708063607</v>
      </c>
      <c r="AV152" s="21">
        <f>EXP(-LN(2)/25)*AV151+(1-EXP(-LN(2)/25))/(LN(2)/25)*Calculateur!AQ152*Calculateur!AS152*VLOOKUP('Données projet'!$B$10,Paramètres!$A$1:$I$89,3,0)*0.475*44/12</f>
        <v>0.56473830149954385</v>
      </c>
      <c r="AW152" s="21">
        <f>EXP(-LN(2)/2)*AW151+(1-EXP(-LN(2)/2))/(LN(2)/2)*AQ152*AT152*VLOOKUP('Données projet'!$B$10,Paramètres!$A$1:$I$89,3,0)*0.475*44/12</f>
        <v>2.0756258292098134E-17</v>
      </c>
      <c r="AX152" s="21">
        <f t="shared" si="114"/>
        <v>1.2064649723059047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1.1368683772161603E-13</v>
      </c>
      <c r="BE152" s="13">
        <f>BD152*VLOOKUP('Données projet'!$B$11,Paramètres!$A$1:$I$89,3,0)*VLOOKUP('Données projet'!$B$11,Paramètres!$A$1:$I$89,5,0)</f>
        <v>6.7984728957526396E-14</v>
      </c>
      <c r="BF152" s="13">
        <f t="shared" si="145"/>
        <v>1.0682447123141398E-12</v>
      </c>
      <c r="BG152" s="20">
        <f t="shared" si="115"/>
        <v>1.978932943548152E-12</v>
      </c>
      <c r="BH152" s="59">
        <f t="shared" si="116"/>
        <v>293.3333333333353</v>
      </c>
      <c r="BI152" s="59">
        <f ca="1">AVERAGE(OFFSET($BH$3,0,0,'Données projet'!$E$11+1,1))-AVERAGE(OFFSET($H$3,0,0,'Données projet'!$E$11+1,1))</f>
        <v>258.31845364515124</v>
      </c>
      <c r="BJ152" s="59">
        <f t="shared" si="146"/>
        <v>280.26155987300996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1.087393045495294</v>
      </c>
      <c r="BQ152" s="21">
        <f>EXP(-LN(2)/25)*BQ151+(1-EXP(-LN(2)/25))/(LN(2)/25)*Calculateur!BL152*Calculateur!BN152*VLOOKUP('Données projet'!$B$11,Paramètres!$A$1:$I$89,3,0)*0.475*44/12</f>
        <v>0.34791639601217444</v>
      </c>
      <c r="BR152" s="21">
        <f>EXP(-LN(2)/2)*BR151+(1-EXP(-LN(2)/2))/(LN(2)/2)*BL152*BO152*VLOOKUP('Données projet'!$B$11,Paramètres!$A$1:$I$89,3,0)*0.475*44/12</f>
        <v>5.5554243115571698E-18</v>
      </c>
      <c r="BS152" s="22">
        <f t="shared" si="117"/>
        <v>1.4353094415074685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-5.6843418860808015E-14</v>
      </c>
      <c r="BZ152" s="13">
        <f>BY152*VLOOKUP('Données projet'!$B$12,Paramètres!$A$1:$I$89,3,0)*VLOOKUP('Données projet'!$B$12,Paramètres!$A$1:$I$89,5,0)</f>
        <v>-5.1431925385259088E-14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366.86025470473652</v>
      </c>
      <c r="CE152" s="59">
        <f t="shared" si="148"/>
        <v>513.80016421153414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0.24391516728948101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4.5410625844428979E-18</v>
      </c>
      <c r="CN152" s="22">
        <f t="shared" si="120"/>
        <v>0.24391516728948101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-5.6843418860808015E-14</v>
      </c>
      <c r="CU152" s="17">
        <f>CT152*VLOOKUP('Données projet'!$B$13,Paramètres!$A$1:$I$89,3,0)*VLOOKUP('Données projet'!$B$13,Paramètres!$A$1:$I$89,5,0)</f>
        <v>-3.1036506698001178E-14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207.02306964567629</v>
      </c>
      <c r="CZ152" s="59">
        <f t="shared" si="150"/>
        <v>342.06887933351783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0.62576872249301674</v>
      </c>
      <c r="DG152" s="21">
        <f>EXP(-LN(2)/25)*DG151+(1-EXP(-LN(2)/25))/(LN(2)/25)*Calculateur!DB152*Calculateur!DD152*VLOOKUP('Données projet'!$B$13,Paramètres!$A$1:$I$89,3,0)*0.475*44/12</f>
        <v>1.4363695418581548</v>
      </c>
      <c r="DH152" s="21">
        <f>EXP(-LN(2)/2)*DH151+(1-EXP(-LN(2)/2))/(LN(2)/2)*DB152*DE152*VLOOKUP('Données projet'!$B$13,Paramètres!$A$1:$I$89,3,0)*0.475*44/12</f>
        <v>1.6282413723529211E-17</v>
      </c>
      <c r="DI152" s="22">
        <f t="shared" si="123"/>
        <v>2.0621382643511716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7">
        <f t="shared" si="110"/>
        <v>256.66666666666669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-1.1368683772161603E-13</v>
      </c>
      <c r="O153" s="13">
        <f>N153*VLOOKUP('Données projet'!$B$9,Paramètres!$A$1:$I$89,3,0)*VLOOKUP('Données projet'!$B$9,Paramètres!$A$1:$I$89,5,0)</f>
        <v>-5.3205440053716299E-14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319.22903094674564</v>
      </c>
      <c r="T153" s="59">
        <f t="shared" si="142"/>
        <v>254.58690973142848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0.8429457831162509</v>
      </c>
      <c r="AA153" s="21">
        <f>EXP(-LN(2)/25)*AA152+(1-EXP(-LN(2)/25))/(LN(2)/25)*Calculateur!V153*Calculateur!X153*VLOOKUP('Données projet'!$B$9,Paramètres!$A$1:$I$89,3,0)*0.475*44/12</f>
        <v>0.40029697465490349</v>
      </c>
      <c r="AB153" s="21">
        <f>EXP(-LN(2)/2)*AB152+(1-EXP(-LN(2)/2))/(LN(2)/2)*V153*Y153*VLOOKUP('Données projet'!$B$9,Paramètres!$A$1:$I$89,3,0)*0.475*44/12</f>
        <v>9.578387253141078E-18</v>
      </c>
      <c r="AC153" s="22">
        <f t="shared" si="111"/>
        <v>1.2432427577711544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1.9895196601282805E-13</v>
      </c>
      <c r="AJ153" s="13">
        <f>AI153*VLOOKUP('Données projet'!$B$10,Paramètres!$A$1:$I$89,3,0)*VLOOKUP('Données projet'!$B$10,Paramètres!$A$1:$I$89,5,0)</f>
        <v>1.738044375088066E-13</v>
      </c>
      <c r="AK153" s="13">
        <f t="shared" si="143"/>
        <v>2.4483293633950478E-12</v>
      </c>
      <c r="AL153" s="20">
        <f t="shared" si="112"/>
        <v>4.566883036574213E-12</v>
      </c>
      <c r="AM153" s="59">
        <f t="shared" si="113"/>
        <v>293.33333333333786</v>
      </c>
      <c r="AN153" s="59">
        <f ca="1">AVERAGE(OFFSET($AM$3,0,0,'Données projet'!$E$10+1,1))-AVERAGE(OFFSET($H$3,0,0,'Données projet'!$E$10+1,1))</f>
        <v>321.23599968992932</v>
      </c>
      <c r="AO153" s="59">
        <f t="shared" si="144"/>
        <v>388.05195847800502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0.62914280220646812</v>
      </c>
      <c r="AV153" s="21">
        <f>EXP(-LN(2)/25)*AV152+(1-EXP(-LN(2)/25))/(LN(2)/25)*Calculateur!AQ153*Calculateur!AS153*VLOOKUP('Données projet'!$B$10,Paramètres!$A$1:$I$89,3,0)*0.475*44/12</f>
        <v>0.54929550294674223</v>
      </c>
      <c r="AW153" s="21">
        <f>EXP(-LN(2)/2)*AW152+(1-EXP(-LN(2)/2))/(LN(2)/2)*AQ153*AT153*VLOOKUP('Données projet'!$B$10,Paramètres!$A$1:$I$89,3,0)*0.475*44/12</f>
        <v>1.4676890990402098E-17</v>
      </c>
      <c r="AX153" s="21">
        <f t="shared" si="114"/>
        <v>1.1784383051532104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1.1368683772161603E-13</v>
      </c>
      <c r="BE153" s="13">
        <f>BD153*VLOOKUP('Données projet'!$B$11,Paramètres!$A$1:$I$89,3,0)*VLOOKUP('Données projet'!$B$11,Paramètres!$A$1:$I$89,5,0)</f>
        <v>6.7984728957526396E-14</v>
      </c>
      <c r="BF153" s="13">
        <f t="shared" si="145"/>
        <v>1.0682447123141398E-12</v>
      </c>
      <c r="BG153" s="20">
        <f t="shared" si="115"/>
        <v>1.978932943548152E-12</v>
      </c>
      <c r="BH153" s="59">
        <f t="shared" si="116"/>
        <v>293.3333333333353</v>
      </c>
      <c r="BI153" s="59">
        <f ca="1">AVERAGE(OFFSET($BH$3,0,0,'Données projet'!$E$11+1,1))-AVERAGE(OFFSET($H$3,0,0,'Données projet'!$E$11+1,1))</f>
        <v>258.31845364515124</v>
      </c>
      <c r="BJ153" s="59">
        <f t="shared" si="146"/>
        <v>280.26155987300996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1.0660699311173991</v>
      </c>
      <c r="BQ153" s="21">
        <f>EXP(-LN(2)/25)*BQ152+(1-EXP(-LN(2)/25))/(LN(2)/25)*Calculateur!BL153*Calculateur!BN153*VLOOKUP('Données projet'!$B$11,Paramètres!$A$1:$I$89,3,0)*0.475*44/12</f>
        <v>0.33840260386709342</v>
      </c>
      <c r="BR153" s="21">
        <f>EXP(-LN(2)/2)*BR152+(1-EXP(-LN(2)/2))/(LN(2)/2)*BL153*BO153*VLOOKUP('Données projet'!$B$11,Paramètres!$A$1:$I$89,3,0)*0.475*44/12</f>
        <v>3.928278203070682E-18</v>
      </c>
      <c r="BS153" s="22">
        <f t="shared" si="117"/>
        <v>1.4044725349844924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-5.6843418860808015E-14</v>
      </c>
      <c r="BZ153" s="13">
        <f>BY153*VLOOKUP('Données projet'!$B$12,Paramètres!$A$1:$I$89,3,0)*VLOOKUP('Données projet'!$B$12,Paramètres!$A$1:$I$89,5,0)</f>
        <v>-5.1431925385259088E-14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366.86025470473652</v>
      </c>
      <c r="CE153" s="59">
        <f t="shared" si="148"/>
        <v>513.80016421153414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0.23913213963249616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3.2110161472520822E-18</v>
      </c>
      <c r="CN153" s="22">
        <f t="shared" si="120"/>
        <v>0.23913213963249616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-5.6843418860808015E-14</v>
      </c>
      <c r="CU153" s="17">
        <f>CT153*VLOOKUP('Données projet'!$B$13,Paramètres!$A$1:$I$89,3,0)*VLOOKUP('Données projet'!$B$13,Paramètres!$A$1:$I$89,5,0)</f>
        <v>-3.1036506698001178E-14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207.02306964567629</v>
      </c>
      <c r="CZ153" s="59">
        <f t="shared" si="150"/>
        <v>342.06887933351783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0.61349777952616147</v>
      </c>
      <c r="DG153" s="21">
        <f>EXP(-LN(2)/25)*DG152+(1-EXP(-LN(2)/25))/(LN(2)/25)*Calculateur!DB153*Calculateur!DD153*VLOOKUP('Données projet'!$B$13,Paramètres!$A$1:$I$89,3,0)*0.475*44/12</f>
        <v>1.3970919412006522</v>
      </c>
      <c r="DH153" s="21">
        <f>EXP(-LN(2)/2)*DH152+(1-EXP(-LN(2)/2))/(LN(2)/2)*DB153*DE153*VLOOKUP('Données projet'!$B$13,Paramètres!$A$1:$I$89,3,0)*0.475*44/12</f>
        <v>1.1513405157992409E-17</v>
      </c>
      <c r="DI153" s="22">
        <f t="shared" si="123"/>
        <v>2.0105897207268137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7">
        <f t="shared" si="110"/>
        <v>256.66666666666669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-1.1368683772161603E-13</v>
      </c>
      <c r="O154" s="13">
        <f>N154*VLOOKUP('Données projet'!$B$9,Paramètres!$A$1:$I$89,3,0)*VLOOKUP('Données projet'!$B$9,Paramètres!$A$1:$I$89,5,0)</f>
        <v>-5.3205440053716299E-14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319.22903094674564</v>
      </c>
      <c r="T154" s="59">
        <f t="shared" si="142"/>
        <v>254.58690973142848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0.82641613045550122</v>
      </c>
      <c r="AA154" s="21">
        <f>EXP(-LN(2)/25)*AA153+(1-EXP(-LN(2)/25))/(LN(2)/25)*Calculateur!V154*Calculateur!X154*VLOOKUP('Données projet'!$B$9,Paramètres!$A$1:$I$89,3,0)*0.475*44/12</f>
        <v>0.38935083283226213</v>
      </c>
      <c r="AB154" s="21">
        <f>EXP(-LN(2)/2)*AB153+(1-EXP(-LN(2)/2))/(LN(2)/2)*V154*Y154*VLOOKUP('Données projet'!$B$9,Paramètres!$A$1:$I$89,3,0)*0.475*44/12</f>
        <v>6.7729425795268448E-18</v>
      </c>
      <c r="AC154" s="22">
        <f t="shared" ref="AC154:AC203" si="163">SUM(Z154:AB154)</f>
        <v>1.2157669632877632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1.9895196601282805E-13</v>
      </c>
      <c r="AJ154" s="13">
        <f>AI154*VLOOKUP('Données projet'!$B$10,Paramètres!$A$1:$I$89,3,0)*VLOOKUP('Données projet'!$B$10,Paramètres!$A$1:$I$89,5,0)</f>
        <v>1.738044375088066E-13</v>
      </c>
      <c r="AK154" s="13">
        <f t="shared" ref="AK154:AK203" si="164">EXP(-1.0587+0.8836*LN(AJ154)+0.284)</f>
        <v>2.4483293633950478E-12</v>
      </c>
      <c r="AL154" s="20">
        <f t="shared" ref="AL154:AL203" si="165">(AJ154+AK154)*0.475*44/12</f>
        <v>4.566883036574213E-12</v>
      </c>
      <c r="AM154" s="59">
        <f t="shared" si="113"/>
        <v>293.33333333333786</v>
      </c>
      <c r="AN154" s="59">
        <f ca="1">AVERAGE(OFFSET($AM$3,0,0,'Données projet'!$E$10+1,1))-AVERAGE(OFFSET($H$3,0,0,'Données projet'!$E$10+1,1))</f>
        <v>321.23599968992932</v>
      </c>
      <c r="AO154" s="59">
        <f t="shared" si="144"/>
        <v>388.05195847800502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0.61680569559441756</v>
      </c>
      <c r="AV154" s="21">
        <f>EXP(-LN(2)/25)*AV153+(1-EXP(-LN(2)/25))/(LN(2)/25)*Calculateur!AQ154*Calculateur!AS154*VLOOKUP('Données projet'!$B$10,Paramètres!$A$1:$I$89,3,0)*0.475*44/12</f>
        <v>0.53427498853246846</v>
      </c>
      <c r="AW154" s="21">
        <f>EXP(-LN(2)/2)*AW153+(1-EXP(-LN(2)/2))/(LN(2)/2)*AQ154*AT154*VLOOKUP('Données projet'!$B$10,Paramètres!$A$1:$I$89,3,0)*0.475*44/12</f>
        <v>1.0378129146049067E-17</v>
      </c>
      <c r="AX154" s="21">
        <f t="shared" ref="AX154:AX203" si="166">SUM(AU154:AW154)</f>
        <v>1.1510806841268861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1.1368683772161603E-13</v>
      </c>
      <c r="BE154" s="13">
        <f>BD154*VLOOKUP('Données projet'!$B$11,Paramètres!$A$1:$I$89,3,0)*VLOOKUP('Données projet'!$B$11,Paramètres!$A$1:$I$89,5,0)</f>
        <v>6.7984728957526396E-14</v>
      </c>
      <c r="BF154" s="13">
        <f t="shared" ref="BF154:BF203" si="167">EXP(-1.0587+0.8836*LN(BE154)+0.284)</f>
        <v>1.0682447123141398E-12</v>
      </c>
      <c r="BG154" s="20">
        <f t="shared" ref="BG154:BG203" si="168">(BE154+BF154)*0.475*44/12</f>
        <v>1.978932943548152E-12</v>
      </c>
      <c r="BH154" s="59">
        <f t="shared" si="116"/>
        <v>293.3333333333353</v>
      </c>
      <c r="BI154" s="59">
        <f ca="1">AVERAGE(OFFSET($BH$3,0,0,'Données projet'!$E$11+1,1))-AVERAGE(OFFSET($H$3,0,0,'Données projet'!$E$11+1,1))</f>
        <v>258.31845364515124</v>
      </c>
      <c r="BJ154" s="59">
        <f t="shared" si="146"/>
        <v>280.26155987300996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1.0451649500066391</v>
      </c>
      <c r="BQ154" s="21">
        <f>EXP(-LN(2)/25)*BQ153+(1-EXP(-LN(2)/25))/(LN(2)/25)*Calculateur!BL154*Calculateur!BN154*VLOOKUP('Données projet'!$B$11,Paramètres!$A$1:$I$89,3,0)*0.475*44/12</f>
        <v>0.32914896686852824</v>
      </c>
      <c r="BR154" s="21">
        <f>EXP(-LN(2)/2)*BR153+(1-EXP(-LN(2)/2))/(LN(2)/2)*BL154*BO154*VLOOKUP('Données projet'!$B$11,Paramètres!$A$1:$I$89,3,0)*0.475*44/12</f>
        <v>2.7777121557785849E-18</v>
      </c>
      <c r="BS154" s="22">
        <f t="shared" ref="BS154:BS203" si="169">SUM(BP154:BR154)</f>
        <v>1.3743139168751672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-5.6843418860808015E-14</v>
      </c>
      <c r="BZ154" s="13">
        <f>BY154*VLOOKUP('Données projet'!$B$12,Paramètres!$A$1:$I$89,3,0)*VLOOKUP('Données projet'!$B$12,Paramètres!$A$1:$I$89,5,0)</f>
        <v>-5.1431925385259088E-14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366.86025470473652</v>
      </c>
      <c r="CE154" s="59">
        <f t="shared" si="148"/>
        <v>513.80016421153414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0.23444290423050598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2.2705312922214489E-18</v>
      </c>
      <c r="CN154" s="22">
        <f t="shared" ref="CN154:CN203" si="172">SUM(CK154:CM154)</f>
        <v>0.23444290423050598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-5.6843418860808015E-14</v>
      </c>
      <c r="CU154" s="17">
        <f>CT154*VLOOKUP('Données projet'!$B$13,Paramètres!$A$1:$I$89,3,0)*VLOOKUP('Données projet'!$B$13,Paramètres!$A$1:$I$89,5,0)</f>
        <v>-3.1036506698001178E-14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207.02306964567629</v>
      </c>
      <c r="CZ154" s="59">
        <f t="shared" si="150"/>
        <v>342.06887933351783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0.60146746226635006</v>
      </c>
      <c r="DG154" s="21">
        <f>EXP(-LN(2)/25)*DG153+(1-EXP(-LN(2)/25))/(LN(2)/25)*Calculateur!DB154*Calculateur!DD154*VLOOKUP('Données projet'!$B$13,Paramètres!$A$1:$I$89,3,0)*0.475*44/12</f>
        <v>1.3588883885986482</v>
      </c>
      <c r="DH154" s="21">
        <f>EXP(-LN(2)/2)*DH153+(1-EXP(-LN(2)/2))/(LN(2)/2)*DB154*DE154*VLOOKUP('Données projet'!$B$13,Paramètres!$A$1:$I$89,3,0)*0.475*44/12</f>
        <v>8.1412068617646055E-18</v>
      </c>
      <c r="DI154" s="22">
        <f t="shared" ref="DI154:DI203" si="175">SUM(DF154:DH154)</f>
        <v>1.9603558508649983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7">
        <f t="shared" si="110"/>
        <v>256.66666666666669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-1.1368683772161603E-13</v>
      </c>
      <c r="O155" s="13">
        <f>N155*VLOOKUP('Données projet'!$B$9,Paramètres!$A$1:$I$89,3,0)*VLOOKUP('Données projet'!$B$9,Paramètres!$A$1:$I$89,5,0)</f>
        <v>-5.3205440053716299E-14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319.22903094674564</v>
      </c>
      <c r="T155" s="59">
        <f t="shared" si="142"/>
        <v>254.58690973142848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0.81021061420133622</v>
      </c>
      <c r="AA155" s="21">
        <f>EXP(-LN(2)/25)*AA154+(1-EXP(-LN(2)/25))/(LN(2)/25)*Calculateur!V155*Calculateur!X155*VLOOKUP('Données projet'!$B$9,Paramètres!$A$1:$I$89,3,0)*0.475*44/12</f>
        <v>0.37870401383339347</v>
      </c>
      <c r="AB155" s="21">
        <f>EXP(-LN(2)/2)*AB154+(1-EXP(-LN(2)/2))/(LN(2)/2)*V155*Y155*VLOOKUP('Données projet'!$B$9,Paramètres!$A$1:$I$89,3,0)*0.475*44/12</f>
        <v>4.7891936265705398E-18</v>
      </c>
      <c r="AC155" s="22">
        <f t="shared" si="163"/>
        <v>1.1889146280347296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1.9895196601282805E-13</v>
      </c>
      <c r="AJ155" s="13">
        <f>AI155*VLOOKUP('Données projet'!$B$10,Paramètres!$A$1:$I$89,3,0)*VLOOKUP('Données projet'!$B$10,Paramètres!$A$1:$I$89,5,0)</f>
        <v>1.738044375088066E-13</v>
      </c>
      <c r="AK155" s="13">
        <f t="shared" si="164"/>
        <v>2.4483293633950478E-12</v>
      </c>
      <c r="AL155" s="20">
        <f t="shared" si="165"/>
        <v>4.566883036574213E-12</v>
      </c>
      <c r="AM155" s="59">
        <f t="shared" si="113"/>
        <v>293.33333333333786</v>
      </c>
      <c r="AN155" s="59">
        <f ca="1">AVERAGE(OFFSET($AM$3,0,0,'Données projet'!$E$10+1,1))-AVERAGE(OFFSET($H$3,0,0,'Données projet'!$E$10+1,1))</f>
        <v>321.23599968992932</v>
      </c>
      <c r="AO155" s="59">
        <f t="shared" si="144"/>
        <v>388.05195847800502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0.60471051211813731</v>
      </c>
      <c r="AV155" s="21">
        <f>EXP(-LN(2)/25)*AV154+(1-EXP(-LN(2)/25))/(LN(2)/25)*Calculateur!AQ155*Calculateur!AS155*VLOOKUP('Données projet'!$B$10,Paramètres!$A$1:$I$89,3,0)*0.475*44/12</f>
        <v>0.5196652108747476</v>
      </c>
      <c r="AW155" s="21">
        <f>EXP(-LN(2)/2)*AW154+(1-EXP(-LN(2)/2))/(LN(2)/2)*AQ155*AT155*VLOOKUP('Données projet'!$B$10,Paramètres!$A$1:$I$89,3,0)*0.475*44/12</f>
        <v>7.338445495201049E-18</v>
      </c>
      <c r="AX155" s="21">
        <f t="shared" si="166"/>
        <v>1.1243757229928848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1.1368683772161603E-13</v>
      </c>
      <c r="BE155" s="13">
        <f>BD155*VLOOKUP('Données projet'!$B$11,Paramètres!$A$1:$I$89,3,0)*VLOOKUP('Données projet'!$B$11,Paramètres!$A$1:$I$89,5,0)</f>
        <v>6.7984728957526396E-14</v>
      </c>
      <c r="BF155" s="13">
        <f t="shared" si="167"/>
        <v>1.0682447123141398E-12</v>
      </c>
      <c r="BG155" s="20">
        <f t="shared" si="168"/>
        <v>1.978932943548152E-12</v>
      </c>
      <c r="BH155" s="59">
        <f t="shared" si="116"/>
        <v>293.3333333333353</v>
      </c>
      <c r="BI155" s="59">
        <f ca="1">AVERAGE(OFFSET($BH$3,0,0,'Données projet'!$E$11+1,1))-AVERAGE(OFFSET($H$3,0,0,'Données projet'!$E$11+1,1))</f>
        <v>258.31845364515124</v>
      </c>
      <c r="BJ155" s="59">
        <f t="shared" si="146"/>
        <v>280.26155987300996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1.0246699028246817</v>
      </c>
      <c r="BQ155" s="21">
        <f>EXP(-LN(2)/25)*BQ154+(1-EXP(-LN(2)/25))/(LN(2)/25)*Calculateur!BL155*Calculateur!BN155*VLOOKUP('Données projet'!$B$11,Paramètres!$A$1:$I$89,3,0)*0.475*44/12</f>
        <v>0.32014837106031646</v>
      </c>
      <c r="BR155" s="21">
        <f>EXP(-LN(2)/2)*BR154+(1-EXP(-LN(2)/2))/(LN(2)/2)*BL155*BO155*VLOOKUP('Données projet'!$B$11,Paramètres!$A$1:$I$89,3,0)*0.475*44/12</f>
        <v>1.964139101535341E-18</v>
      </c>
      <c r="BS155" s="22">
        <f t="shared" si="169"/>
        <v>1.3448182738849983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-5.6843418860808015E-14</v>
      </c>
      <c r="BZ155" s="13">
        <f>BY155*VLOOKUP('Données projet'!$B$12,Paramètres!$A$1:$I$89,3,0)*VLOOKUP('Données projet'!$B$12,Paramètres!$A$1:$I$89,5,0)</f>
        <v>-5.1431925385259088E-14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366.86025470473652</v>
      </c>
      <c r="CE155" s="59">
        <f t="shared" si="148"/>
        <v>513.80016421153414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0.22984562187459764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1.6055080736260411E-18</v>
      </c>
      <c r="CN155" s="22">
        <f t="shared" si="172"/>
        <v>0.22984562187459764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-5.6843418860808015E-14</v>
      </c>
      <c r="CU155" s="17">
        <f>CT155*VLOOKUP('Données projet'!$B$13,Paramètres!$A$1:$I$89,3,0)*VLOOKUP('Données projet'!$B$13,Paramètres!$A$1:$I$89,5,0)</f>
        <v>-3.1036506698001178E-14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207.02306964567629</v>
      </c>
      <c r="CZ155" s="59">
        <f t="shared" si="150"/>
        <v>342.06887933351783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0.58967305219023458</v>
      </c>
      <c r="DG155" s="21">
        <f>EXP(-LN(2)/25)*DG154+(1-EXP(-LN(2)/25))/(LN(2)/25)*Calculateur!DB155*Calculateur!DD155*VLOOKUP('Données projet'!$B$13,Paramètres!$A$1:$I$89,3,0)*0.475*44/12</f>
        <v>1.3217295141515837</v>
      </c>
      <c r="DH155" s="21">
        <f>EXP(-LN(2)/2)*DH154+(1-EXP(-LN(2)/2))/(LN(2)/2)*DB155*DE155*VLOOKUP('Données projet'!$B$13,Paramètres!$A$1:$I$89,3,0)*0.475*44/12</f>
        <v>5.7567025789962043E-18</v>
      </c>
      <c r="DI155" s="22">
        <f t="shared" si="175"/>
        <v>1.9114025663418182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7">
        <f t="shared" si="110"/>
        <v>256.66666666666669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-1.1368683772161603E-13</v>
      </c>
      <c r="O156" s="13">
        <f>N156*VLOOKUP('Données projet'!$B$9,Paramètres!$A$1:$I$89,3,0)*VLOOKUP('Données projet'!$B$9,Paramètres!$A$1:$I$89,5,0)</f>
        <v>-5.3205440053716299E-14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319.22903094674564</v>
      </c>
      <c r="T156" s="59">
        <f t="shared" si="142"/>
        <v>254.58690973142848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0.79432287823652648</v>
      </c>
      <c r="AA156" s="21">
        <f>EXP(-LN(2)/25)*AA155+(1-EXP(-LN(2)/25))/(LN(2)/25)*Calculateur!V156*Calculateur!X156*VLOOKUP('Données projet'!$B$9,Paramètres!$A$1:$I$89,3,0)*0.475*44/12</f>
        <v>0.36834833265994077</v>
      </c>
      <c r="AB156" s="21">
        <f>EXP(-LN(2)/2)*AB155+(1-EXP(-LN(2)/2))/(LN(2)/2)*V156*Y156*VLOOKUP('Données projet'!$B$9,Paramètres!$A$1:$I$89,3,0)*0.475*44/12</f>
        <v>3.3864712897634228E-18</v>
      </c>
      <c r="AC156" s="22">
        <f t="shared" si="163"/>
        <v>1.1626712108964672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1.9895196601282805E-13</v>
      </c>
      <c r="AJ156" s="13">
        <f>AI156*VLOOKUP('Données projet'!$B$10,Paramètres!$A$1:$I$89,3,0)*VLOOKUP('Données projet'!$B$10,Paramètres!$A$1:$I$89,5,0)</f>
        <v>1.738044375088066E-13</v>
      </c>
      <c r="AK156" s="13">
        <f t="shared" si="164"/>
        <v>2.4483293633950478E-12</v>
      </c>
      <c r="AL156" s="20">
        <f t="shared" si="165"/>
        <v>4.566883036574213E-12</v>
      </c>
      <c r="AM156" s="59">
        <f t="shared" si="113"/>
        <v>293.33333333333786</v>
      </c>
      <c r="AN156" s="59">
        <f ca="1">AVERAGE(OFFSET($AM$3,0,0,'Données projet'!$E$10+1,1))-AVERAGE(OFFSET($H$3,0,0,'Données projet'!$E$10+1,1))</f>
        <v>321.23599968992932</v>
      </c>
      <c r="AO156" s="59">
        <f t="shared" si="144"/>
        <v>388.05195847800502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0.59285250781249343</v>
      </c>
      <c r="AV156" s="21">
        <f>EXP(-LN(2)/25)*AV155+(1-EXP(-LN(2)/25))/(LN(2)/25)*Calculateur!AQ156*Calculateur!AS156*VLOOKUP('Données projet'!$B$10,Paramètres!$A$1:$I$89,3,0)*0.475*44/12</f>
        <v>0.50545493835537192</v>
      </c>
      <c r="AW156" s="21">
        <f>EXP(-LN(2)/2)*AW155+(1-EXP(-LN(2)/2))/(LN(2)/2)*AQ156*AT156*VLOOKUP('Données projet'!$B$10,Paramètres!$A$1:$I$89,3,0)*0.475*44/12</f>
        <v>5.1890645730245335E-18</v>
      </c>
      <c r="AX156" s="21">
        <f t="shared" si="166"/>
        <v>1.0983074461678655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1.1368683772161603E-13</v>
      </c>
      <c r="BE156" s="13">
        <f>BD156*VLOOKUP('Données projet'!$B$11,Paramètres!$A$1:$I$89,3,0)*VLOOKUP('Données projet'!$B$11,Paramètres!$A$1:$I$89,5,0)</f>
        <v>6.7984728957526396E-14</v>
      </c>
      <c r="BF156" s="13">
        <f t="shared" si="167"/>
        <v>1.0682447123141398E-12</v>
      </c>
      <c r="BG156" s="20">
        <f t="shared" si="168"/>
        <v>1.978932943548152E-12</v>
      </c>
      <c r="BH156" s="59">
        <f t="shared" si="116"/>
        <v>293.3333333333353</v>
      </c>
      <c r="BI156" s="59">
        <f ca="1">AVERAGE(OFFSET($BH$3,0,0,'Données projet'!$E$11+1,1))-AVERAGE(OFFSET($H$3,0,0,'Données projet'!$E$11+1,1))</f>
        <v>258.31845364515124</v>
      </c>
      <c r="BJ156" s="59">
        <f t="shared" si="146"/>
        <v>280.26155987300996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1.0045767510172181</v>
      </c>
      <c r="BQ156" s="21">
        <f>EXP(-LN(2)/25)*BQ155+(1-EXP(-LN(2)/25))/(LN(2)/25)*Calculateur!BL156*Calculateur!BN156*VLOOKUP('Données projet'!$B$11,Paramètres!$A$1:$I$89,3,0)*0.475*44/12</f>
        <v>0.31139389701780096</v>
      </c>
      <c r="BR156" s="21">
        <f>EXP(-LN(2)/2)*BR155+(1-EXP(-LN(2)/2))/(LN(2)/2)*BL156*BO156*VLOOKUP('Données projet'!$B$11,Paramètres!$A$1:$I$89,3,0)*0.475*44/12</f>
        <v>1.3888560778892924E-18</v>
      </c>
      <c r="BS156" s="22">
        <f t="shared" si="169"/>
        <v>1.3159706480350191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-5.6843418860808015E-14</v>
      </c>
      <c r="BZ156" s="13">
        <f>BY156*VLOOKUP('Données projet'!$B$12,Paramètres!$A$1:$I$89,3,0)*VLOOKUP('Données projet'!$B$12,Paramètres!$A$1:$I$89,5,0)</f>
        <v>-5.1431925385259088E-14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366.86025470473652</v>
      </c>
      <c r="CE156" s="59">
        <f t="shared" si="148"/>
        <v>513.80016421153414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0.22533848942162332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1.1352656461107245E-18</v>
      </c>
      <c r="CN156" s="22">
        <f t="shared" si="172"/>
        <v>0.22533848942162332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-5.6843418860808015E-14</v>
      </c>
      <c r="CU156" s="17">
        <f>CT156*VLOOKUP('Données projet'!$B$13,Paramètres!$A$1:$I$89,3,0)*VLOOKUP('Données projet'!$B$13,Paramètres!$A$1:$I$89,5,0)</f>
        <v>-3.1036506698001178E-14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207.02306964567629</v>
      </c>
      <c r="CZ156" s="59">
        <f t="shared" si="150"/>
        <v>342.06887933351783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0.57810992330183197</v>
      </c>
      <c r="DG156" s="21">
        <f>EXP(-LN(2)/25)*DG155+(1-EXP(-LN(2)/25))/(LN(2)/25)*Calculateur!DB156*Calculateur!DD156*VLOOKUP('Données projet'!$B$13,Paramètres!$A$1:$I$89,3,0)*0.475*44/12</f>
        <v>1.2855867510803742</v>
      </c>
      <c r="DH156" s="21">
        <f>EXP(-LN(2)/2)*DH155+(1-EXP(-LN(2)/2))/(LN(2)/2)*DB156*DE156*VLOOKUP('Données projet'!$B$13,Paramètres!$A$1:$I$89,3,0)*0.475*44/12</f>
        <v>4.0706034308823028E-18</v>
      </c>
      <c r="DI156" s="22">
        <f t="shared" si="175"/>
        <v>1.8636966743822061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7">
        <f t="shared" si="110"/>
        <v>256.66666666666669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-1.1368683772161603E-13</v>
      </c>
      <c r="O157" s="13">
        <f>N157*VLOOKUP('Données projet'!$B$9,Paramètres!$A$1:$I$89,3,0)*VLOOKUP('Données projet'!$B$9,Paramètres!$A$1:$I$89,5,0)</f>
        <v>-5.3205440053716299E-14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319.22903094674564</v>
      </c>
      <c r="T157" s="59">
        <f t="shared" si="142"/>
        <v>254.58690973142848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0.77874669108342454</v>
      </c>
      <c r="AA157" s="21">
        <f>EXP(-LN(2)/25)*AA156+(1-EXP(-LN(2)/25))/(LN(2)/25)*Calculateur!V157*Calculateur!X157*VLOOKUP('Données projet'!$B$9,Paramètres!$A$1:$I$89,3,0)*0.475*44/12</f>
        <v>0.35827582813275777</v>
      </c>
      <c r="AB157" s="21">
        <f>EXP(-LN(2)/2)*AB156+(1-EXP(-LN(2)/2))/(LN(2)/2)*V157*Y157*VLOOKUP('Données projet'!$B$9,Paramètres!$A$1:$I$89,3,0)*0.475*44/12</f>
        <v>2.3945968132852703E-18</v>
      </c>
      <c r="AC157" s="22">
        <f t="shared" si="163"/>
        <v>1.1370225192161822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1.9895196601282805E-13</v>
      </c>
      <c r="AJ157" s="13">
        <f>AI157*VLOOKUP('Données projet'!$B$10,Paramètres!$A$1:$I$89,3,0)*VLOOKUP('Données projet'!$B$10,Paramètres!$A$1:$I$89,5,0)</f>
        <v>1.738044375088066E-13</v>
      </c>
      <c r="AK157" s="13">
        <f t="shared" si="164"/>
        <v>2.4483293633950478E-12</v>
      </c>
      <c r="AL157" s="20">
        <f t="shared" si="165"/>
        <v>4.566883036574213E-12</v>
      </c>
      <c r="AM157" s="59">
        <f t="shared" si="113"/>
        <v>293.33333333333786</v>
      </c>
      <c r="AN157" s="59">
        <f ca="1">AVERAGE(OFFSET($AM$3,0,0,'Données projet'!$E$10+1,1))-AVERAGE(OFFSET($H$3,0,0,'Données projet'!$E$10+1,1))</f>
        <v>321.23599968992932</v>
      </c>
      <c r="AO157" s="59">
        <f t="shared" si="144"/>
        <v>388.05195847800502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0.58122703173861479</v>
      </c>
      <c r="AV157" s="21">
        <f>EXP(-LN(2)/25)*AV156+(1-EXP(-LN(2)/25))/(LN(2)/25)*Calculateur!AQ157*Calculateur!AS157*VLOOKUP('Données projet'!$B$10,Paramètres!$A$1:$I$89,3,0)*0.475*44/12</f>
        <v>0.4916332464853243</v>
      </c>
      <c r="AW157" s="21">
        <f>EXP(-LN(2)/2)*AW156+(1-EXP(-LN(2)/2))/(LN(2)/2)*AQ157*AT157*VLOOKUP('Données projet'!$B$10,Paramètres!$A$1:$I$89,3,0)*0.475*44/12</f>
        <v>3.6692227476005245E-18</v>
      </c>
      <c r="AX157" s="21">
        <f t="shared" si="166"/>
        <v>1.0728602782239391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1.1368683772161603E-13</v>
      </c>
      <c r="BE157" s="13">
        <f>BD157*VLOOKUP('Données projet'!$B$11,Paramètres!$A$1:$I$89,3,0)*VLOOKUP('Données projet'!$B$11,Paramètres!$A$1:$I$89,5,0)</f>
        <v>6.7984728957526396E-14</v>
      </c>
      <c r="BF157" s="13">
        <f t="shared" si="167"/>
        <v>1.0682447123141398E-12</v>
      </c>
      <c r="BG157" s="20">
        <f t="shared" si="168"/>
        <v>1.978932943548152E-12</v>
      </c>
      <c r="BH157" s="59">
        <f t="shared" si="116"/>
        <v>293.3333333333353</v>
      </c>
      <c r="BI157" s="59">
        <f ca="1">AVERAGE(OFFSET($BH$3,0,0,'Données projet'!$E$11+1,1))-AVERAGE(OFFSET($H$3,0,0,'Données projet'!$E$11+1,1))</f>
        <v>258.31845364515124</v>
      </c>
      <c r="BJ157" s="59">
        <f t="shared" si="146"/>
        <v>280.26155987300996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0.98487761366108639</v>
      </c>
      <c r="BQ157" s="21">
        <f>EXP(-LN(2)/25)*BQ156+(1-EXP(-LN(2)/25))/(LN(2)/25)*Calculateur!BL157*Calculateur!BN157*VLOOKUP('Données projet'!$B$11,Paramètres!$A$1:$I$89,3,0)*0.475*44/12</f>
        <v>0.30287881452835586</v>
      </c>
      <c r="BR157" s="21">
        <f>EXP(-LN(2)/2)*BR156+(1-EXP(-LN(2)/2))/(LN(2)/2)*BL157*BO157*VLOOKUP('Données projet'!$B$11,Paramètres!$A$1:$I$89,3,0)*0.475*44/12</f>
        <v>9.8206955076767051E-19</v>
      </c>
      <c r="BS157" s="22">
        <f t="shared" si="169"/>
        <v>1.2877564281894422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-5.6843418860808015E-14</v>
      </c>
      <c r="BZ157" s="13">
        <f>BY157*VLOOKUP('Données projet'!$B$12,Paramètres!$A$1:$I$89,3,0)*VLOOKUP('Données projet'!$B$12,Paramètres!$A$1:$I$89,5,0)</f>
        <v>-5.1431925385259088E-14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366.86025470473652</v>
      </c>
      <c r="CE157" s="59">
        <f t="shared" si="148"/>
        <v>513.80016421153414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0.22091973908697249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8.0275403681302056E-19</v>
      </c>
      <c r="CN157" s="22">
        <f t="shared" si="172"/>
        <v>0.22091973908697249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-5.6843418860808015E-14</v>
      </c>
      <c r="CU157" s="17">
        <f>CT157*VLOOKUP('Données projet'!$B$13,Paramètres!$A$1:$I$89,3,0)*VLOOKUP('Données projet'!$B$13,Paramètres!$A$1:$I$89,5,0)</f>
        <v>-3.1036506698001178E-14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207.02306964567629</v>
      </c>
      <c r="CZ157" s="59">
        <f t="shared" si="150"/>
        <v>342.06887933351783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0.56677354031811866</v>
      </c>
      <c r="DG157" s="21">
        <f>EXP(-LN(2)/25)*DG156+(1-EXP(-LN(2)/25))/(LN(2)/25)*Calculateur!DB157*Calculateur!DD157*VLOOKUP('Données projet'!$B$13,Paramètres!$A$1:$I$89,3,0)*0.475*44/12</f>
        <v>1.2504323137660125</v>
      </c>
      <c r="DH157" s="21">
        <f>EXP(-LN(2)/2)*DH156+(1-EXP(-LN(2)/2))/(LN(2)/2)*DB157*DE157*VLOOKUP('Données projet'!$B$13,Paramètres!$A$1:$I$89,3,0)*0.475*44/12</f>
        <v>2.8783512894981022E-18</v>
      </c>
      <c r="DI157" s="22">
        <f t="shared" si="175"/>
        <v>1.8172058540841312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7">
        <f t="shared" si="110"/>
        <v>256.66666666666669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-1.1368683772161603E-13</v>
      </c>
      <c r="O158" s="13">
        <f>N158*VLOOKUP('Données projet'!$B$9,Paramètres!$A$1:$I$89,3,0)*VLOOKUP('Données projet'!$B$9,Paramètres!$A$1:$I$89,5,0)</f>
        <v>-5.3205440053716299E-14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319.22903094674564</v>
      </c>
      <c r="T158" s="59">
        <f t="shared" si="142"/>
        <v>254.58690973142848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0.76347594345985892</v>
      </c>
      <c r="AA158" s="21">
        <f>EXP(-LN(2)/25)*AA157+(1-EXP(-LN(2)/25))/(LN(2)/25)*Calculateur!V158*Calculateur!X158*VLOOKUP('Données projet'!$B$9,Paramètres!$A$1:$I$89,3,0)*0.475*44/12</f>
        <v>0.34847875677156054</v>
      </c>
      <c r="AB158" s="21">
        <f>EXP(-LN(2)/2)*AB157+(1-EXP(-LN(2)/2))/(LN(2)/2)*V158*Y158*VLOOKUP('Données projet'!$B$9,Paramètres!$A$1:$I$89,3,0)*0.475*44/12</f>
        <v>1.6932356448817118E-18</v>
      </c>
      <c r="AC158" s="22">
        <f t="shared" si="163"/>
        <v>1.1119547002314194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1.9895196601282805E-13</v>
      </c>
      <c r="AJ158" s="13">
        <f>AI158*VLOOKUP('Données projet'!$B$10,Paramètres!$A$1:$I$89,3,0)*VLOOKUP('Données projet'!$B$10,Paramètres!$A$1:$I$89,5,0)</f>
        <v>1.738044375088066E-13</v>
      </c>
      <c r="AK158" s="13">
        <f t="shared" si="164"/>
        <v>2.4483293633950478E-12</v>
      </c>
      <c r="AL158" s="20">
        <f t="shared" si="165"/>
        <v>4.566883036574213E-12</v>
      </c>
      <c r="AM158" s="59">
        <f t="shared" si="113"/>
        <v>293.33333333333786</v>
      </c>
      <c r="AN158" s="59">
        <f ca="1">AVERAGE(OFFSET($AM$3,0,0,'Données projet'!$E$10+1,1))-AVERAGE(OFFSET($H$3,0,0,'Données projet'!$E$10+1,1))</f>
        <v>321.23599968992932</v>
      </c>
      <c r="AO158" s="59">
        <f t="shared" si="144"/>
        <v>388.05195847800502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0.56982952415970456</v>
      </c>
      <c r="AV158" s="21">
        <f>EXP(-LN(2)/25)*AV157+(1-EXP(-LN(2)/25))/(LN(2)/25)*Calculateur!AQ158*Calculateur!AS158*VLOOKUP('Données projet'!$B$10,Paramètres!$A$1:$I$89,3,0)*0.475*44/12</f>
        <v>0.47818950950631434</v>
      </c>
      <c r="AW158" s="21">
        <f>EXP(-LN(2)/2)*AW157+(1-EXP(-LN(2)/2))/(LN(2)/2)*AQ158*AT158*VLOOKUP('Données projet'!$B$10,Paramètres!$A$1:$I$89,3,0)*0.475*44/12</f>
        <v>2.5945322865122668E-18</v>
      </c>
      <c r="AX158" s="21">
        <f t="shared" si="166"/>
        <v>1.0480190336660189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1.1368683772161603E-13</v>
      </c>
      <c r="BE158" s="13">
        <f>BD158*VLOOKUP('Données projet'!$B$11,Paramètres!$A$1:$I$89,3,0)*VLOOKUP('Données projet'!$B$11,Paramètres!$A$1:$I$89,5,0)</f>
        <v>6.7984728957526396E-14</v>
      </c>
      <c r="BF158" s="13">
        <f t="shared" si="167"/>
        <v>1.0682447123141398E-12</v>
      </c>
      <c r="BG158" s="20">
        <f t="shared" si="168"/>
        <v>1.978932943548152E-12</v>
      </c>
      <c r="BH158" s="59">
        <f t="shared" si="116"/>
        <v>293.3333333333353</v>
      </c>
      <c r="BI158" s="59">
        <f ca="1">AVERAGE(OFFSET($BH$3,0,0,'Données projet'!$E$11+1,1))-AVERAGE(OFFSET($H$3,0,0,'Données projet'!$E$11+1,1))</f>
        <v>258.31845364515124</v>
      </c>
      <c r="BJ158" s="59">
        <f t="shared" si="146"/>
        <v>280.26155987300996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0.96556476437322103</v>
      </c>
      <c r="BQ158" s="21">
        <f>EXP(-LN(2)/25)*BQ157+(1-EXP(-LN(2)/25))/(LN(2)/25)*Calculateur!BL158*Calculateur!BN158*VLOOKUP('Données projet'!$B$11,Paramètres!$A$1:$I$89,3,0)*0.475*44/12</f>
        <v>0.29459657741737333</v>
      </c>
      <c r="BR158" s="21">
        <f>EXP(-LN(2)/2)*BR157+(1-EXP(-LN(2)/2))/(LN(2)/2)*BL158*BO158*VLOOKUP('Données projet'!$B$11,Paramètres!$A$1:$I$89,3,0)*0.475*44/12</f>
        <v>6.9442803894464622E-19</v>
      </c>
      <c r="BS158" s="22">
        <f t="shared" si="169"/>
        <v>1.2601613417905944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-5.6843418860808015E-14</v>
      </c>
      <c r="BZ158" s="13">
        <f>BY158*VLOOKUP('Données projet'!$B$12,Paramètres!$A$1:$I$89,3,0)*VLOOKUP('Données projet'!$B$12,Paramètres!$A$1:$I$89,5,0)</f>
        <v>-5.1431925385259088E-14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366.86025470473652</v>
      </c>
      <c r="CE158" s="59">
        <f t="shared" si="148"/>
        <v>513.80016421153414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0.21658763775121256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5.6763282305536223E-19</v>
      </c>
      <c r="CN158" s="22">
        <f t="shared" si="172"/>
        <v>0.21658763775121256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-5.6843418860808015E-14</v>
      </c>
      <c r="CU158" s="17">
        <f>CT158*VLOOKUP('Données projet'!$B$13,Paramètres!$A$1:$I$89,3,0)*VLOOKUP('Données projet'!$B$13,Paramètres!$A$1:$I$89,5,0)</f>
        <v>-3.1036506698001178E-14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207.02306964567629</v>
      </c>
      <c r="CZ158" s="59">
        <f t="shared" si="150"/>
        <v>342.06887933351783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0.55565945689020513</v>
      </c>
      <c r="DG158" s="21">
        <f>EXP(-LN(2)/25)*DG157+(1-EXP(-LN(2)/25))/(LN(2)/25)*Calculateur!DB158*Calculateur!DD158*VLOOKUP('Données projet'!$B$13,Paramètres!$A$1:$I$89,3,0)*0.475*44/12</f>
        <v>1.2162391763887035</v>
      </c>
      <c r="DH158" s="21">
        <f>EXP(-LN(2)/2)*DH157+(1-EXP(-LN(2)/2))/(LN(2)/2)*DB158*DE158*VLOOKUP('Données projet'!$B$13,Paramètres!$A$1:$I$89,3,0)*0.475*44/12</f>
        <v>2.0353017154411514E-18</v>
      </c>
      <c r="DI158" s="22">
        <f t="shared" si="175"/>
        <v>1.7718986332789086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7">
        <f t="shared" si="110"/>
        <v>256.66666666666669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-1.1368683772161603E-13</v>
      </c>
      <c r="O159" s="13">
        <f>N159*VLOOKUP('Données projet'!$B$9,Paramètres!$A$1:$I$89,3,0)*VLOOKUP('Données projet'!$B$9,Paramètres!$A$1:$I$89,5,0)</f>
        <v>-5.3205440053716299E-14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319.22903094674564</v>
      </c>
      <c r="T159" s="59">
        <f t="shared" si="142"/>
        <v>254.58690973142848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0.74850464588295507</v>
      </c>
      <c r="AA159" s="21">
        <f>EXP(-LN(2)/25)*AA158+(1-EXP(-LN(2)/25))/(LN(2)/25)*Calculateur!V159*Calculateur!X159*VLOOKUP('Données projet'!$B$9,Paramètres!$A$1:$I$89,3,0)*0.475*44/12</f>
        <v>0.33894958684194088</v>
      </c>
      <c r="AB159" s="21">
        <f>EXP(-LN(2)/2)*AB158+(1-EXP(-LN(2)/2))/(LN(2)/2)*V159*Y159*VLOOKUP('Données projet'!$B$9,Paramètres!$A$1:$I$89,3,0)*0.475*44/12</f>
        <v>1.1972984066426353E-18</v>
      </c>
      <c r="AC159" s="22">
        <f t="shared" si="163"/>
        <v>1.0874542327248959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1.9895196601282805E-13</v>
      </c>
      <c r="AJ159" s="13">
        <f>AI159*VLOOKUP('Données projet'!$B$10,Paramètres!$A$1:$I$89,3,0)*VLOOKUP('Données projet'!$B$10,Paramètres!$A$1:$I$89,5,0)</f>
        <v>1.738044375088066E-13</v>
      </c>
      <c r="AK159" s="13">
        <f t="shared" si="164"/>
        <v>2.4483293633950478E-12</v>
      </c>
      <c r="AL159" s="20">
        <f t="shared" si="165"/>
        <v>4.566883036574213E-12</v>
      </c>
      <c r="AM159" s="59">
        <f t="shared" si="113"/>
        <v>293.33333333333786</v>
      </c>
      <c r="AN159" s="59">
        <f ca="1">AVERAGE(OFFSET($AM$3,0,0,'Données projet'!$E$10+1,1))-AVERAGE(OFFSET($H$3,0,0,'Données projet'!$E$10+1,1))</f>
        <v>321.23599968992932</v>
      </c>
      <c r="AO159" s="59">
        <f t="shared" si="144"/>
        <v>388.05195847800502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0.55865551475262365</v>
      </c>
      <c r="AV159" s="21">
        <f>EXP(-LN(2)/25)*AV158+(1-EXP(-LN(2)/25))/(LN(2)/25)*Calculateur!AQ159*Calculateur!AS159*VLOOKUP('Données projet'!$B$10,Paramètres!$A$1:$I$89,3,0)*0.475*44/12</f>
        <v>0.46511339222197079</v>
      </c>
      <c r="AW159" s="21">
        <f>EXP(-LN(2)/2)*AW158+(1-EXP(-LN(2)/2))/(LN(2)/2)*AQ159*AT159*VLOOKUP('Données projet'!$B$10,Paramètres!$A$1:$I$89,3,0)*0.475*44/12</f>
        <v>1.8346113738002622E-18</v>
      </c>
      <c r="AX159" s="21">
        <f t="shared" si="166"/>
        <v>1.0237689069745946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1.1368683772161603E-13</v>
      </c>
      <c r="BE159" s="13">
        <f>BD159*VLOOKUP('Données projet'!$B$11,Paramètres!$A$1:$I$89,3,0)*VLOOKUP('Données projet'!$B$11,Paramètres!$A$1:$I$89,5,0)</f>
        <v>6.7984728957526396E-14</v>
      </c>
      <c r="BF159" s="13">
        <f t="shared" si="167"/>
        <v>1.0682447123141398E-12</v>
      </c>
      <c r="BG159" s="20">
        <f t="shared" si="168"/>
        <v>1.978932943548152E-12</v>
      </c>
      <c r="BH159" s="59">
        <f t="shared" si="116"/>
        <v>293.3333333333353</v>
      </c>
      <c r="BI159" s="59">
        <f ca="1">AVERAGE(OFFSET($BH$3,0,0,'Données projet'!$E$11+1,1))-AVERAGE(OFFSET($H$3,0,0,'Données projet'!$E$11+1,1))</f>
        <v>258.31845364515124</v>
      </c>
      <c r="BJ159" s="59">
        <f t="shared" si="146"/>
        <v>280.26155987300996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0.94663062828021582</v>
      </c>
      <c r="BQ159" s="21">
        <f>EXP(-LN(2)/25)*BQ158+(1-EXP(-LN(2)/25))/(LN(2)/25)*Calculateur!BL159*Calculateur!BN159*VLOOKUP('Données projet'!$B$11,Paramètres!$A$1:$I$89,3,0)*0.475*44/12</f>
        <v>0.28654081851573454</v>
      </c>
      <c r="BR159" s="21">
        <f>EXP(-LN(2)/2)*BR158+(1-EXP(-LN(2)/2))/(LN(2)/2)*BL159*BO159*VLOOKUP('Données projet'!$B$11,Paramètres!$A$1:$I$89,3,0)*0.475*44/12</f>
        <v>4.9103477538383525E-19</v>
      </c>
      <c r="BS159" s="22">
        <f t="shared" si="169"/>
        <v>1.2331714467959505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-5.6843418860808015E-14</v>
      </c>
      <c r="BZ159" s="13">
        <f>BY159*VLOOKUP('Données projet'!$B$12,Paramètres!$A$1:$I$89,3,0)*VLOOKUP('Données projet'!$B$12,Paramètres!$A$1:$I$89,5,0)</f>
        <v>-5.1431925385259088E-14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366.86025470473652</v>
      </c>
      <c r="CE159" s="59">
        <f t="shared" si="148"/>
        <v>513.80016421153414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0.21234048628032598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4.0137701840651028E-19</v>
      </c>
      <c r="CN159" s="22">
        <f t="shared" si="172"/>
        <v>0.21234048628032598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-5.6843418860808015E-14</v>
      </c>
      <c r="CU159" s="17">
        <f>CT159*VLOOKUP('Données projet'!$B$13,Paramètres!$A$1:$I$89,3,0)*VLOOKUP('Données projet'!$B$13,Paramètres!$A$1:$I$89,5,0)</f>
        <v>-3.1036506698001178E-14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207.02306964567629</v>
      </c>
      <c r="CZ159" s="59">
        <f t="shared" si="150"/>
        <v>342.06887933351783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0.54476331385939147</v>
      </c>
      <c r="DG159" s="21">
        <f>EXP(-LN(2)/25)*DG158+(1-EXP(-LN(2)/25))/(LN(2)/25)*Calculateur!DB159*Calculateur!DD159*VLOOKUP('Données projet'!$B$13,Paramètres!$A$1:$I$89,3,0)*0.475*44/12</f>
        <v>1.1829810521511159</v>
      </c>
      <c r="DH159" s="21">
        <f>EXP(-LN(2)/2)*DH158+(1-EXP(-LN(2)/2))/(LN(2)/2)*DB159*DE159*VLOOKUP('Données projet'!$B$13,Paramètres!$A$1:$I$89,3,0)*0.475*44/12</f>
        <v>1.4391756447490511E-18</v>
      </c>
      <c r="DI159" s="22">
        <f t="shared" si="175"/>
        <v>1.7277443660105074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7">
        <f t="shared" si="110"/>
        <v>256.66666666666669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-1.1368683772161603E-13</v>
      </c>
      <c r="O160" s="13">
        <f>N160*VLOOKUP('Données projet'!$B$9,Paramètres!$A$1:$I$89,3,0)*VLOOKUP('Données projet'!$B$9,Paramètres!$A$1:$I$89,5,0)</f>
        <v>-5.3205440053716299E-14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319.22903094674564</v>
      </c>
      <c r="T160" s="59">
        <f t="shared" si="142"/>
        <v>254.58690973142848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0.73382692631994451</v>
      </c>
      <c r="AA160" s="21">
        <f>EXP(-LN(2)/25)*AA159+(1-EXP(-LN(2)/25))/(LN(2)/25)*Calculateur!V160*Calculateur!X160*VLOOKUP('Données projet'!$B$9,Paramètres!$A$1:$I$89,3,0)*0.475*44/12</f>
        <v>0.32968099256516392</v>
      </c>
      <c r="AB160" s="21">
        <f>EXP(-LN(2)/2)*AB159+(1-EXP(-LN(2)/2))/(LN(2)/2)*V160*Y160*VLOOKUP('Données projet'!$B$9,Paramètres!$A$1:$I$89,3,0)*0.475*44/12</f>
        <v>8.4661782244085598E-19</v>
      </c>
      <c r="AC160" s="22">
        <f t="shared" si="163"/>
        <v>1.0635079188851084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1.9895196601282805E-13</v>
      </c>
      <c r="AJ160" s="13">
        <f>AI160*VLOOKUP('Données projet'!$B$10,Paramètres!$A$1:$I$89,3,0)*VLOOKUP('Données projet'!$B$10,Paramètres!$A$1:$I$89,5,0)</f>
        <v>1.738044375088066E-13</v>
      </c>
      <c r="AK160" s="13">
        <f t="shared" si="164"/>
        <v>2.4483293633950478E-12</v>
      </c>
      <c r="AL160" s="20">
        <f t="shared" si="165"/>
        <v>4.566883036574213E-12</v>
      </c>
      <c r="AM160" s="59">
        <f t="shared" si="113"/>
        <v>293.33333333333786</v>
      </c>
      <c r="AN160" s="59">
        <f ca="1">AVERAGE(OFFSET($AM$3,0,0,'Données projet'!$E$10+1,1))-AVERAGE(OFFSET($H$3,0,0,'Données projet'!$E$10+1,1))</f>
        <v>321.23599968992932</v>
      </c>
      <c r="AO160" s="59">
        <f t="shared" si="144"/>
        <v>388.05195847800502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0.54770062085454285</v>
      </c>
      <c r="AV160" s="21">
        <f>EXP(-LN(2)/25)*AV159+(1-EXP(-LN(2)/25))/(LN(2)/25)*Calculateur!AQ160*Calculateur!AS160*VLOOKUP('Données projet'!$B$10,Paramètres!$A$1:$I$89,3,0)*0.475*44/12</f>
        <v>0.45239484205241071</v>
      </c>
      <c r="AW160" s="21">
        <f>EXP(-LN(2)/2)*AW159+(1-EXP(-LN(2)/2))/(LN(2)/2)*AQ160*AT160*VLOOKUP('Données projet'!$B$10,Paramètres!$A$1:$I$89,3,0)*0.475*44/12</f>
        <v>1.2972661432561334E-18</v>
      </c>
      <c r="AX160" s="21">
        <f t="shared" si="166"/>
        <v>1.0000954629069536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1.1368683772161603E-13</v>
      </c>
      <c r="BE160" s="13">
        <f>BD160*VLOOKUP('Données projet'!$B$11,Paramètres!$A$1:$I$89,3,0)*VLOOKUP('Données projet'!$B$11,Paramètres!$A$1:$I$89,5,0)</f>
        <v>6.7984728957526396E-14</v>
      </c>
      <c r="BF160" s="13">
        <f t="shared" si="167"/>
        <v>1.0682447123141398E-12</v>
      </c>
      <c r="BG160" s="20">
        <f t="shared" si="168"/>
        <v>1.978932943548152E-12</v>
      </c>
      <c r="BH160" s="59">
        <f t="shared" si="116"/>
        <v>293.3333333333353</v>
      </c>
      <c r="BI160" s="59">
        <f ca="1">AVERAGE(OFFSET($BH$3,0,0,'Données projet'!$E$11+1,1))-AVERAGE(OFFSET($H$3,0,0,'Données projet'!$E$11+1,1))</f>
        <v>258.31845364515124</v>
      </c>
      <c r="BJ160" s="59">
        <f t="shared" si="146"/>
        <v>280.26155987300996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0.92806777904731175</v>
      </c>
      <c r="BQ160" s="21">
        <f>EXP(-LN(2)/25)*BQ159+(1-EXP(-LN(2)/25))/(LN(2)/25)*Calculateur!BL160*Calculateur!BN160*VLOOKUP('Données projet'!$B$11,Paramètres!$A$1:$I$89,3,0)*0.475*44/12</f>
        <v>0.27870534476489506</v>
      </c>
      <c r="BR160" s="21">
        <f>EXP(-LN(2)/2)*BR159+(1-EXP(-LN(2)/2))/(LN(2)/2)*BL160*BO160*VLOOKUP('Données projet'!$B$11,Paramètres!$A$1:$I$89,3,0)*0.475*44/12</f>
        <v>3.4721401947232311E-19</v>
      </c>
      <c r="BS160" s="22">
        <f t="shared" si="169"/>
        <v>1.2067731238122068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-5.6843418860808015E-14</v>
      </c>
      <c r="BZ160" s="13">
        <f>BY160*VLOOKUP('Données projet'!$B$12,Paramètres!$A$1:$I$89,3,0)*VLOOKUP('Données projet'!$B$12,Paramètres!$A$1:$I$89,5,0)</f>
        <v>-5.1431925385259088E-14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366.86025470473652</v>
      </c>
      <c r="CE160" s="59">
        <f t="shared" si="148"/>
        <v>513.80016421153414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0.20817661885927688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2.8381641152768112E-19</v>
      </c>
      <c r="CN160" s="22">
        <f t="shared" si="172"/>
        <v>0.20817661885927688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-5.6843418860808015E-14</v>
      </c>
      <c r="CU160" s="17">
        <f>CT160*VLOOKUP('Données projet'!$B$13,Paramètres!$A$1:$I$89,3,0)*VLOOKUP('Données projet'!$B$13,Paramètres!$A$1:$I$89,5,0)</f>
        <v>-3.1036506698001178E-14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207.02306964567629</v>
      </c>
      <c r="CZ160" s="59">
        <f t="shared" si="150"/>
        <v>342.06887933351783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0.53408083754742108</v>
      </c>
      <c r="DG160" s="21">
        <f>EXP(-LN(2)/25)*DG159+(1-EXP(-LN(2)/25))/(LN(2)/25)*Calculateur!DB160*Calculateur!DD160*VLOOKUP('Données projet'!$B$13,Paramètres!$A$1:$I$89,3,0)*0.475*44/12</f>
        <v>1.1506323730697738</v>
      </c>
      <c r="DH160" s="21">
        <f>EXP(-LN(2)/2)*DH159+(1-EXP(-LN(2)/2))/(LN(2)/2)*DB160*DE160*VLOOKUP('Données projet'!$B$13,Paramètres!$A$1:$I$89,3,0)*0.475*44/12</f>
        <v>1.0176508577205757E-18</v>
      </c>
      <c r="DI160" s="22">
        <f t="shared" si="175"/>
        <v>1.6847132106171949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7">
        <f t="shared" si="110"/>
        <v>256.66666666666669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-1.1368683772161603E-13</v>
      </c>
      <c r="O161" s="13">
        <f>N161*VLOOKUP('Données projet'!$B$9,Paramètres!$A$1:$I$89,3,0)*VLOOKUP('Données projet'!$B$9,Paramètres!$A$1:$I$89,5,0)</f>
        <v>-5.3205440053716299E-14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319.22903094674564</v>
      </c>
      <c r="T161" s="59">
        <f t="shared" si="142"/>
        <v>254.58690973142848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0.7194370278850396</v>
      </c>
      <c r="AA161" s="21">
        <f>EXP(-LN(2)/25)*AA160+(1-EXP(-LN(2)/25))/(LN(2)/25)*Calculateur!V161*Calculateur!X161*VLOOKUP('Données projet'!$B$9,Paramètres!$A$1:$I$89,3,0)*0.475*44/12</f>
        <v>0.32066584848629959</v>
      </c>
      <c r="AB161" s="21">
        <f>EXP(-LN(2)/2)*AB160+(1-EXP(-LN(2)/2))/(LN(2)/2)*V161*Y161*VLOOKUP('Données projet'!$B$9,Paramètres!$A$1:$I$89,3,0)*0.475*44/12</f>
        <v>5.9864920332131776E-19</v>
      </c>
      <c r="AC161" s="22">
        <f t="shared" si="163"/>
        <v>1.0401028763713391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1.9895196601282805E-13</v>
      </c>
      <c r="AJ161" s="13">
        <f>AI161*VLOOKUP('Données projet'!$B$10,Paramètres!$A$1:$I$89,3,0)*VLOOKUP('Données projet'!$B$10,Paramètres!$A$1:$I$89,5,0)</f>
        <v>1.738044375088066E-13</v>
      </c>
      <c r="AK161" s="13">
        <f t="shared" si="164"/>
        <v>2.4483293633950478E-12</v>
      </c>
      <c r="AL161" s="20">
        <f t="shared" si="165"/>
        <v>4.566883036574213E-12</v>
      </c>
      <c r="AM161" s="59">
        <f t="shared" si="113"/>
        <v>293.33333333333786</v>
      </c>
      <c r="AN161" s="59">
        <f ca="1">AVERAGE(OFFSET($AM$3,0,0,'Données projet'!$E$10+1,1))-AVERAGE(OFFSET($H$3,0,0,'Données projet'!$E$10+1,1))</f>
        <v>321.23599968992932</v>
      </c>
      <c r="AO161" s="59">
        <f t="shared" si="144"/>
        <v>388.05195847800502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0.53696054574397789</v>
      </c>
      <c r="AV161" s="21">
        <f>EXP(-LN(2)/25)*AV160+(1-EXP(-LN(2)/25))/(LN(2)/25)*Calculateur!AQ161*Calculateur!AS161*VLOOKUP('Données projet'!$B$10,Paramètres!$A$1:$I$89,3,0)*0.475*44/12</f>
        <v>0.44002408130607673</v>
      </c>
      <c r="AW161" s="21">
        <f>EXP(-LN(2)/2)*AW160+(1-EXP(-LN(2)/2))/(LN(2)/2)*AQ161*AT161*VLOOKUP('Données projet'!$B$10,Paramètres!$A$1:$I$89,3,0)*0.475*44/12</f>
        <v>9.1730568690013112E-19</v>
      </c>
      <c r="AX161" s="21">
        <f t="shared" si="166"/>
        <v>0.97698462705005462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1.1368683772161603E-13</v>
      </c>
      <c r="BE161" s="13">
        <f>BD161*VLOOKUP('Données projet'!$B$11,Paramètres!$A$1:$I$89,3,0)*VLOOKUP('Données projet'!$B$11,Paramètres!$A$1:$I$89,5,0)</f>
        <v>6.7984728957526396E-14</v>
      </c>
      <c r="BF161" s="13">
        <f t="shared" si="167"/>
        <v>1.0682447123141398E-12</v>
      </c>
      <c r="BG161" s="20">
        <f t="shared" si="168"/>
        <v>1.978932943548152E-12</v>
      </c>
      <c r="BH161" s="59">
        <f t="shared" si="116"/>
        <v>293.3333333333353</v>
      </c>
      <c r="BI161" s="59">
        <f ca="1">AVERAGE(OFFSET($BH$3,0,0,'Données projet'!$E$11+1,1))-AVERAGE(OFFSET($H$3,0,0,'Données projet'!$E$11+1,1))</f>
        <v>258.31845364515124</v>
      </c>
      <c r="BJ161" s="59">
        <f t="shared" si="146"/>
        <v>280.26155987300996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0.90986893596564489</v>
      </c>
      <c r="BQ161" s="21">
        <f>EXP(-LN(2)/25)*BQ160+(1-EXP(-LN(2)/25))/(LN(2)/25)*Calculateur!BL161*Calculateur!BN161*VLOOKUP('Données projet'!$B$11,Paramètres!$A$1:$I$89,3,0)*0.475*44/12</f>
        <v>0.27108413245582191</v>
      </c>
      <c r="BR161" s="21">
        <f>EXP(-LN(2)/2)*BR160+(1-EXP(-LN(2)/2))/(LN(2)/2)*BL161*BO161*VLOOKUP('Données projet'!$B$11,Paramètres!$A$1:$I$89,3,0)*0.475*44/12</f>
        <v>2.4551738769191763E-19</v>
      </c>
      <c r="BS161" s="22">
        <f t="shared" si="169"/>
        <v>1.1809530684214669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-5.6843418860808015E-14</v>
      </c>
      <c r="BZ161" s="13">
        <f>BY161*VLOOKUP('Données projet'!$B$12,Paramètres!$A$1:$I$89,3,0)*VLOOKUP('Données projet'!$B$12,Paramètres!$A$1:$I$89,5,0)</f>
        <v>-5.1431925385259088E-14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366.86025470473652</v>
      </c>
      <c r="CE161" s="59">
        <f t="shared" si="148"/>
        <v>513.80016421153414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0.2040944023386462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2.0068850920325514E-19</v>
      </c>
      <c r="CN161" s="22">
        <f t="shared" si="172"/>
        <v>0.2040944023386462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-5.6843418860808015E-14</v>
      </c>
      <c r="CU161" s="17">
        <f>CT161*VLOOKUP('Données projet'!$B$13,Paramètres!$A$1:$I$89,3,0)*VLOOKUP('Données projet'!$B$13,Paramètres!$A$1:$I$89,5,0)</f>
        <v>-3.1036506698001178E-14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207.02306964567629</v>
      </c>
      <c r="CZ161" s="59">
        <f t="shared" si="150"/>
        <v>342.06887933351783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0.52360783808026123</v>
      </c>
      <c r="DG161" s="21">
        <f>EXP(-LN(2)/25)*DG160+(1-EXP(-LN(2)/25))/(LN(2)/25)*Calculateur!DB161*Calculateur!DD161*VLOOKUP('Données projet'!$B$13,Paramètres!$A$1:$I$89,3,0)*0.475*44/12</f>
        <v>1.1191682703190542</v>
      </c>
      <c r="DH161" s="21">
        <f>EXP(-LN(2)/2)*DH160+(1-EXP(-LN(2)/2))/(LN(2)/2)*DB161*DE161*VLOOKUP('Données projet'!$B$13,Paramètres!$A$1:$I$89,3,0)*0.475*44/12</f>
        <v>7.1958782237452554E-19</v>
      </c>
      <c r="DI161" s="22">
        <f t="shared" si="175"/>
        <v>1.6427761083993153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7">
        <f t="shared" si="110"/>
        <v>256.66666666666669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-1.1368683772161603E-13</v>
      </c>
      <c r="O162" s="13">
        <f>N162*VLOOKUP('Données projet'!$B$9,Paramètres!$A$1:$I$89,3,0)*VLOOKUP('Données projet'!$B$9,Paramètres!$A$1:$I$89,5,0)</f>
        <v>-5.3205440053716299E-14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319.22903094674564</v>
      </c>
      <c r="T162" s="59">
        <f t="shared" si="142"/>
        <v>254.58690973142848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0.70532930658147175</v>
      </c>
      <c r="AA162" s="21">
        <f>EXP(-LN(2)/25)*AA161+(1-EXP(-LN(2)/25))/(LN(2)/25)*Calculateur!V162*Calculateur!X162*VLOOKUP('Données projet'!$B$9,Paramètres!$A$1:$I$89,3,0)*0.475*44/12</f>
        <v>0.31189722399635766</v>
      </c>
      <c r="AB162" s="21">
        <f>EXP(-LN(2)/2)*AB161+(1-EXP(-LN(2)/2))/(LN(2)/2)*V162*Y162*VLOOKUP('Données projet'!$B$9,Paramètres!$A$1:$I$89,3,0)*0.475*44/12</f>
        <v>4.2330891122042809E-19</v>
      </c>
      <c r="AC162" s="22">
        <f t="shared" si="163"/>
        <v>1.0172265305778294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1.9895196601282805E-13</v>
      </c>
      <c r="AJ162" s="13">
        <f>AI162*VLOOKUP('Données projet'!$B$10,Paramètres!$A$1:$I$89,3,0)*VLOOKUP('Données projet'!$B$10,Paramètres!$A$1:$I$89,5,0)</f>
        <v>1.738044375088066E-13</v>
      </c>
      <c r="AK162" s="13">
        <f t="shared" si="164"/>
        <v>2.4483293633950478E-12</v>
      </c>
      <c r="AL162" s="20">
        <f t="shared" si="165"/>
        <v>4.566883036574213E-12</v>
      </c>
      <c r="AM162" s="59">
        <f t="shared" si="113"/>
        <v>293.33333333333786</v>
      </c>
      <c r="AN162" s="59">
        <f ca="1">AVERAGE(OFFSET($AM$3,0,0,'Données projet'!$E$10+1,1))-AVERAGE(OFFSET($H$3,0,0,'Données projet'!$E$10+1,1))</f>
        <v>321.23599968992932</v>
      </c>
      <c r="AO162" s="59">
        <f t="shared" si="144"/>
        <v>388.05195847800502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0.52643107695553215</v>
      </c>
      <c r="AV162" s="21">
        <f>EXP(-LN(2)/25)*AV161+(1-EXP(-LN(2)/25))/(LN(2)/25)*Calculateur!AQ162*Calculateur!AS162*VLOOKUP('Données projet'!$B$10,Paramètres!$A$1:$I$89,3,0)*0.475*44/12</f>
        <v>0.42799159966290129</v>
      </c>
      <c r="AW162" s="21">
        <f>EXP(-LN(2)/2)*AW161+(1-EXP(-LN(2)/2))/(LN(2)/2)*AQ162*AT162*VLOOKUP('Données projet'!$B$10,Paramètres!$A$1:$I$89,3,0)*0.475*44/12</f>
        <v>6.4863307162806669E-19</v>
      </c>
      <c r="AX162" s="21">
        <f t="shared" si="166"/>
        <v>0.95442267661843339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1.1368683772161603E-13</v>
      </c>
      <c r="BE162" s="13">
        <f>BD162*VLOOKUP('Données projet'!$B$11,Paramètres!$A$1:$I$89,3,0)*VLOOKUP('Données projet'!$B$11,Paramètres!$A$1:$I$89,5,0)</f>
        <v>6.7984728957526396E-14</v>
      </c>
      <c r="BF162" s="13">
        <f t="shared" si="167"/>
        <v>1.0682447123141398E-12</v>
      </c>
      <c r="BG162" s="20">
        <f t="shared" si="168"/>
        <v>1.978932943548152E-12</v>
      </c>
      <c r="BH162" s="59">
        <f t="shared" si="116"/>
        <v>293.3333333333353</v>
      </c>
      <c r="BI162" s="59">
        <f ca="1">AVERAGE(OFFSET($BH$3,0,0,'Données projet'!$E$11+1,1))-AVERAGE(OFFSET($H$3,0,0,'Données projet'!$E$11+1,1))</f>
        <v>258.31845364515124</v>
      </c>
      <c r="BJ162" s="59">
        <f t="shared" si="146"/>
        <v>280.26155987300996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0.89202696109661128</v>
      </c>
      <c r="BQ162" s="21">
        <f>EXP(-LN(2)/25)*BQ161+(1-EXP(-LN(2)/25))/(LN(2)/25)*Calculateur!BL162*Calculateur!BN162*VLOOKUP('Données projet'!$B$11,Paramètres!$A$1:$I$89,3,0)*0.475*44/12</f>
        <v>0.26367132259812248</v>
      </c>
      <c r="BR162" s="21">
        <f>EXP(-LN(2)/2)*BR161+(1-EXP(-LN(2)/2))/(LN(2)/2)*BL162*BO162*VLOOKUP('Données projet'!$B$11,Paramètres!$A$1:$I$89,3,0)*0.475*44/12</f>
        <v>1.7360700973616155E-19</v>
      </c>
      <c r="BS162" s="22">
        <f t="shared" si="169"/>
        <v>1.1556982836947338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-5.6843418860808015E-14</v>
      </c>
      <c r="BZ162" s="13">
        <f>BY162*VLOOKUP('Données projet'!$B$12,Paramètres!$A$1:$I$89,3,0)*VLOOKUP('Données projet'!$B$12,Paramètres!$A$1:$I$89,5,0)</f>
        <v>-5.1431925385259088E-14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366.86025470473652</v>
      </c>
      <c r="CE162" s="59">
        <f t="shared" si="148"/>
        <v>513.80016421153414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0.20009223559407888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1.4190820576384056E-19</v>
      </c>
      <c r="CN162" s="22">
        <f t="shared" si="172"/>
        <v>0.20009223559407888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-5.6843418860808015E-14</v>
      </c>
      <c r="CU162" s="17">
        <f>CT162*VLOOKUP('Données projet'!$B$13,Paramètres!$A$1:$I$89,3,0)*VLOOKUP('Données projet'!$B$13,Paramètres!$A$1:$I$89,5,0)</f>
        <v>-3.1036506698001178E-14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207.02306964567629</v>
      </c>
      <c r="CZ162" s="59">
        <f t="shared" si="150"/>
        <v>342.06887933351783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0.51334020774475342</v>
      </c>
      <c r="DG162" s="21">
        <f>EXP(-LN(2)/25)*DG161+(1-EXP(-LN(2)/25))/(LN(2)/25)*Calculateur!DB162*Calculateur!DD162*VLOOKUP('Données projet'!$B$13,Paramètres!$A$1:$I$89,3,0)*0.475*44/12</f>
        <v>1.0885645551126781</v>
      </c>
      <c r="DH162" s="21">
        <f>EXP(-LN(2)/2)*DH161+(1-EXP(-LN(2)/2))/(LN(2)/2)*DB162*DE162*VLOOKUP('Données projet'!$B$13,Paramètres!$A$1:$I$89,3,0)*0.475*44/12</f>
        <v>5.0882542886028785E-19</v>
      </c>
      <c r="DI162" s="22">
        <f t="shared" si="175"/>
        <v>1.6019047628574317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7">
        <f t="shared" si="110"/>
        <v>256.66666666666669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-1.1368683772161603E-13</v>
      </c>
      <c r="O163" s="13">
        <f>N163*VLOOKUP('Données projet'!$B$9,Paramètres!$A$1:$I$89,3,0)*VLOOKUP('Données projet'!$B$9,Paramètres!$A$1:$I$89,5,0)</f>
        <v>-5.3205440053716299E-14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319.22903094674564</v>
      </c>
      <c r="T163" s="59">
        <f t="shared" si="142"/>
        <v>254.58690973142848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0.69149822908780656</v>
      </c>
      <c r="AA163" s="21">
        <f>EXP(-LN(2)/25)*AA162+(1-EXP(-LN(2)/25))/(LN(2)/25)*Calculateur!V163*Calculateur!X163*VLOOKUP('Données projet'!$B$9,Paramètres!$A$1:$I$89,3,0)*0.475*44/12</f>
        <v>0.30336837800421512</v>
      </c>
      <c r="AB163" s="21">
        <f>EXP(-LN(2)/2)*AB162+(1-EXP(-LN(2)/2))/(LN(2)/2)*V163*Y163*VLOOKUP('Données projet'!$B$9,Paramètres!$A$1:$I$89,3,0)*0.475*44/12</f>
        <v>2.9932460166065893E-19</v>
      </c>
      <c r="AC163" s="22">
        <f t="shared" si="163"/>
        <v>0.99486660709202168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1.9895196601282805E-13</v>
      </c>
      <c r="AJ163" s="13">
        <f>AI163*VLOOKUP('Données projet'!$B$10,Paramètres!$A$1:$I$89,3,0)*VLOOKUP('Données projet'!$B$10,Paramètres!$A$1:$I$89,5,0)</f>
        <v>1.738044375088066E-13</v>
      </c>
      <c r="AK163" s="13">
        <f t="shared" si="164"/>
        <v>2.4483293633950478E-12</v>
      </c>
      <c r="AL163" s="20">
        <f t="shared" si="165"/>
        <v>4.566883036574213E-12</v>
      </c>
      <c r="AM163" s="59">
        <f t="shared" si="113"/>
        <v>293.33333333333786</v>
      </c>
      <c r="AN163" s="59">
        <f ca="1">AVERAGE(OFFSET($AM$3,0,0,'Données projet'!$E$10+1,1))-AVERAGE(OFFSET($H$3,0,0,'Données projet'!$E$10+1,1))</f>
        <v>321.23599968992932</v>
      </c>
      <c r="AO163" s="59">
        <f t="shared" si="144"/>
        <v>388.05195847800502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0.51610808462768598</v>
      </c>
      <c r="AV163" s="21">
        <f>EXP(-LN(2)/25)*AV162+(1-EXP(-LN(2)/25))/(LN(2)/25)*Calculateur!AQ163*Calculateur!AS163*VLOOKUP('Données projet'!$B$10,Paramètres!$A$1:$I$89,3,0)*0.475*44/12</f>
        <v>0.41628814686301924</v>
      </c>
      <c r="AW163" s="21">
        <f>EXP(-LN(2)/2)*AW162+(1-EXP(-LN(2)/2))/(LN(2)/2)*AQ163*AT163*VLOOKUP('Données projet'!$B$10,Paramètres!$A$1:$I$89,3,0)*0.475*44/12</f>
        <v>4.5865284345006556E-19</v>
      </c>
      <c r="AX163" s="21">
        <f t="shared" si="166"/>
        <v>0.93239623149070527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1.1368683772161603E-13</v>
      </c>
      <c r="BE163" s="13">
        <f>BD163*VLOOKUP('Données projet'!$B$11,Paramètres!$A$1:$I$89,3,0)*VLOOKUP('Données projet'!$B$11,Paramètres!$A$1:$I$89,5,0)</f>
        <v>6.7984728957526396E-14</v>
      </c>
      <c r="BF163" s="13">
        <f t="shared" si="167"/>
        <v>1.0682447123141398E-12</v>
      </c>
      <c r="BG163" s="20">
        <f t="shared" si="168"/>
        <v>1.978932943548152E-12</v>
      </c>
      <c r="BH163" s="59">
        <f t="shared" si="116"/>
        <v>293.3333333333353</v>
      </c>
      <c r="BI163" s="59">
        <f ca="1">AVERAGE(OFFSET($BH$3,0,0,'Données projet'!$E$11+1,1))-AVERAGE(OFFSET($H$3,0,0,'Données projet'!$E$11+1,1))</f>
        <v>258.31845364515124</v>
      </c>
      <c r="BJ163" s="59">
        <f t="shared" si="146"/>
        <v>280.26155987300996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0.87453485647222928</v>
      </c>
      <c r="BQ163" s="21">
        <f>EXP(-LN(2)/25)*BQ162+(1-EXP(-LN(2)/25))/(LN(2)/25)*Calculateur!BL163*Calculateur!BN163*VLOOKUP('Données projet'!$B$11,Paramètres!$A$1:$I$89,3,0)*0.475*44/12</f>
        <v>0.2564612164158046</v>
      </c>
      <c r="BR163" s="21">
        <f>EXP(-LN(2)/2)*BR162+(1-EXP(-LN(2)/2))/(LN(2)/2)*BL163*BO163*VLOOKUP('Données projet'!$B$11,Paramètres!$A$1:$I$89,3,0)*0.475*44/12</f>
        <v>1.2275869384595881E-19</v>
      </c>
      <c r="BS163" s="22">
        <f t="shared" si="169"/>
        <v>1.1309960728880339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-5.6843418860808015E-14</v>
      </c>
      <c r="BZ163" s="13">
        <f>BY163*VLOOKUP('Données projet'!$B$12,Paramètres!$A$1:$I$89,3,0)*VLOOKUP('Données projet'!$B$12,Paramètres!$A$1:$I$89,5,0)</f>
        <v>-5.1431925385259088E-14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366.86025470473652</v>
      </c>
      <c r="CE163" s="59">
        <f t="shared" si="148"/>
        <v>513.80016421153414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0.19616854889829183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1.0034425460162757E-19</v>
      </c>
      <c r="CN163" s="22">
        <f t="shared" si="172"/>
        <v>0.19616854889829183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-5.6843418860808015E-14</v>
      </c>
      <c r="CU163" s="17">
        <f>CT163*VLOOKUP('Données projet'!$B$13,Paramètres!$A$1:$I$89,3,0)*VLOOKUP('Données projet'!$B$13,Paramètres!$A$1:$I$89,5,0)</f>
        <v>-3.1036506698001178E-14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207.02306964567629</v>
      </c>
      <c r="CZ163" s="59">
        <f t="shared" si="150"/>
        <v>342.06887933351783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0.50327391937748878</v>
      </c>
      <c r="DG163" s="21">
        <f>EXP(-LN(2)/25)*DG162+(1-EXP(-LN(2)/25))/(LN(2)/25)*Calculateur!DB163*Calculateur!DD163*VLOOKUP('Données projet'!$B$13,Paramètres!$A$1:$I$89,3,0)*0.475*44/12</f>
        <v>1.058797700108</v>
      </c>
      <c r="DH163" s="21">
        <f>EXP(-LN(2)/2)*DH162+(1-EXP(-LN(2)/2))/(LN(2)/2)*DB163*DE163*VLOOKUP('Données projet'!$B$13,Paramètres!$A$1:$I$89,3,0)*0.475*44/12</f>
        <v>3.5979391118726277E-19</v>
      </c>
      <c r="DI163" s="22">
        <f t="shared" si="175"/>
        <v>1.5620716194854887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7">
        <f t="shared" si="110"/>
        <v>256.66666666666669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-1.1368683772161603E-13</v>
      </c>
      <c r="O164" s="13">
        <f>N164*VLOOKUP('Données projet'!$B$9,Paramètres!$A$1:$I$89,3,0)*VLOOKUP('Données projet'!$B$9,Paramètres!$A$1:$I$89,5,0)</f>
        <v>-5.3205440053716299E-14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319.22903094674564</v>
      </c>
      <c r="T164" s="59">
        <f t="shared" si="142"/>
        <v>254.58690973142848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0.67793837058766782</v>
      </c>
      <c r="AA164" s="21">
        <f>EXP(-LN(2)/25)*AA163+(1-EXP(-LN(2)/25))/(LN(2)/25)*Calculateur!V164*Calculateur!X164*VLOOKUP('Données projet'!$B$9,Paramètres!$A$1:$I$89,3,0)*0.475*44/12</f>
        <v>0.29507275375424019</v>
      </c>
      <c r="AB164" s="21">
        <f>EXP(-LN(2)/2)*AB163+(1-EXP(-LN(2)/2))/(LN(2)/2)*V164*Y164*VLOOKUP('Données projet'!$B$9,Paramètres!$A$1:$I$89,3,0)*0.475*44/12</f>
        <v>2.1165445561021407E-19</v>
      </c>
      <c r="AC164" s="22">
        <f t="shared" si="163"/>
        <v>0.97301112434190795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1.9895196601282805E-13</v>
      </c>
      <c r="AJ164" s="13">
        <f>AI164*VLOOKUP('Données projet'!$B$10,Paramètres!$A$1:$I$89,3,0)*VLOOKUP('Données projet'!$B$10,Paramètres!$A$1:$I$89,5,0)</f>
        <v>1.738044375088066E-13</v>
      </c>
      <c r="AK164" s="13">
        <f t="shared" si="164"/>
        <v>2.4483293633950478E-12</v>
      </c>
      <c r="AL164" s="20">
        <f t="shared" si="165"/>
        <v>4.566883036574213E-12</v>
      </c>
      <c r="AM164" s="59">
        <f t="shared" si="113"/>
        <v>293.33333333333786</v>
      </c>
      <c r="AN164" s="59">
        <f ca="1">AVERAGE(OFFSET($AM$3,0,0,'Données projet'!$E$10+1,1))-AVERAGE(OFFSET($H$3,0,0,'Données projet'!$E$10+1,1))</f>
        <v>321.23599968992932</v>
      </c>
      <c r="AO164" s="59">
        <f t="shared" si="144"/>
        <v>388.05195847800502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0.50598751988298529</v>
      </c>
      <c r="AV164" s="21">
        <f>EXP(-LN(2)/25)*AV163+(1-EXP(-LN(2)/25))/(LN(2)/25)*Calculateur!AQ164*Calculateur!AS164*VLOOKUP('Données projet'!$B$10,Paramètres!$A$1:$I$89,3,0)*0.475*44/12</f>
        <v>0.4049047255954078</v>
      </c>
      <c r="AW164" s="21">
        <f>EXP(-LN(2)/2)*AW163+(1-EXP(-LN(2)/2))/(LN(2)/2)*AQ164*AT164*VLOOKUP('Données projet'!$B$10,Paramètres!$A$1:$I$89,3,0)*0.475*44/12</f>
        <v>3.2431653581403334E-19</v>
      </c>
      <c r="AX164" s="21">
        <f t="shared" si="166"/>
        <v>0.91089224547839309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1.1368683772161603E-13</v>
      </c>
      <c r="BE164" s="13">
        <f>BD164*VLOOKUP('Données projet'!$B$11,Paramètres!$A$1:$I$89,3,0)*VLOOKUP('Données projet'!$B$11,Paramètres!$A$1:$I$89,5,0)</f>
        <v>6.7984728957526396E-14</v>
      </c>
      <c r="BF164" s="13">
        <f t="shared" si="167"/>
        <v>1.0682447123141398E-12</v>
      </c>
      <c r="BG164" s="20">
        <f t="shared" si="168"/>
        <v>1.978932943548152E-12</v>
      </c>
      <c r="BH164" s="59">
        <f t="shared" si="116"/>
        <v>293.3333333333353</v>
      </c>
      <c r="BI164" s="59">
        <f ca="1">AVERAGE(OFFSET($BH$3,0,0,'Données projet'!$E$11+1,1))-AVERAGE(OFFSET($H$3,0,0,'Données projet'!$E$11+1,1))</f>
        <v>258.31845364515124</v>
      </c>
      <c r="BJ164" s="59">
        <f t="shared" si="146"/>
        <v>280.26155987300996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0.85738576135040112</v>
      </c>
      <c r="BQ164" s="21">
        <f>EXP(-LN(2)/25)*BQ163+(1-EXP(-LN(2)/25))/(LN(2)/25)*Calculateur!BL164*Calculateur!BN164*VLOOKUP('Données projet'!$B$11,Paramètres!$A$1:$I$89,3,0)*0.475*44/12</f>
        <v>0.2494482709662052</v>
      </c>
      <c r="BR164" s="21">
        <f>EXP(-LN(2)/2)*BR163+(1-EXP(-LN(2)/2))/(LN(2)/2)*BL164*BO164*VLOOKUP('Données projet'!$B$11,Paramètres!$A$1:$I$89,3,0)*0.475*44/12</f>
        <v>8.6803504868080777E-20</v>
      </c>
      <c r="BS164" s="22">
        <f t="shared" si="169"/>
        <v>1.1068340323166064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-5.6843418860808015E-14</v>
      </c>
      <c r="BZ164" s="13">
        <f>BY164*VLOOKUP('Données projet'!$B$12,Paramètres!$A$1:$I$89,3,0)*VLOOKUP('Données projet'!$B$12,Paramètres!$A$1:$I$89,5,0)</f>
        <v>-5.1431925385259088E-14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366.86025470473652</v>
      </c>
      <c r="CE164" s="59">
        <f t="shared" si="148"/>
        <v>513.80016421153414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0.19232180330539661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7.0954102881920279E-20</v>
      </c>
      <c r="CN164" s="22">
        <f t="shared" si="172"/>
        <v>0.19232180330539661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-5.6843418860808015E-14</v>
      </c>
      <c r="CU164" s="17">
        <f>CT164*VLOOKUP('Données projet'!$B$13,Paramètres!$A$1:$I$89,3,0)*VLOOKUP('Données projet'!$B$13,Paramètres!$A$1:$I$89,5,0)</f>
        <v>-3.1036506698001178E-14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207.02306964567629</v>
      </c>
      <c r="CZ164" s="59">
        <f t="shared" si="150"/>
        <v>342.06887933351783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0.49340502478527659</v>
      </c>
      <c r="DG164" s="21">
        <f>EXP(-LN(2)/25)*DG163+(1-EXP(-LN(2)/25))/(LN(2)/25)*Calculateur!DB164*Calculateur!DD164*VLOOKUP('Données projet'!$B$13,Paramètres!$A$1:$I$89,3,0)*0.475*44/12</f>
        <v>1.0298448213187956</v>
      </c>
      <c r="DH164" s="21">
        <f>EXP(-LN(2)/2)*DH163+(1-EXP(-LN(2)/2))/(LN(2)/2)*DB164*DE164*VLOOKUP('Données projet'!$B$13,Paramètres!$A$1:$I$89,3,0)*0.475*44/12</f>
        <v>2.5441271443014392E-19</v>
      </c>
      <c r="DI164" s="22">
        <f t="shared" si="175"/>
        <v>1.5232498461040722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7">
        <f t="shared" si="110"/>
        <v>256.66666666666669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-1.1368683772161603E-13</v>
      </c>
      <c r="O165" s="13">
        <f>N165*VLOOKUP('Données projet'!$B$9,Paramètres!$A$1:$I$89,3,0)*VLOOKUP('Données projet'!$B$9,Paramètres!$A$1:$I$89,5,0)</f>
        <v>-5.3205440053716299E-14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319.22903094674564</v>
      </c>
      <c r="T165" s="59">
        <f t="shared" si="142"/>
        <v>254.58690973142848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0.66464441264201979</v>
      </c>
      <c r="AA165" s="21">
        <f>EXP(-LN(2)/25)*AA164+(1-EXP(-LN(2)/25))/(LN(2)/25)*Calculateur!V165*Calculateur!X165*VLOOKUP('Données projet'!$B$9,Paramètres!$A$1:$I$89,3,0)*0.475*44/12</f>
        <v>0.28700397378562875</v>
      </c>
      <c r="AB165" s="21">
        <f>EXP(-LN(2)/2)*AB164+(1-EXP(-LN(2)/2))/(LN(2)/2)*V165*Y165*VLOOKUP('Données projet'!$B$9,Paramètres!$A$1:$I$89,3,0)*0.475*44/12</f>
        <v>1.4966230083032949E-19</v>
      </c>
      <c r="AC165" s="22">
        <f t="shared" si="163"/>
        <v>0.9516483864276486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1.9895196601282805E-13</v>
      </c>
      <c r="AJ165" s="13">
        <f>AI165*VLOOKUP('Données projet'!$B$10,Paramètres!$A$1:$I$89,3,0)*VLOOKUP('Données projet'!$B$10,Paramètres!$A$1:$I$89,5,0)</f>
        <v>1.738044375088066E-13</v>
      </c>
      <c r="AK165" s="13">
        <f t="shared" si="164"/>
        <v>2.4483293633950478E-12</v>
      </c>
      <c r="AL165" s="20">
        <f t="shared" si="165"/>
        <v>4.566883036574213E-12</v>
      </c>
      <c r="AM165" s="59">
        <f t="shared" si="113"/>
        <v>293.33333333333786</v>
      </c>
      <c r="AN165" s="59">
        <f ca="1">AVERAGE(OFFSET($AM$3,0,0,'Données projet'!$E$10+1,1))-AVERAGE(OFFSET($H$3,0,0,'Données projet'!$E$10+1,1))</f>
        <v>321.23599968992932</v>
      </c>
      <c r="AO165" s="59">
        <f t="shared" si="144"/>
        <v>388.05195847800502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0.4960654132399932</v>
      </c>
      <c r="AV165" s="21">
        <f>EXP(-LN(2)/25)*AV164+(1-EXP(-LN(2)/25))/(LN(2)/25)*Calculateur!AQ165*Calculateur!AS165*VLOOKUP('Données projet'!$B$10,Paramètres!$A$1:$I$89,3,0)*0.475*44/12</f>
        <v>0.3938325845809873</v>
      </c>
      <c r="AW165" s="21">
        <f>EXP(-LN(2)/2)*AW164+(1-EXP(-LN(2)/2))/(LN(2)/2)*AQ165*AT165*VLOOKUP('Données projet'!$B$10,Paramètres!$A$1:$I$89,3,0)*0.475*44/12</f>
        <v>2.2932642172503278E-19</v>
      </c>
      <c r="AX165" s="21">
        <f t="shared" si="166"/>
        <v>0.88989799782098045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1.1368683772161603E-13</v>
      </c>
      <c r="BE165" s="13">
        <f>BD165*VLOOKUP('Données projet'!$B$11,Paramètres!$A$1:$I$89,3,0)*VLOOKUP('Données projet'!$B$11,Paramètres!$A$1:$I$89,5,0)</f>
        <v>6.7984728957526396E-14</v>
      </c>
      <c r="BF165" s="13">
        <f t="shared" si="167"/>
        <v>1.0682447123141398E-12</v>
      </c>
      <c r="BG165" s="20">
        <f t="shared" si="168"/>
        <v>1.978932943548152E-12</v>
      </c>
      <c r="BH165" s="59">
        <f t="shared" si="116"/>
        <v>293.3333333333353</v>
      </c>
      <c r="BI165" s="59">
        <f ca="1">AVERAGE(OFFSET($BH$3,0,0,'Données projet'!$E$11+1,1))-AVERAGE(OFFSET($H$3,0,0,'Données projet'!$E$11+1,1))</f>
        <v>258.31845364515124</v>
      </c>
      <c r="BJ165" s="59">
        <f t="shared" si="146"/>
        <v>280.26155987300996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0.84057294952399675</v>
      </c>
      <c r="BQ165" s="21">
        <f>EXP(-LN(2)/25)*BQ164+(1-EXP(-LN(2)/25))/(LN(2)/25)*Calculateur!BL165*Calculateur!BN165*VLOOKUP('Données projet'!$B$11,Paramètres!$A$1:$I$89,3,0)*0.475*44/12</f>
        <v>0.24262709487871986</v>
      </c>
      <c r="BR165" s="21">
        <f>EXP(-LN(2)/2)*BR164+(1-EXP(-LN(2)/2))/(LN(2)/2)*BL165*BO165*VLOOKUP('Données projet'!$B$11,Paramètres!$A$1:$I$89,3,0)*0.475*44/12</f>
        <v>6.1379346922979407E-20</v>
      </c>
      <c r="BS165" s="22">
        <f t="shared" si="169"/>
        <v>1.0832000444027166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-5.6843418860808015E-14</v>
      </c>
      <c r="BZ165" s="13">
        <f>BY165*VLOOKUP('Données projet'!$B$12,Paramètres!$A$1:$I$89,3,0)*VLOOKUP('Données projet'!$B$12,Paramètres!$A$1:$I$89,5,0)</f>
        <v>-5.1431925385259088E-14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366.86025470473652</v>
      </c>
      <c r="CE165" s="59">
        <f t="shared" si="148"/>
        <v>513.80016421153414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0.18855049004729493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5.0172127300813785E-20</v>
      </c>
      <c r="CN165" s="22">
        <f t="shared" si="172"/>
        <v>0.18855049004729493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-5.6843418860808015E-14</v>
      </c>
      <c r="CU165" s="17">
        <f>CT165*VLOOKUP('Données projet'!$B$13,Paramètres!$A$1:$I$89,3,0)*VLOOKUP('Données projet'!$B$13,Paramètres!$A$1:$I$89,5,0)</f>
        <v>-3.1036506698001178E-14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207.02306964567629</v>
      </c>
      <c r="CZ165" s="59">
        <f t="shared" si="150"/>
        <v>342.06887933351783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0.48372965319658634</v>
      </c>
      <c r="DG165" s="21">
        <f>EXP(-LN(2)/25)*DG164+(1-EXP(-LN(2)/25))/(LN(2)/25)*Calculateur!DB165*Calculateur!DD165*VLOOKUP('Données projet'!$B$13,Paramètres!$A$1:$I$89,3,0)*0.475*44/12</f>
        <v>1.0016836605226478</v>
      </c>
      <c r="DH165" s="21">
        <f>EXP(-LN(2)/2)*DH164+(1-EXP(-LN(2)/2))/(LN(2)/2)*DB165*DE165*VLOOKUP('Données projet'!$B$13,Paramètres!$A$1:$I$89,3,0)*0.475*44/12</f>
        <v>1.7989695559363138E-19</v>
      </c>
      <c r="DI165" s="22">
        <f t="shared" si="175"/>
        <v>1.485413313719234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7">
        <f t="shared" si="110"/>
        <v>256.66666666666669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-1.1368683772161603E-13</v>
      </c>
      <c r="O166" s="13">
        <f>N166*VLOOKUP('Données projet'!$B$9,Paramètres!$A$1:$I$89,3,0)*VLOOKUP('Données projet'!$B$9,Paramètres!$A$1:$I$89,5,0)</f>
        <v>-5.3205440053716299E-14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319.22903094674564</v>
      </c>
      <c r="T166" s="59">
        <f t="shared" si="142"/>
        <v>254.58690973142848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0.6516111411031722</v>
      </c>
      <c r="AA166" s="21">
        <f>EXP(-LN(2)/25)*AA165+(1-EXP(-LN(2)/25))/(LN(2)/25)*Calculateur!V166*Calculateur!X166*VLOOKUP('Données projet'!$B$9,Paramètres!$A$1:$I$89,3,0)*0.475*44/12</f>
        <v>0.27915583502957769</v>
      </c>
      <c r="AB166" s="21">
        <f>EXP(-LN(2)/2)*AB165+(1-EXP(-LN(2)/2))/(LN(2)/2)*V166*Y166*VLOOKUP('Données projet'!$B$9,Paramètres!$A$1:$I$89,3,0)*0.475*44/12</f>
        <v>1.0582722780510705E-19</v>
      </c>
      <c r="AC166" s="22">
        <f t="shared" si="163"/>
        <v>0.93076697613274995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1.9895196601282805E-13</v>
      </c>
      <c r="AJ166" s="13">
        <f>AI166*VLOOKUP('Données projet'!$B$10,Paramètres!$A$1:$I$89,3,0)*VLOOKUP('Données projet'!$B$10,Paramètres!$A$1:$I$89,5,0)</f>
        <v>1.738044375088066E-13</v>
      </c>
      <c r="AK166" s="13">
        <f t="shared" si="164"/>
        <v>2.4483293633950478E-12</v>
      </c>
      <c r="AL166" s="20">
        <f t="shared" si="165"/>
        <v>4.566883036574213E-12</v>
      </c>
      <c r="AM166" s="59">
        <f t="shared" si="113"/>
        <v>293.33333333333786</v>
      </c>
      <c r="AN166" s="59">
        <f ca="1">AVERAGE(OFFSET($AM$3,0,0,'Données projet'!$E$10+1,1))-AVERAGE(OFFSET($H$3,0,0,'Données projet'!$E$10+1,1))</f>
        <v>321.23599968992932</v>
      </c>
      <c r="AO166" s="59">
        <f t="shared" si="144"/>
        <v>388.05195847800502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0.48633787305638271</v>
      </c>
      <c r="AV166" s="21">
        <f>EXP(-LN(2)/25)*AV165+(1-EXP(-LN(2)/25))/(LN(2)/25)*Calculateur!AQ166*Calculateur!AS166*VLOOKUP('Données projet'!$B$10,Paramètres!$A$1:$I$89,3,0)*0.475*44/12</f>
        <v>0.38306321184486469</v>
      </c>
      <c r="AW166" s="21">
        <f>EXP(-LN(2)/2)*AW165+(1-EXP(-LN(2)/2))/(LN(2)/2)*AQ166*AT166*VLOOKUP('Données projet'!$B$10,Paramètres!$A$1:$I$89,3,0)*0.475*44/12</f>
        <v>1.6215826790701667E-19</v>
      </c>
      <c r="AX166" s="21">
        <f t="shared" si="166"/>
        <v>0.86940108490124746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1.1368683772161603E-13</v>
      </c>
      <c r="BE166" s="13">
        <f>BD166*VLOOKUP('Données projet'!$B$11,Paramètres!$A$1:$I$89,3,0)*VLOOKUP('Données projet'!$B$11,Paramètres!$A$1:$I$89,5,0)</f>
        <v>6.7984728957526396E-14</v>
      </c>
      <c r="BF166" s="13">
        <f t="shared" si="167"/>
        <v>1.0682447123141398E-12</v>
      </c>
      <c r="BG166" s="20">
        <f t="shared" si="168"/>
        <v>1.978932943548152E-12</v>
      </c>
      <c r="BH166" s="59">
        <f t="shared" si="116"/>
        <v>293.3333333333353</v>
      </c>
      <c r="BI166" s="59">
        <f ca="1">AVERAGE(OFFSET($BH$3,0,0,'Données projet'!$E$11+1,1))-AVERAGE(OFFSET($H$3,0,0,'Données projet'!$E$11+1,1))</f>
        <v>258.31845364515124</v>
      </c>
      <c r="BJ166" s="59">
        <f t="shared" si="146"/>
        <v>280.26155987300996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0.82408982668270558</v>
      </c>
      <c r="BQ166" s="21">
        <f>EXP(-LN(2)/25)*BQ165+(1-EXP(-LN(2)/25))/(LN(2)/25)*Calculateur!BL166*Calculateur!BN166*VLOOKUP('Données projet'!$B$11,Paramètres!$A$1:$I$89,3,0)*0.475*44/12</f>
        <v>0.23599244421005688</v>
      </c>
      <c r="BR166" s="21">
        <f>EXP(-LN(2)/2)*BR165+(1-EXP(-LN(2)/2))/(LN(2)/2)*BL166*BO166*VLOOKUP('Données projet'!$B$11,Paramètres!$A$1:$I$89,3,0)*0.475*44/12</f>
        <v>4.3401752434040389E-20</v>
      </c>
      <c r="BS166" s="22">
        <f t="shared" si="169"/>
        <v>1.0600822708927624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-5.6843418860808015E-14</v>
      </c>
      <c r="BZ166" s="13">
        <f>BY166*VLOOKUP('Données projet'!$B$12,Paramètres!$A$1:$I$89,3,0)*VLOOKUP('Données projet'!$B$12,Paramètres!$A$1:$I$89,5,0)</f>
        <v>-5.1431925385259088E-14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366.86025470473652</v>
      </c>
      <c r="CE166" s="59">
        <f t="shared" si="148"/>
        <v>513.80016421153414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0.18485312994191067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3.547705144096014E-20</v>
      </c>
      <c r="CN166" s="22">
        <f t="shared" si="172"/>
        <v>0.18485312994191067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-5.6843418860808015E-14</v>
      </c>
      <c r="CU166" s="17">
        <f>CT166*VLOOKUP('Données projet'!$B$13,Paramètres!$A$1:$I$89,3,0)*VLOOKUP('Données projet'!$B$13,Paramètres!$A$1:$I$89,5,0)</f>
        <v>-3.1036506698001178E-14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207.02306964567629</v>
      </c>
      <c r="CZ166" s="59">
        <f t="shared" si="150"/>
        <v>342.06887933351783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0.47424400974335634</v>
      </c>
      <c r="DG166" s="21">
        <f>EXP(-LN(2)/25)*DG165+(1-EXP(-LN(2)/25))/(LN(2)/25)*Calculateur!DB166*Calculateur!DD166*VLOOKUP('Données projet'!$B$13,Paramètres!$A$1:$I$89,3,0)*0.475*44/12</f>
        <v>0.97429256814940168</v>
      </c>
      <c r="DH166" s="21">
        <f>EXP(-LN(2)/2)*DH165+(1-EXP(-LN(2)/2))/(LN(2)/2)*DB166*DE166*VLOOKUP('Données projet'!$B$13,Paramètres!$A$1:$I$89,3,0)*0.475*44/12</f>
        <v>1.2720635721507196E-19</v>
      </c>
      <c r="DI166" s="22">
        <f t="shared" si="175"/>
        <v>1.4485365778927579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7">
        <f t="shared" si="110"/>
        <v>256.66666666666669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-1.1368683772161603E-13</v>
      </c>
      <c r="O167" s="13">
        <f>N167*VLOOKUP('Données projet'!$B$9,Paramètres!$A$1:$I$89,3,0)*VLOOKUP('Données projet'!$B$9,Paramètres!$A$1:$I$89,5,0)</f>
        <v>-5.3205440053716299E-14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319.22903094674564</v>
      </c>
      <c r="T167" s="59">
        <f t="shared" si="142"/>
        <v>254.58690973142848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0.63883344406969078</v>
      </c>
      <c r="AA167" s="21">
        <f>EXP(-LN(2)/25)*AA166+(1-EXP(-LN(2)/25))/(LN(2)/25)*Calculateur!V167*Calculateur!X167*VLOOKUP('Données projet'!$B$9,Paramètres!$A$1:$I$89,3,0)*0.475*44/12</f>
        <v>0.27152230404052652</v>
      </c>
      <c r="AB167" s="21">
        <f>EXP(-LN(2)/2)*AB166+(1-EXP(-LN(2)/2))/(LN(2)/2)*V167*Y167*VLOOKUP('Données projet'!$B$9,Paramètres!$A$1:$I$89,3,0)*0.475*44/12</f>
        <v>7.4831150415164756E-20</v>
      </c>
      <c r="AC167" s="22">
        <f t="shared" si="163"/>
        <v>0.91035574811021736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1.9895196601282805E-13</v>
      </c>
      <c r="AJ167" s="13">
        <f>AI167*VLOOKUP('Données projet'!$B$10,Paramètres!$A$1:$I$89,3,0)*VLOOKUP('Données projet'!$B$10,Paramètres!$A$1:$I$89,5,0)</f>
        <v>1.738044375088066E-13</v>
      </c>
      <c r="AK167" s="13">
        <f t="shared" si="164"/>
        <v>2.4483293633950478E-12</v>
      </c>
      <c r="AL167" s="20">
        <f t="shared" si="165"/>
        <v>4.566883036574213E-12</v>
      </c>
      <c r="AM167" s="59">
        <f t="shared" si="113"/>
        <v>293.33333333333786</v>
      </c>
      <c r="AN167" s="59">
        <f ca="1">AVERAGE(OFFSET($AM$3,0,0,'Données projet'!$E$10+1,1))-AVERAGE(OFFSET($H$3,0,0,'Données projet'!$E$10+1,1))</f>
        <v>321.23599968992932</v>
      </c>
      <c r="AO167" s="59">
        <f t="shared" si="144"/>
        <v>388.05195847800502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0.47680108400255916</v>
      </c>
      <c r="AV167" s="21">
        <f>EXP(-LN(2)/25)*AV166+(1-EXP(-LN(2)/25))/(LN(2)/25)*Calculateur!AQ167*Calculateur!AS167*VLOOKUP('Données projet'!$B$10,Paramètres!$A$1:$I$89,3,0)*0.475*44/12</f>
        <v>0.37258832817254806</v>
      </c>
      <c r="AW167" s="21">
        <f>EXP(-LN(2)/2)*AW166+(1-EXP(-LN(2)/2))/(LN(2)/2)*AQ167*AT167*VLOOKUP('Données projet'!$B$10,Paramètres!$A$1:$I$89,3,0)*0.475*44/12</f>
        <v>1.1466321086251639E-19</v>
      </c>
      <c r="AX167" s="21">
        <f t="shared" si="166"/>
        <v>0.84938941217510722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1.1368683772161603E-13</v>
      </c>
      <c r="BE167" s="13">
        <f>BD167*VLOOKUP('Données projet'!$B$11,Paramètres!$A$1:$I$89,3,0)*VLOOKUP('Données projet'!$B$11,Paramètres!$A$1:$I$89,5,0)</f>
        <v>6.7984728957526396E-14</v>
      </c>
      <c r="BF167" s="13">
        <f t="shared" si="167"/>
        <v>1.0682447123141398E-12</v>
      </c>
      <c r="BG167" s="20">
        <f t="shared" si="168"/>
        <v>1.978932943548152E-12</v>
      </c>
      <c r="BH167" s="59">
        <f t="shared" si="116"/>
        <v>293.3333333333353</v>
      </c>
      <c r="BI167" s="59">
        <f ca="1">AVERAGE(OFFSET($BH$3,0,0,'Données projet'!$E$11+1,1))-AVERAGE(OFFSET($H$3,0,0,'Données projet'!$E$11+1,1))</f>
        <v>258.31845364515124</v>
      </c>
      <c r="BJ167" s="59">
        <f t="shared" si="146"/>
        <v>280.26155987300996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0.80792992782661988</v>
      </c>
      <c r="BQ167" s="21">
        <f>EXP(-LN(2)/25)*BQ166+(1-EXP(-LN(2)/25))/(LN(2)/25)*Calculateur!BL167*Calculateur!BN167*VLOOKUP('Données projet'!$B$11,Paramètres!$A$1:$I$89,3,0)*0.475*44/12</f>
        <v>0.22953921841282959</v>
      </c>
      <c r="BR167" s="21">
        <f>EXP(-LN(2)/2)*BR166+(1-EXP(-LN(2)/2))/(LN(2)/2)*BL167*BO167*VLOOKUP('Données projet'!$B$11,Paramètres!$A$1:$I$89,3,0)*0.475*44/12</f>
        <v>3.0689673461489703E-20</v>
      </c>
      <c r="BS167" s="22">
        <f t="shared" si="169"/>
        <v>1.0374691462394494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-5.6843418860808015E-14</v>
      </c>
      <c r="BZ167" s="13">
        <f>BY167*VLOOKUP('Données projet'!$B$12,Paramètres!$A$1:$I$89,3,0)*VLOOKUP('Données projet'!$B$12,Paramètres!$A$1:$I$89,5,0)</f>
        <v>-5.1431925385259088E-14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366.86025470473652</v>
      </c>
      <c r="CE167" s="59">
        <f t="shared" si="148"/>
        <v>513.80016421153414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0.181228272813026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2.5086063650406892E-20</v>
      </c>
      <c r="CN167" s="22">
        <f t="shared" si="172"/>
        <v>0.181228272813026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-5.6843418860808015E-14</v>
      </c>
      <c r="CU167" s="17">
        <f>CT167*VLOOKUP('Données projet'!$B$13,Paramètres!$A$1:$I$89,3,0)*VLOOKUP('Données projet'!$B$13,Paramètres!$A$1:$I$89,5,0)</f>
        <v>-3.1036506698001178E-14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207.02306964567629</v>
      </c>
      <c r="CZ167" s="59">
        <f t="shared" si="150"/>
        <v>342.06887933351783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0.46494437397257299</v>
      </c>
      <c r="DG167" s="21">
        <f>EXP(-LN(2)/25)*DG166+(1-EXP(-LN(2)/25))/(LN(2)/25)*Calculateur!DB167*Calculateur!DD167*VLOOKUP('Données projet'!$B$13,Paramètres!$A$1:$I$89,3,0)*0.475*44/12</f>
        <v>0.94765048663753693</v>
      </c>
      <c r="DH167" s="21">
        <f>EXP(-LN(2)/2)*DH166+(1-EXP(-LN(2)/2))/(LN(2)/2)*DB167*DE167*VLOOKUP('Données projet'!$B$13,Paramètres!$A$1:$I$89,3,0)*0.475*44/12</f>
        <v>8.9948477796815692E-20</v>
      </c>
      <c r="DI167" s="22">
        <f t="shared" si="175"/>
        <v>1.41259486061011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7">
        <f t="shared" si="110"/>
        <v>256.66666666666669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-1.1368683772161603E-13</v>
      </c>
      <c r="O168" s="13">
        <f>N168*VLOOKUP('Données projet'!$B$9,Paramètres!$A$1:$I$89,3,0)*VLOOKUP('Données projet'!$B$9,Paramètres!$A$1:$I$89,5,0)</f>
        <v>-5.3205440053716299E-14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319.22903094674564</v>
      </c>
      <c r="T168" s="59">
        <f t="shared" si="142"/>
        <v>254.58690973142848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0.62630630988141034</v>
      </c>
      <c r="AA168" s="21">
        <f>EXP(-LN(2)/25)*AA167+(1-EXP(-LN(2)/25))/(LN(2)/25)*Calculateur!V168*Calculateur!X168*VLOOKUP('Données projet'!$B$9,Paramètres!$A$1:$I$89,3,0)*0.475*44/12</f>
        <v>0.26409751235780093</v>
      </c>
      <c r="AB168" s="21">
        <f>EXP(-LN(2)/2)*AB167+(1-EXP(-LN(2)/2))/(LN(2)/2)*V168*Y168*VLOOKUP('Données projet'!$B$9,Paramètres!$A$1:$I$89,3,0)*0.475*44/12</f>
        <v>5.2913613902553535E-20</v>
      </c>
      <c r="AC168" s="22">
        <f t="shared" si="163"/>
        <v>0.89040382223921122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1.9895196601282805E-13</v>
      </c>
      <c r="AJ168" s="13">
        <f>AI168*VLOOKUP('Données projet'!$B$10,Paramètres!$A$1:$I$89,3,0)*VLOOKUP('Données projet'!$B$10,Paramètres!$A$1:$I$89,5,0)</f>
        <v>1.738044375088066E-13</v>
      </c>
      <c r="AK168" s="13">
        <f t="shared" si="164"/>
        <v>2.4483293633950478E-12</v>
      </c>
      <c r="AL168" s="20">
        <f t="shared" si="165"/>
        <v>4.566883036574213E-12</v>
      </c>
      <c r="AM168" s="59">
        <f t="shared" si="113"/>
        <v>293.33333333333786</v>
      </c>
      <c r="AN168" s="59">
        <f ca="1">AVERAGE(OFFSET($AM$3,0,0,'Données projet'!$E$10+1,1))-AVERAGE(OFFSET($H$3,0,0,'Données projet'!$E$10+1,1))</f>
        <v>321.23599968992932</v>
      </c>
      <c r="AO168" s="59">
        <f t="shared" si="144"/>
        <v>388.05195847800502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0.46745130556521414</v>
      </c>
      <c r="AV168" s="21">
        <f>EXP(-LN(2)/25)*AV167+(1-EXP(-LN(2)/25))/(LN(2)/25)*Calculateur!AQ168*Calculateur!AS168*VLOOKUP('Données projet'!$B$10,Paramètres!$A$1:$I$89,3,0)*0.475*44/12</f>
        <v>0.3623998807451011</v>
      </c>
      <c r="AW168" s="21">
        <f>EXP(-LN(2)/2)*AW167+(1-EXP(-LN(2)/2))/(LN(2)/2)*AQ168*AT168*VLOOKUP('Données projet'!$B$10,Paramètres!$A$1:$I$89,3,0)*0.475*44/12</f>
        <v>8.1079133953508336E-20</v>
      </c>
      <c r="AX168" s="21">
        <f t="shared" si="166"/>
        <v>0.82985118631031529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1.1368683772161603E-13</v>
      </c>
      <c r="BE168" s="13">
        <f>BD168*VLOOKUP('Données projet'!$B$11,Paramètres!$A$1:$I$89,3,0)*VLOOKUP('Données projet'!$B$11,Paramètres!$A$1:$I$89,5,0)</f>
        <v>6.7984728957526396E-14</v>
      </c>
      <c r="BF168" s="13">
        <f t="shared" si="167"/>
        <v>1.0682447123141398E-12</v>
      </c>
      <c r="BG168" s="20">
        <f t="shared" si="168"/>
        <v>1.978932943548152E-12</v>
      </c>
      <c r="BH168" s="59">
        <f t="shared" si="116"/>
        <v>293.3333333333353</v>
      </c>
      <c r="BI168" s="59">
        <f ca="1">AVERAGE(OFFSET($BH$3,0,0,'Données projet'!$E$11+1,1))-AVERAGE(OFFSET($H$3,0,0,'Données projet'!$E$11+1,1))</f>
        <v>258.31845364515124</v>
      </c>
      <c r="BJ168" s="59">
        <f t="shared" si="146"/>
        <v>280.26155987300996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0.79208691473053705</v>
      </c>
      <c r="BQ168" s="21">
        <f>EXP(-LN(2)/25)*BQ167+(1-EXP(-LN(2)/25))/(LN(2)/25)*Calculateur!BL168*Calculateur!BN168*VLOOKUP('Données projet'!$B$11,Paramètres!$A$1:$I$89,3,0)*0.475*44/12</f>
        <v>0.22326245641438788</v>
      </c>
      <c r="BR168" s="21">
        <f>EXP(-LN(2)/2)*BR167+(1-EXP(-LN(2)/2))/(LN(2)/2)*BL168*BO168*VLOOKUP('Données projet'!$B$11,Paramètres!$A$1:$I$89,3,0)*0.475*44/12</f>
        <v>2.1700876217020194E-20</v>
      </c>
      <c r="BS168" s="22">
        <f t="shared" si="169"/>
        <v>1.0153493711449249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-5.6843418860808015E-14</v>
      </c>
      <c r="BZ168" s="13">
        <f>BY168*VLOOKUP('Données projet'!$B$12,Paramètres!$A$1:$I$89,3,0)*VLOOKUP('Données projet'!$B$12,Paramètres!$A$1:$I$89,5,0)</f>
        <v>-5.1431925385259088E-14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366.86025470473652</v>
      </c>
      <c r="CE168" s="59">
        <f t="shared" si="148"/>
        <v>513.80016421153414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0.17767449692149423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1.773852572048007E-20</v>
      </c>
      <c r="CN168" s="22">
        <f t="shared" si="172"/>
        <v>0.17767449692149423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-5.6843418860808015E-14</v>
      </c>
      <c r="CU168" s="17">
        <f>CT168*VLOOKUP('Données projet'!$B$13,Paramètres!$A$1:$I$89,3,0)*VLOOKUP('Données projet'!$B$13,Paramètres!$A$1:$I$89,5,0)</f>
        <v>-3.1036506698001178E-14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207.02306964567629</v>
      </c>
      <c r="CZ168" s="59">
        <f t="shared" si="150"/>
        <v>342.06887933351783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0.45582709838703694</v>
      </c>
      <c r="DG168" s="21">
        <f>EXP(-LN(2)/25)*DG167+(1-EXP(-LN(2)/25))/(LN(2)/25)*Calculateur!DB168*Calculateur!DD168*VLOOKUP('Données projet'!$B$13,Paramètres!$A$1:$I$89,3,0)*0.475*44/12</f>
        <v>0.92173693424566028</v>
      </c>
      <c r="DH168" s="21">
        <f>EXP(-LN(2)/2)*DH167+(1-EXP(-LN(2)/2))/(LN(2)/2)*DB168*DE168*VLOOKUP('Données projet'!$B$13,Paramètres!$A$1:$I$89,3,0)*0.475*44/12</f>
        <v>6.3603178607535981E-20</v>
      </c>
      <c r="DI168" s="22">
        <f t="shared" si="175"/>
        <v>1.3775640326326972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7">
        <f t="shared" si="110"/>
        <v>256.66666666666669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-1.1368683772161603E-13</v>
      </c>
      <c r="O169" s="13">
        <f>N169*VLOOKUP('Données projet'!$B$9,Paramètres!$A$1:$I$89,3,0)*VLOOKUP('Données projet'!$B$9,Paramètres!$A$1:$I$89,5,0)</f>
        <v>-5.3205440053716299E-14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319.22903094674564</v>
      </c>
      <c r="T169" s="59">
        <f t="shared" si="142"/>
        <v>254.58690973142848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0.61402482515376466</v>
      </c>
      <c r="AA169" s="21">
        <f>EXP(-LN(2)/25)*AA168+(1-EXP(-LN(2)/25))/(LN(2)/25)*Calculateur!V169*Calculateur!X169*VLOOKUP('Données projet'!$B$9,Paramètres!$A$1:$I$89,3,0)*0.475*44/12</f>
        <v>0.25687575199409229</v>
      </c>
      <c r="AB169" s="21">
        <f>EXP(-LN(2)/2)*AB168+(1-EXP(-LN(2)/2))/(LN(2)/2)*V169*Y169*VLOOKUP('Données projet'!$B$9,Paramètres!$A$1:$I$89,3,0)*0.475*44/12</f>
        <v>3.7415575207582384E-20</v>
      </c>
      <c r="AC169" s="22">
        <f t="shared" si="163"/>
        <v>0.87090057714785696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1.9895196601282805E-13</v>
      </c>
      <c r="AJ169" s="13">
        <f>AI169*VLOOKUP('Données projet'!$B$10,Paramètres!$A$1:$I$89,3,0)*VLOOKUP('Données projet'!$B$10,Paramètres!$A$1:$I$89,5,0)</f>
        <v>1.738044375088066E-13</v>
      </c>
      <c r="AK169" s="13">
        <f t="shared" si="164"/>
        <v>2.4483293633950478E-12</v>
      </c>
      <c r="AL169" s="20">
        <f t="shared" si="165"/>
        <v>4.566883036574213E-12</v>
      </c>
      <c r="AM169" s="59">
        <f t="shared" si="113"/>
        <v>293.33333333333786</v>
      </c>
      <c r="AN169" s="59">
        <f ca="1">AVERAGE(OFFSET($AM$3,0,0,'Données projet'!$E$10+1,1))-AVERAGE(OFFSET($H$3,0,0,'Données projet'!$E$10+1,1))</f>
        <v>321.23599968992932</v>
      </c>
      <c r="AO169" s="59">
        <f t="shared" si="144"/>
        <v>388.05195847800502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0.45828487058022371</v>
      </c>
      <c r="AV169" s="21">
        <f>EXP(-LN(2)/25)*AV168+(1-EXP(-LN(2)/25))/(LN(2)/25)*Calculateur!AQ169*Calculateur!AS169*VLOOKUP('Données projet'!$B$10,Paramètres!$A$1:$I$89,3,0)*0.475*44/12</f>
        <v>0.35249003694834485</v>
      </c>
      <c r="AW169" s="21">
        <f>EXP(-LN(2)/2)*AW168+(1-EXP(-LN(2)/2))/(LN(2)/2)*AQ169*AT169*VLOOKUP('Données projet'!$B$10,Paramètres!$A$1:$I$89,3,0)*0.475*44/12</f>
        <v>5.7331605431258195E-20</v>
      </c>
      <c r="AX169" s="21">
        <f t="shared" si="166"/>
        <v>0.81077490752856862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1.1368683772161603E-13</v>
      </c>
      <c r="BE169" s="13">
        <f>BD169*VLOOKUP('Données projet'!$B$11,Paramètres!$A$1:$I$89,3,0)*VLOOKUP('Données projet'!$B$11,Paramètres!$A$1:$I$89,5,0)</f>
        <v>6.7984728957526396E-14</v>
      </c>
      <c r="BF169" s="13">
        <f t="shared" si="167"/>
        <v>1.0682447123141398E-12</v>
      </c>
      <c r="BG169" s="20">
        <f t="shared" si="168"/>
        <v>1.978932943548152E-12</v>
      </c>
      <c r="BH169" s="59">
        <f t="shared" si="116"/>
        <v>293.3333333333353</v>
      </c>
      <c r="BI169" s="59">
        <f ca="1">AVERAGE(OFFSET($BH$3,0,0,'Données projet'!$E$11+1,1))-AVERAGE(OFFSET($H$3,0,0,'Données projet'!$E$11+1,1))</f>
        <v>258.31845364515124</v>
      </c>
      <c r="BJ169" s="59">
        <f t="shared" si="146"/>
        <v>280.26155987300996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0.77655457345798451</v>
      </c>
      <c r="BQ169" s="21">
        <f>EXP(-LN(2)/25)*BQ168+(1-EXP(-LN(2)/25))/(LN(2)/25)*Calculateur!BL169*Calculateur!BN169*VLOOKUP('Données projet'!$B$11,Paramètres!$A$1:$I$89,3,0)*0.475*44/12</f>
        <v>0.21715733280287414</v>
      </c>
      <c r="BR169" s="21">
        <f>EXP(-LN(2)/2)*BR168+(1-EXP(-LN(2)/2))/(LN(2)/2)*BL169*BO169*VLOOKUP('Données projet'!$B$11,Paramètres!$A$1:$I$89,3,0)*0.475*44/12</f>
        <v>1.5344836730744852E-20</v>
      </c>
      <c r="BS169" s="22">
        <f t="shared" si="169"/>
        <v>0.99371190626085859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-5.6843418860808015E-14</v>
      </c>
      <c r="BZ169" s="13">
        <f>BY169*VLOOKUP('Données projet'!$B$12,Paramètres!$A$1:$I$89,3,0)*VLOOKUP('Données projet'!$B$12,Paramètres!$A$1:$I$89,5,0)</f>
        <v>-5.1431925385259088E-14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366.86025470473652</v>
      </c>
      <c r="CE169" s="59">
        <f t="shared" si="148"/>
        <v>513.80016421153414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0.17419040840760613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1.2543031825203446E-20</v>
      </c>
      <c r="CN169" s="22">
        <f t="shared" si="172"/>
        <v>0.17419040840760613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-5.6843418860808015E-14</v>
      </c>
      <c r="CU169" s="17">
        <f>CT169*VLOOKUP('Données projet'!$B$13,Paramètres!$A$1:$I$89,3,0)*VLOOKUP('Données projet'!$B$13,Paramètres!$A$1:$I$89,5,0)</f>
        <v>-3.1036506698001178E-14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207.02306964567629</v>
      </c>
      <c r="CZ169" s="59">
        <f t="shared" si="150"/>
        <v>342.06887933351783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0.44688860701474425</v>
      </c>
      <c r="DG169" s="21">
        <f>EXP(-LN(2)/25)*DG168+(1-EXP(-LN(2)/25))/(LN(2)/25)*Calculateur!DB169*Calculateur!DD169*VLOOKUP('Données projet'!$B$13,Paramètres!$A$1:$I$89,3,0)*0.475*44/12</f>
        <v>0.89653198930667399</v>
      </c>
      <c r="DH169" s="21">
        <f>EXP(-LN(2)/2)*DH168+(1-EXP(-LN(2)/2))/(LN(2)/2)*DB169*DE169*VLOOKUP('Données projet'!$B$13,Paramètres!$A$1:$I$89,3,0)*0.475*44/12</f>
        <v>4.4974238898407846E-20</v>
      </c>
      <c r="DI169" s="22">
        <f t="shared" si="175"/>
        <v>1.3434205963214183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7">
        <f t="shared" si="110"/>
        <v>256.66666666666669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-1.1368683772161603E-13</v>
      </c>
      <c r="O170" s="13">
        <f>N170*VLOOKUP('Données projet'!$B$9,Paramètres!$A$1:$I$89,3,0)*VLOOKUP('Données projet'!$B$9,Paramètres!$A$1:$I$89,5,0)</f>
        <v>-5.3205440053716299E-14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319.22903094674564</v>
      </c>
      <c r="T170" s="59">
        <f t="shared" si="142"/>
        <v>254.58690973142848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0.60198417285066208</v>
      </c>
      <c r="AA170" s="21">
        <f>EXP(-LN(2)/25)*AA169+(1-EXP(-LN(2)/25))/(LN(2)/25)*Calculateur!V170*Calculateur!X170*VLOOKUP('Données projet'!$B$9,Paramètres!$A$1:$I$89,3,0)*0.475*44/12</f>
        <v>0.24985147104730515</v>
      </c>
      <c r="AB170" s="21">
        <f>EXP(-LN(2)/2)*AB169+(1-EXP(-LN(2)/2))/(LN(2)/2)*V170*Y170*VLOOKUP('Données projet'!$B$9,Paramètres!$A$1:$I$89,3,0)*0.475*44/12</f>
        <v>2.645680695127677E-20</v>
      </c>
      <c r="AC170" s="22">
        <f t="shared" si="163"/>
        <v>0.85183564389796729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1.9895196601282805E-13</v>
      </c>
      <c r="AJ170" s="13">
        <f>AI170*VLOOKUP('Données projet'!$B$10,Paramètres!$A$1:$I$89,3,0)*VLOOKUP('Données projet'!$B$10,Paramètres!$A$1:$I$89,5,0)</f>
        <v>1.738044375088066E-13</v>
      </c>
      <c r="AK170" s="13">
        <f t="shared" si="164"/>
        <v>2.4483293633950478E-12</v>
      </c>
      <c r="AL170" s="20">
        <f t="shared" si="165"/>
        <v>4.566883036574213E-12</v>
      </c>
      <c r="AM170" s="59">
        <f t="shared" si="113"/>
        <v>293.33333333333786</v>
      </c>
      <c r="AN170" s="59">
        <f ca="1">AVERAGE(OFFSET($AM$3,0,0,'Données projet'!$E$10+1,1))-AVERAGE(OFFSET($H$3,0,0,'Données projet'!$E$10+1,1))</f>
        <v>321.23599968992932</v>
      </c>
      <c r="AO170" s="59">
        <f t="shared" si="144"/>
        <v>388.05195847800502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0.44929818379431569</v>
      </c>
      <c r="AV170" s="21">
        <f>EXP(-LN(2)/25)*AV169+(1-EXP(-LN(2)/25))/(LN(2)/25)*Calculateur!AQ170*Calculateur!AS170*VLOOKUP('Données projet'!$B$10,Paramètres!$A$1:$I$89,3,0)*0.475*44/12</f>
        <v>0.34285117835134693</v>
      </c>
      <c r="AW170" s="21">
        <f>EXP(-LN(2)/2)*AW169+(1-EXP(-LN(2)/2))/(LN(2)/2)*AQ170*AT170*VLOOKUP('Données projet'!$B$10,Paramètres!$A$1:$I$89,3,0)*0.475*44/12</f>
        <v>4.0539566976754168E-20</v>
      </c>
      <c r="AX170" s="21">
        <f t="shared" si="166"/>
        <v>0.79214936214566256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1.1368683772161603E-13</v>
      </c>
      <c r="BE170" s="13">
        <f>BD170*VLOOKUP('Données projet'!$B$11,Paramètres!$A$1:$I$89,3,0)*VLOOKUP('Données projet'!$B$11,Paramètres!$A$1:$I$89,5,0)</f>
        <v>6.7984728957526396E-14</v>
      </c>
      <c r="BF170" s="13">
        <f t="shared" si="167"/>
        <v>1.0682447123141398E-12</v>
      </c>
      <c r="BG170" s="20">
        <f t="shared" si="168"/>
        <v>1.978932943548152E-12</v>
      </c>
      <c r="BH170" s="59">
        <f t="shared" si="116"/>
        <v>293.3333333333353</v>
      </c>
      <c r="BI170" s="59">
        <f ca="1">AVERAGE(OFFSET($BH$3,0,0,'Données projet'!$E$11+1,1))-AVERAGE(OFFSET($H$3,0,0,'Données projet'!$E$11+1,1))</f>
        <v>258.31845364515124</v>
      </c>
      <c r="BJ170" s="59">
        <f t="shared" si="146"/>
        <v>280.26155987300996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0.76132681192399398</v>
      </c>
      <c r="BQ170" s="21">
        <f>EXP(-LN(2)/25)*BQ169+(1-EXP(-LN(2)/25))/(LN(2)/25)*Calculateur!BL170*Calculateur!BN170*VLOOKUP('Données projet'!$B$11,Paramètres!$A$1:$I$89,3,0)*0.475*44/12</f>
        <v>0.21121915411757172</v>
      </c>
      <c r="BR170" s="21">
        <f>EXP(-LN(2)/2)*BR169+(1-EXP(-LN(2)/2))/(LN(2)/2)*BL170*BO170*VLOOKUP('Données projet'!$B$11,Paramètres!$A$1:$I$89,3,0)*0.475*44/12</f>
        <v>1.0850438108510097E-20</v>
      </c>
      <c r="BS170" s="22">
        <f t="shared" si="169"/>
        <v>0.97254596604156573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-5.6843418860808015E-14</v>
      </c>
      <c r="BZ170" s="13">
        <f>BY170*VLOOKUP('Données projet'!$B$12,Paramètres!$A$1:$I$89,3,0)*VLOOKUP('Données projet'!$B$12,Paramètres!$A$1:$I$89,5,0)</f>
        <v>-5.1431925385259088E-14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366.86025470473652</v>
      </c>
      <c r="CE170" s="59">
        <f t="shared" si="148"/>
        <v>513.80016421153414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0.17077464074439122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8.8692628602400349E-21</v>
      </c>
      <c r="CN170" s="22">
        <f t="shared" si="172"/>
        <v>0.17077464074439122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-5.6843418860808015E-14</v>
      </c>
      <c r="CU170" s="17">
        <f>CT170*VLOOKUP('Données projet'!$B$13,Paramètres!$A$1:$I$89,3,0)*VLOOKUP('Données projet'!$B$13,Paramètres!$A$1:$I$89,5,0)</f>
        <v>-3.1036506698001178E-14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207.02306964567629</v>
      </c>
      <c r="CZ170" s="59">
        <f t="shared" si="150"/>
        <v>342.06887933351783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0.43812539400632083</v>
      </c>
      <c r="DG170" s="21">
        <f>EXP(-LN(2)/25)*DG169+(1-EXP(-LN(2)/25))/(LN(2)/25)*Calculateur!DB170*Calculateur!DD170*VLOOKUP('Données projet'!$B$13,Paramètres!$A$1:$I$89,3,0)*0.475*44/12</f>
        <v>0.87201627491251477</v>
      </c>
      <c r="DH170" s="21">
        <f>EXP(-LN(2)/2)*DH169+(1-EXP(-LN(2)/2))/(LN(2)/2)*DB170*DE170*VLOOKUP('Données projet'!$B$13,Paramètres!$A$1:$I$89,3,0)*0.475*44/12</f>
        <v>3.180158930376799E-20</v>
      </c>
      <c r="DI170" s="22">
        <f t="shared" si="175"/>
        <v>1.3101416689188357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7">
        <f t="shared" si="110"/>
        <v>256.66666666666669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-1.1368683772161603E-13</v>
      </c>
      <c r="O171" s="13">
        <f>N171*VLOOKUP('Données projet'!$B$9,Paramètres!$A$1:$I$89,3,0)*VLOOKUP('Données projet'!$B$9,Paramètres!$A$1:$I$89,5,0)</f>
        <v>-5.3205440053716299E-14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319.22903094674564</v>
      </c>
      <c r="T171" s="59">
        <f t="shared" si="142"/>
        <v>254.58690973142848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0.59017963039515065</v>
      </c>
      <c r="AA171" s="21">
        <f>EXP(-LN(2)/25)*AA170+(1-EXP(-LN(2)/25))/(LN(2)/25)*Calculateur!V171*Calculateur!X171*VLOOKUP('Données projet'!$B$9,Paramètres!$A$1:$I$89,3,0)*0.475*44/12</f>
        <v>0.24301926943239877</v>
      </c>
      <c r="AB171" s="21">
        <f>EXP(-LN(2)/2)*AB170+(1-EXP(-LN(2)/2))/(LN(2)/2)*V171*Y171*VLOOKUP('Données projet'!$B$9,Paramètres!$A$1:$I$89,3,0)*0.475*44/12</f>
        <v>1.8707787603791195E-20</v>
      </c>
      <c r="AC171" s="22">
        <f t="shared" si="163"/>
        <v>0.83319889982754947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1.9895196601282805E-13</v>
      </c>
      <c r="AJ171" s="13">
        <f>AI171*VLOOKUP('Données projet'!$B$10,Paramètres!$A$1:$I$89,3,0)*VLOOKUP('Données projet'!$B$10,Paramètres!$A$1:$I$89,5,0)</f>
        <v>1.738044375088066E-13</v>
      </c>
      <c r="AK171" s="13">
        <f t="shared" si="164"/>
        <v>2.4483293633950478E-12</v>
      </c>
      <c r="AL171" s="20">
        <f t="shared" si="165"/>
        <v>4.566883036574213E-12</v>
      </c>
      <c r="AM171" s="59">
        <f t="shared" si="113"/>
        <v>293.33333333333786</v>
      </c>
      <c r="AN171" s="59">
        <f ca="1">AVERAGE(OFFSET($AM$3,0,0,'Données projet'!$E$10+1,1))-AVERAGE(OFFSET($H$3,0,0,'Données projet'!$E$10+1,1))</f>
        <v>321.23599968992932</v>
      </c>
      <c r="AO171" s="59">
        <f t="shared" si="144"/>
        <v>388.05195847800502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0.44048772045494161</v>
      </c>
      <c r="AV171" s="21">
        <f>EXP(-LN(2)/25)*AV170+(1-EXP(-LN(2)/25))/(LN(2)/25)*Calculateur!AQ171*Calculateur!AS171*VLOOKUP('Données projet'!$B$10,Paramètres!$A$1:$I$89,3,0)*0.475*44/12</f>
        <v>0.33347589484956947</v>
      </c>
      <c r="AW171" s="21">
        <f>EXP(-LN(2)/2)*AW170+(1-EXP(-LN(2)/2))/(LN(2)/2)*AQ171*AT171*VLOOKUP('Données projet'!$B$10,Paramètres!$A$1:$I$89,3,0)*0.475*44/12</f>
        <v>2.8665802715629098E-20</v>
      </c>
      <c r="AX171" s="21">
        <f t="shared" si="166"/>
        <v>0.77396361530451108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1.1368683772161603E-13</v>
      </c>
      <c r="BE171" s="13">
        <f>BD171*VLOOKUP('Données projet'!$B$11,Paramètres!$A$1:$I$89,3,0)*VLOOKUP('Données projet'!$B$11,Paramètres!$A$1:$I$89,5,0)</f>
        <v>6.7984728957526396E-14</v>
      </c>
      <c r="BF171" s="13">
        <f t="shared" si="167"/>
        <v>1.0682447123141398E-12</v>
      </c>
      <c r="BG171" s="20">
        <f t="shared" si="168"/>
        <v>1.978932943548152E-12</v>
      </c>
      <c r="BH171" s="59">
        <f t="shared" si="116"/>
        <v>293.3333333333353</v>
      </c>
      <c r="BI171" s="59">
        <f ca="1">AVERAGE(OFFSET($BH$3,0,0,'Données projet'!$E$11+1,1))-AVERAGE(OFFSET($H$3,0,0,'Données projet'!$E$11+1,1))</f>
        <v>258.31845364515124</v>
      </c>
      <c r="BJ171" s="59">
        <f t="shared" si="146"/>
        <v>280.26155987300996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0.74639765750566767</v>
      </c>
      <c r="BQ171" s="21">
        <f>EXP(-LN(2)/25)*BQ170+(1-EXP(-LN(2)/25))/(LN(2)/25)*Calculateur!BL171*Calculateur!BN171*VLOOKUP('Données projet'!$B$11,Paramètres!$A$1:$I$89,3,0)*0.475*44/12</f>
        <v>0.20544335524069415</v>
      </c>
      <c r="BR171" s="21">
        <f>EXP(-LN(2)/2)*BR170+(1-EXP(-LN(2)/2))/(LN(2)/2)*BL171*BO171*VLOOKUP('Données projet'!$B$11,Paramètres!$A$1:$I$89,3,0)*0.475*44/12</f>
        <v>7.6724183653724259E-21</v>
      </c>
      <c r="BS171" s="22">
        <f t="shared" si="169"/>
        <v>0.95184101274636179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-5.6843418860808015E-14</v>
      </c>
      <c r="BZ171" s="13">
        <f>BY171*VLOOKUP('Données projet'!$B$12,Paramètres!$A$1:$I$89,3,0)*VLOOKUP('Données projet'!$B$12,Paramètres!$A$1:$I$89,5,0)</f>
        <v>-5.1431925385259088E-14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366.86025470473652</v>
      </c>
      <c r="CE171" s="59">
        <f t="shared" si="148"/>
        <v>513.80016421153414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0.16742585420163938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6.2715159126017231E-21</v>
      </c>
      <c r="CN171" s="22">
        <f t="shared" si="172"/>
        <v>0.16742585420163938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-5.6843418860808015E-14</v>
      </c>
      <c r="CU171" s="17">
        <f>CT171*VLOOKUP('Données projet'!$B$13,Paramètres!$A$1:$I$89,3,0)*VLOOKUP('Données projet'!$B$13,Paramètres!$A$1:$I$89,5,0)</f>
        <v>-3.1036506698001178E-14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207.02306964567629</v>
      </c>
      <c r="CZ171" s="59">
        <f t="shared" si="150"/>
        <v>342.06887933351783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0.42953402225996046</v>
      </c>
      <c r="DG171" s="21">
        <f>EXP(-LN(2)/25)*DG170+(1-EXP(-LN(2)/25))/(LN(2)/25)*Calculateur!DB171*Calculateur!DD171*VLOOKUP('Données projet'!$B$13,Paramètres!$A$1:$I$89,3,0)*0.475*44/12</f>
        <v>0.84817094401768922</v>
      </c>
      <c r="DH171" s="21">
        <f>EXP(-LN(2)/2)*DH170+(1-EXP(-LN(2)/2))/(LN(2)/2)*DB171*DE171*VLOOKUP('Données projet'!$B$13,Paramètres!$A$1:$I$89,3,0)*0.475*44/12</f>
        <v>2.2487119449203923E-20</v>
      </c>
      <c r="DI171" s="22">
        <f t="shared" si="175"/>
        <v>1.2777049662776496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7">
        <f t="shared" si="110"/>
        <v>256.66666666666669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-1.1368683772161603E-13</v>
      </c>
      <c r="O172" s="13">
        <f>N172*VLOOKUP('Données projet'!$B$9,Paramètres!$A$1:$I$89,3,0)*VLOOKUP('Données projet'!$B$9,Paramètres!$A$1:$I$89,5,0)</f>
        <v>-5.3205440053716299E-14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319.22903094674564</v>
      </c>
      <c r="T172" s="59">
        <f t="shared" si="142"/>
        <v>254.58690973142848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0.57860656781713182</v>
      </c>
      <c r="AA172" s="21">
        <f>EXP(-LN(2)/25)*AA171+(1-EXP(-LN(2)/25))/(LN(2)/25)*Calculateur!V172*Calculateur!X172*VLOOKUP('Données projet'!$B$9,Paramètres!$A$1:$I$89,3,0)*0.475*44/12</f>
        <v>0.23637389472994186</v>
      </c>
      <c r="AB172" s="21">
        <f>EXP(-LN(2)/2)*AB171+(1-EXP(-LN(2)/2))/(LN(2)/2)*V172*Y172*VLOOKUP('Données projet'!$B$9,Paramètres!$A$1:$I$89,3,0)*0.475*44/12</f>
        <v>1.3228403475638388E-20</v>
      </c>
      <c r="AC172" s="22">
        <f t="shared" si="163"/>
        <v>0.81498046254707368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1.9895196601282805E-13</v>
      </c>
      <c r="AJ172" s="13">
        <f>AI172*VLOOKUP('Données projet'!$B$10,Paramètres!$A$1:$I$89,3,0)*VLOOKUP('Données projet'!$B$10,Paramètres!$A$1:$I$89,5,0)</f>
        <v>1.738044375088066E-13</v>
      </c>
      <c r="AK172" s="13">
        <f t="shared" si="164"/>
        <v>2.4483293633950478E-12</v>
      </c>
      <c r="AL172" s="20">
        <f t="shared" si="165"/>
        <v>4.566883036574213E-12</v>
      </c>
      <c r="AM172" s="59">
        <f t="shared" si="113"/>
        <v>293.33333333333786</v>
      </c>
      <c r="AN172" s="59">
        <f ca="1">AVERAGE(OFFSET($AM$3,0,0,'Données projet'!$E$10+1,1))-AVERAGE(OFFSET($H$3,0,0,'Données projet'!$E$10+1,1))</f>
        <v>321.23599968992932</v>
      </c>
      <c r="AO172" s="59">
        <f t="shared" si="144"/>
        <v>388.05195847800502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0.43185002492780061</v>
      </c>
      <c r="AV172" s="21">
        <f>EXP(-LN(2)/25)*AV171+(1-EXP(-LN(2)/25))/(LN(2)/25)*Calculateur!AQ172*Calculateur!AS172*VLOOKUP('Données projet'!$B$10,Paramètres!$A$1:$I$89,3,0)*0.475*44/12</f>
        <v>0.32435697896817284</v>
      </c>
      <c r="AW172" s="21">
        <f>EXP(-LN(2)/2)*AW171+(1-EXP(-LN(2)/2))/(LN(2)/2)*AQ172*AT172*VLOOKUP('Données projet'!$B$10,Paramètres!$A$1:$I$89,3,0)*0.475*44/12</f>
        <v>2.0269783488377084E-20</v>
      </c>
      <c r="AX172" s="21">
        <f t="shared" si="166"/>
        <v>0.7562070038959734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1.1368683772161603E-13</v>
      </c>
      <c r="BE172" s="13">
        <f>BD172*VLOOKUP('Données projet'!$B$11,Paramètres!$A$1:$I$89,3,0)*VLOOKUP('Données projet'!$B$11,Paramètres!$A$1:$I$89,5,0)</f>
        <v>6.7984728957526396E-14</v>
      </c>
      <c r="BF172" s="13">
        <f t="shared" si="167"/>
        <v>1.0682447123141398E-12</v>
      </c>
      <c r="BG172" s="20">
        <f t="shared" si="168"/>
        <v>1.978932943548152E-12</v>
      </c>
      <c r="BH172" s="59">
        <f t="shared" si="116"/>
        <v>293.3333333333353</v>
      </c>
      <c r="BI172" s="59">
        <f ca="1">AVERAGE(OFFSET($BH$3,0,0,'Données projet'!$E$11+1,1))-AVERAGE(OFFSET($H$3,0,0,'Données projet'!$E$11+1,1))</f>
        <v>258.31845364515124</v>
      </c>
      <c r="BJ172" s="59">
        <f t="shared" si="146"/>
        <v>280.26155987300996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0.73176125469959963</v>
      </c>
      <c r="BQ172" s="21">
        <f>EXP(-LN(2)/25)*BQ171+(1-EXP(-LN(2)/25))/(LN(2)/25)*Calculateur!BL172*Calculateur!BN172*VLOOKUP('Données projet'!$B$11,Paramètres!$A$1:$I$89,3,0)*0.475*44/12</f>
        <v>0.19982549588784088</v>
      </c>
      <c r="BR172" s="21">
        <f>EXP(-LN(2)/2)*BR171+(1-EXP(-LN(2)/2))/(LN(2)/2)*BL172*BO172*VLOOKUP('Données projet'!$B$11,Paramètres!$A$1:$I$89,3,0)*0.475*44/12</f>
        <v>5.4252190542550486E-21</v>
      </c>
      <c r="BS172" s="22">
        <f t="shared" si="169"/>
        <v>0.93158675058744045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-5.6843418860808015E-14</v>
      </c>
      <c r="BZ172" s="13">
        <f>BY172*VLOOKUP('Données projet'!$B$12,Paramètres!$A$1:$I$89,3,0)*VLOOKUP('Données projet'!$B$12,Paramètres!$A$1:$I$89,5,0)</f>
        <v>-5.1431925385259088E-14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366.86025470473652</v>
      </c>
      <c r="CE172" s="59">
        <f t="shared" si="148"/>
        <v>513.80016421153414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0.16414273532043283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4.4346314301200174E-21</v>
      </c>
      <c r="CN172" s="22">
        <f t="shared" si="172"/>
        <v>0.16414273532043283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-5.6843418860808015E-14</v>
      </c>
      <c r="CU172" s="17">
        <f>CT172*VLOOKUP('Données projet'!$B$13,Paramètres!$A$1:$I$89,3,0)*VLOOKUP('Données projet'!$B$13,Paramètres!$A$1:$I$89,5,0)</f>
        <v>-3.1036506698001178E-14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207.02306964567629</v>
      </c>
      <c r="CZ172" s="59">
        <f t="shared" si="150"/>
        <v>342.06887933351783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0.42111112207332685</v>
      </c>
      <c r="DG172" s="21">
        <f>EXP(-LN(2)/25)*DG171+(1-EXP(-LN(2)/25))/(LN(2)/25)*Calculateur!DB172*Calculateur!DD172*VLOOKUP('Données projet'!$B$13,Paramètres!$A$1:$I$89,3,0)*0.475*44/12</f>
        <v>0.82497766495015412</v>
      </c>
      <c r="DH172" s="21">
        <f>EXP(-LN(2)/2)*DH171+(1-EXP(-LN(2)/2))/(LN(2)/2)*DB172*DE172*VLOOKUP('Données projet'!$B$13,Paramètres!$A$1:$I$89,3,0)*0.475*44/12</f>
        <v>1.5900794651883995E-20</v>
      </c>
      <c r="DI172" s="22">
        <f t="shared" si="175"/>
        <v>1.2460887870234809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7">
        <f t="shared" si="110"/>
        <v>256.66666666666669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-1.1368683772161603E-13</v>
      </c>
      <c r="O173" s="13">
        <f>N173*VLOOKUP('Données projet'!$B$9,Paramètres!$A$1:$I$89,3,0)*VLOOKUP('Données projet'!$B$9,Paramètres!$A$1:$I$89,5,0)</f>
        <v>-5.3205440053716299E-14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319.22903094674564</v>
      </c>
      <c r="T173" s="59">
        <f t="shared" si="142"/>
        <v>254.58690973142848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0.56726044593739677</v>
      </c>
      <c r="AA173" s="21">
        <f>EXP(-LN(2)/25)*AA172+(1-EXP(-LN(2)/25))/(LN(2)/25)*Calculateur!V173*Calculateur!X173*VLOOKUP('Données projet'!$B$9,Paramètres!$A$1:$I$89,3,0)*0.475*44/12</f>
        <v>0.2299102381481887</v>
      </c>
      <c r="AB173" s="21">
        <f>EXP(-LN(2)/2)*AB172+(1-EXP(-LN(2)/2))/(LN(2)/2)*V173*Y173*VLOOKUP('Données projet'!$B$9,Paramètres!$A$1:$I$89,3,0)*0.475*44/12</f>
        <v>9.353893801895599E-21</v>
      </c>
      <c r="AC173" s="22">
        <f t="shared" si="163"/>
        <v>0.79717068408558545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1.9895196601282805E-13</v>
      </c>
      <c r="AJ173" s="13">
        <f>AI173*VLOOKUP('Données projet'!$B$10,Paramètres!$A$1:$I$89,3,0)*VLOOKUP('Données projet'!$B$10,Paramètres!$A$1:$I$89,5,0)</f>
        <v>1.738044375088066E-13</v>
      </c>
      <c r="AK173" s="13">
        <f t="shared" si="164"/>
        <v>2.4483293633950478E-12</v>
      </c>
      <c r="AL173" s="20">
        <f t="shared" si="165"/>
        <v>4.566883036574213E-12</v>
      </c>
      <c r="AM173" s="59">
        <f t="shared" si="113"/>
        <v>293.33333333333786</v>
      </c>
      <c r="AN173" s="59">
        <f ca="1">AVERAGE(OFFSET($AM$3,0,0,'Données projet'!$E$10+1,1))-AVERAGE(OFFSET($H$3,0,0,'Données projet'!$E$10+1,1))</f>
        <v>321.23599968992932</v>
      </c>
      <c r="AO173" s="59">
        <f t="shared" si="144"/>
        <v>388.05195847800502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0.42338170934147279</v>
      </c>
      <c r="AV173" s="21">
        <f>EXP(-LN(2)/25)*AV172+(1-EXP(-LN(2)/25))/(LN(2)/25)*Calculateur!AQ173*Calculateur!AS173*VLOOKUP('Données projet'!$B$10,Paramètres!$A$1:$I$89,3,0)*0.475*44/12</f>
        <v>0.31548742032109595</v>
      </c>
      <c r="AW173" s="21">
        <f>EXP(-LN(2)/2)*AW172+(1-EXP(-LN(2)/2))/(LN(2)/2)*AQ173*AT173*VLOOKUP('Données projet'!$B$10,Paramètres!$A$1:$I$89,3,0)*0.475*44/12</f>
        <v>1.4332901357814549E-20</v>
      </c>
      <c r="AX173" s="21">
        <f t="shared" si="166"/>
        <v>0.73886912966256868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1.1368683772161603E-13</v>
      </c>
      <c r="BE173" s="13">
        <f>BD173*VLOOKUP('Données projet'!$B$11,Paramètres!$A$1:$I$89,3,0)*VLOOKUP('Données projet'!$B$11,Paramètres!$A$1:$I$89,5,0)</f>
        <v>6.7984728957526396E-14</v>
      </c>
      <c r="BF173" s="13">
        <f t="shared" si="167"/>
        <v>1.0682447123141398E-12</v>
      </c>
      <c r="BG173" s="20">
        <f t="shared" si="168"/>
        <v>1.978932943548152E-12</v>
      </c>
      <c r="BH173" s="59">
        <f t="shared" si="116"/>
        <v>293.3333333333353</v>
      </c>
      <c r="BI173" s="59">
        <f ca="1">AVERAGE(OFFSET($BH$3,0,0,'Données projet'!$E$11+1,1))-AVERAGE(OFFSET($H$3,0,0,'Données projet'!$E$11+1,1))</f>
        <v>258.31845364515124</v>
      </c>
      <c r="BJ173" s="59">
        <f t="shared" si="146"/>
        <v>280.26155987300996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0.71741186282523439</v>
      </c>
      <c r="BQ173" s="21">
        <f>EXP(-LN(2)/25)*BQ172+(1-EXP(-LN(2)/25))/(LN(2)/25)*Calculateur!BL173*Calculateur!BN173*VLOOKUP('Données projet'!$B$11,Paramètres!$A$1:$I$89,3,0)*0.475*44/12</f>
        <v>0.19436125719442174</v>
      </c>
      <c r="BR173" s="21">
        <f>EXP(-LN(2)/2)*BR172+(1-EXP(-LN(2)/2))/(LN(2)/2)*BL173*BO173*VLOOKUP('Données projet'!$B$11,Paramètres!$A$1:$I$89,3,0)*0.475*44/12</f>
        <v>3.8362091826862129E-21</v>
      </c>
      <c r="BS173" s="22">
        <f t="shared" si="169"/>
        <v>0.91177312001965616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-5.6843418860808015E-14</v>
      </c>
      <c r="BZ173" s="13">
        <f>BY173*VLOOKUP('Données projet'!$B$12,Paramètres!$A$1:$I$89,3,0)*VLOOKUP('Données projet'!$B$12,Paramètres!$A$1:$I$89,5,0)</f>
        <v>-5.1431925385259088E-14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366.86025470473652</v>
      </c>
      <c r="CE173" s="59">
        <f t="shared" si="148"/>
        <v>513.80016421153414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0.16092399639798194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3.1357579563008615E-21</v>
      </c>
      <c r="CN173" s="22">
        <f t="shared" si="172"/>
        <v>0.16092399639798194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-5.6843418860808015E-14</v>
      </c>
      <c r="CU173" s="17">
        <f>CT173*VLOOKUP('Données projet'!$B$13,Paramètres!$A$1:$I$89,3,0)*VLOOKUP('Données projet'!$B$13,Paramètres!$A$1:$I$89,5,0)</f>
        <v>-3.1036506698001178E-14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207.02306964567629</v>
      </c>
      <c r="CZ173" s="59">
        <f t="shared" si="150"/>
        <v>342.06887933351783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0.41285338982189129</v>
      </c>
      <c r="DG173" s="21">
        <f>EXP(-LN(2)/25)*DG172+(1-EXP(-LN(2)/25))/(LN(2)/25)*Calculateur!DB173*Calculateur!DD173*VLOOKUP('Données projet'!$B$13,Paramètres!$A$1:$I$89,3,0)*0.475*44/12</f>
        <v>0.80241860731840231</v>
      </c>
      <c r="DH173" s="21">
        <f>EXP(-LN(2)/2)*DH172+(1-EXP(-LN(2)/2))/(LN(2)/2)*DB173*DE173*VLOOKUP('Données projet'!$B$13,Paramètres!$A$1:$I$89,3,0)*0.475*44/12</f>
        <v>1.1243559724601962E-20</v>
      </c>
      <c r="DI173" s="22">
        <f t="shared" si="175"/>
        <v>1.2152719971402937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7">
        <f t="shared" si="110"/>
        <v>256.66666666666669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-1.1368683772161603E-13</v>
      </c>
      <c r="O174" s="13">
        <f>N174*VLOOKUP('Données projet'!$B$9,Paramètres!$A$1:$I$89,3,0)*VLOOKUP('Données projet'!$B$9,Paramètres!$A$1:$I$89,5,0)</f>
        <v>-5.3205440053716299E-14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319.22903094674564</v>
      </c>
      <c r="T174" s="59">
        <f t="shared" si="142"/>
        <v>254.58690973142848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0.55613681458727227</v>
      </c>
      <c r="AA174" s="21">
        <f>EXP(-LN(2)/25)*AA173+(1-EXP(-LN(2)/25))/(LN(2)/25)*Calculateur!V174*Calculateur!X174*VLOOKUP('Données projet'!$B$9,Paramètres!$A$1:$I$89,3,0)*0.475*44/12</f>
        <v>0.22362333059557252</v>
      </c>
      <c r="AB174" s="21">
        <f>EXP(-LN(2)/2)*AB173+(1-EXP(-LN(2)/2))/(LN(2)/2)*V174*Y174*VLOOKUP('Données projet'!$B$9,Paramètres!$A$1:$I$89,3,0)*0.475*44/12</f>
        <v>6.6142017378191949E-21</v>
      </c>
      <c r="AC174" s="22">
        <f t="shared" si="163"/>
        <v>0.77976014518284475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1.9895196601282805E-13</v>
      </c>
      <c r="AJ174" s="13">
        <f>AI174*VLOOKUP('Données projet'!$B$10,Paramètres!$A$1:$I$89,3,0)*VLOOKUP('Données projet'!$B$10,Paramètres!$A$1:$I$89,5,0)</f>
        <v>1.738044375088066E-13</v>
      </c>
      <c r="AK174" s="13">
        <f t="shared" si="164"/>
        <v>2.4483293633950478E-12</v>
      </c>
      <c r="AL174" s="20">
        <f t="shared" si="165"/>
        <v>4.566883036574213E-12</v>
      </c>
      <c r="AM174" s="59">
        <f t="shared" si="113"/>
        <v>293.33333333333786</v>
      </c>
      <c r="AN174" s="59">
        <f ca="1">AVERAGE(OFFSET($AM$3,0,0,'Données projet'!$E$10+1,1))-AVERAGE(OFFSET($H$3,0,0,'Données projet'!$E$10+1,1))</f>
        <v>321.23599968992932</v>
      </c>
      <c r="AO174" s="59">
        <f t="shared" si="144"/>
        <v>388.05195847800502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0.41507945225863041</v>
      </c>
      <c r="AV174" s="21">
        <f>EXP(-LN(2)/25)*AV173+(1-EXP(-LN(2)/25))/(LN(2)/25)*Calculateur!AQ174*Calculateur!AS174*VLOOKUP('Données projet'!$B$10,Paramètres!$A$1:$I$89,3,0)*0.475*44/12</f>
        <v>0.30686040022165317</v>
      </c>
      <c r="AW174" s="21">
        <f>EXP(-LN(2)/2)*AW173+(1-EXP(-LN(2)/2))/(LN(2)/2)*AQ174*AT174*VLOOKUP('Données projet'!$B$10,Paramètres!$A$1:$I$89,3,0)*0.475*44/12</f>
        <v>1.0134891744188542E-20</v>
      </c>
      <c r="AX174" s="21">
        <f t="shared" si="166"/>
        <v>0.72193985248028358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1.1368683772161603E-13</v>
      </c>
      <c r="BE174" s="13">
        <f>BD174*VLOOKUP('Données projet'!$B$11,Paramètres!$A$1:$I$89,3,0)*VLOOKUP('Données projet'!$B$11,Paramètres!$A$1:$I$89,5,0)</f>
        <v>6.7984728957526396E-14</v>
      </c>
      <c r="BF174" s="13">
        <f t="shared" si="167"/>
        <v>1.0682447123141398E-12</v>
      </c>
      <c r="BG174" s="20">
        <f t="shared" si="168"/>
        <v>1.978932943548152E-12</v>
      </c>
      <c r="BH174" s="59">
        <f t="shared" si="116"/>
        <v>293.3333333333353</v>
      </c>
      <c r="BI174" s="59">
        <f ca="1">AVERAGE(OFFSET($BH$3,0,0,'Données projet'!$E$11+1,1))-AVERAGE(OFFSET($H$3,0,0,'Données projet'!$E$11+1,1))</f>
        <v>258.31845364515124</v>
      </c>
      <c r="BJ174" s="59">
        <f t="shared" si="146"/>
        <v>280.26155987300996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0.70334385377326059</v>
      </c>
      <c r="BQ174" s="21">
        <f>EXP(-LN(2)/25)*BQ173+(1-EXP(-LN(2)/25))/(LN(2)/25)*Calculateur!BL174*Calculateur!BN174*VLOOKUP('Données projet'!$B$11,Paramètres!$A$1:$I$89,3,0)*0.475*44/12</f>
        <v>0.18904643839542598</v>
      </c>
      <c r="BR174" s="21">
        <f>EXP(-LN(2)/2)*BR173+(1-EXP(-LN(2)/2))/(LN(2)/2)*BL174*BO174*VLOOKUP('Données projet'!$B$11,Paramètres!$A$1:$I$89,3,0)*0.475*44/12</f>
        <v>2.7126095271275243E-21</v>
      </c>
      <c r="BS174" s="22">
        <f t="shared" si="169"/>
        <v>0.89239029216868659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-5.6843418860808015E-14</v>
      </c>
      <c r="BZ174" s="13">
        <f>BY174*VLOOKUP('Données projet'!$B$12,Paramètres!$A$1:$I$89,3,0)*VLOOKUP('Données projet'!$B$12,Paramètres!$A$1:$I$89,5,0)</f>
        <v>-5.1431925385259088E-14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366.86025470473652</v>
      </c>
      <c r="CE174" s="59">
        <f t="shared" si="148"/>
        <v>513.80016421153414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0.15776837498256341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2.2173157150600087E-21</v>
      </c>
      <c r="CN174" s="22">
        <f t="shared" si="172"/>
        <v>0.15776837498256341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-5.6843418860808015E-14</v>
      </c>
      <c r="CU174" s="17">
        <f>CT174*VLOOKUP('Données projet'!$B$13,Paramètres!$A$1:$I$89,3,0)*VLOOKUP('Données projet'!$B$13,Paramètres!$A$1:$I$89,5,0)</f>
        <v>-3.1036506698001178E-14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207.02306964567629</v>
      </c>
      <c r="CZ174" s="59">
        <f t="shared" si="150"/>
        <v>342.06887933351783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0.40475758666318706</v>
      </c>
      <c r="DG174" s="21">
        <f>EXP(-LN(2)/25)*DG173+(1-EXP(-LN(2)/25))/(LN(2)/25)*Calculateur!DB174*Calculateur!DD174*VLOOKUP('Données projet'!$B$13,Paramètres!$A$1:$I$89,3,0)*0.475*44/12</f>
        <v>0.78047642830391994</v>
      </c>
      <c r="DH174" s="21">
        <f>EXP(-LN(2)/2)*DH173+(1-EXP(-LN(2)/2))/(LN(2)/2)*DB174*DE174*VLOOKUP('Données projet'!$B$13,Paramètres!$A$1:$I$89,3,0)*0.475*44/12</f>
        <v>7.9503973259419976E-21</v>
      </c>
      <c r="DI174" s="22">
        <f t="shared" si="175"/>
        <v>1.185234014967107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7">
        <f t="shared" si="110"/>
        <v>256.66666666666669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-1.1368683772161603E-13</v>
      </c>
      <c r="O175" s="13">
        <f>N175*VLOOKUP('Données projet'!$B$9,Paramètres!$A$1:$I$89,3,0)*VLOOKUP('Données projet'!$B$9,Paramètres!$A$1:$I$89,5,0)</f>
        <v>-5.3205440053716299E-14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319.22903094674564</v>
      </c>
      <c r="T175" s="59">
        <f t="shared" si="142"/>
        <v>254.58690973142848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0.54523131086317855</v>
      </c>
      <c r="AA175" s="21">
        <f>EXP(-LN(2)/25)*AA174+(1-EXP(-LN(2)/25))/(LN(2)/25)*Calculateur!V175*Calculateur!X175*VLOOKUP('Données projet'!$B$9,Paramètres!$A$1:$I$89,3,0)*0.475*44/12</f>
        <v>0.21750833886059673</v>
      </c>
      <c r="AB175" s="21">
        <f>EXP(-LN(2)/2)*AB174+(1-EXP(-LN(2)/2))/(LN(2)/2)*V175*Y175*VLOOKUP('Données projet'!$B$9,Paramètres!$A$1:$I$89,3,0)*0.475*44/12</f>
        <v>4.6769469009478003E-21</v>
      </c>
      <c r="AC175" s="22">
        <f t="shared" si="163"/>
        <v>0.76273964972377528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1.9895196601282805E-13</v>
      </c>
      <c r="AJ175" s="13">
        <f>AI175*VLOOKUP('Données projet'!$B$10,Paramètres!$A$1:$I$89,3,0)*VLOOKUP('Données projet'!$B$10,Paramètres!$A$1:$I$89,5,0)</f>
        <v>1.738044375088066E-13</v>
      </c>
      <c r="AK175" s="13">
        <f t="shared" si="164"/>
        <v>2.4483293633950478E-12</v>
      </c>
      <c r="AL175" s="20">
        <f t="shared" si="165"/>
        <v>4.566883036574213E-12</v>
      </c>
      <c r="AM175" s="59">
        <f t="shared" si="113"/>
        <v>293.33333333333786</v>
      </c>
      <c r="AN175" s="59">
        <f ca="1">AVERAGE(OFFSET($AM$3,0,0,'Données projet'!$E$10+1,1))-AVERAGE(OFFSET($H$3,0,0,'Données projet'!$E$10+1,1))</f>
        <v>321.23599968992932</v>
      </c>
      <c r="AO175" s="59">
        <f t="shared" si="144"/>
        <v>388.05195847800502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0.40693999737330572</v>
      </c>
      <c r="AV175" s="21">
        <f>EXP(-LN(2)/25)*AV174+(1-EXP(-LN(2)/25))/(LN(2)/25)*Calculateur!AQ175*Calculateur!AS175*VLOOKUP('Données projet'!$B$10,Paramètres!$A$1:$I$89,3,0)*0.475*44/12</f>
        <v>0.29846928644050497</v>
      </c>
      <c r="AW175" s="21">
        <f>EXP(-LN(2)/2)*AW174+(1-EXP(-LN(2)/2))/(LN(2)/2)*AQ175*AT175*VLOOKUP('Données projet'!$B$10,Paramètres!$A$1:$I$89,3,0)*0.475*44/12</f>
        <v>7.1664506789072744E-21</v>
      </c>
      <c r="AX175" s="21">
        <f t="shared" si="166"/>
        <v>0.70540928381381063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1.1368683772161603E-13</v>
      </c>
      <c r="BE175" s="13">
        <f>BD175*VLOOKUP('Données projet'!$B$11,Paramètres!$A$1:$I$89,3,0)*VLOOKUP('Données projet'!$B$11,Paramètres!$A$1:$I$89,5,0)</f>
        <v>6.7984728957526396E-14</v>
      </c>
      <c r="BF175" s="13">
        <f t="shared" si="167"/>
        <v>1.0682447123141398E-12</v>
      </c>
      <c r="BG175" s="20">
        <f t="shared" si="168"/>
        <v>1.978932943548152E-12</v>
      </c>
      <c r="BH175" s="59">
        <f t="shared" si="116"/>
        <v>293.3333333333353</v>
      </c>
      <c r="BI175" s="59">
        <f ca="1">AVERAGE(OFFSET($BH$3,0,0,'Données projet'!$E$11+1,1))-AVERAGE(OFFSET($H$3,0,0,'Données projet'!$E$11+1,1))</f>
        <v>258.31845364515124</v>
      </c>
      <c r="BJ175" s="59">
        <f t="shared" si="146"/>
        <v>280.26155987300996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0.68955170979815772</v>
      </c>
      <c r="BQ175" s="21">
        <f>EXP(-LN(2)/25)*BQ174+(1-EXP(-LN(2)/25))/(LN(2)/25)*Calculateur!BL175*Calculateur!BN175*VLOOKUP('Données projet'!$B$11,Paramètres!$A$1:$I$89,3,0)*0.475*44/12</f>
        <v>0.18387695359598294</v>
      </c>
      <c r="BR175" s="21">
        <f>EXP(-LN(2)/2)*BR174+(1-EXP(-LN(2)/2))/(LN(2)/2)*BL175*BO175*VLOOKUP('Données projet'!$B$11,Paramètres!$A$1:$I$89,3,0)*0.475*44/12</f>
        <v>1.9181045913431065E-21</v>
      </c>
      <c r="BS175" s="22">
        <f t="shared" si="169"/>
        <v>0.8734286633941406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-5.6843418860808015E-14</v>
      </c>
      <c r="BZ175" s="13">
        <f>BY175*VLOOKUP('Données projet'!$B$12,Paramètres!$A$1:$I$89,3,0)*VLOOKUP('Données projet'!$B$12,Paramètres!$A$1:$I$89,5,0)</f>
        <v>-5.1431925385259088E-14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366.86025470473652</v>
      </c>
      <c r="CE175" s="59">
        <f t="shared" si="148"/>
        <v>513.80016421153414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0.15467463337836224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1.5678789781504308E-21</v>
      </c>
      <c r="CN175" s="22">
        <f t="shared" si="172"/>
        <v>0.15467463337836224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-5.6843418860808015E-14</v>
      </c>
      <c r="CU175" s="17">
        <f>CT175*VLOOKUP('Données projet'!$B$13,Paramètres!$A$1:$I$89,3,0)*VLOOKUP('Données projet'!$B$13,Paramètres!$A$1:$I$89,5,0)</f>
        <v>-3.1036506698001178E-14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207.02306964567629</v>
      </c>
      <c r="CZ175" s="59">
        <f t="shared" si="150"/>
        <v>342.06887933351783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0.39682053726647265</v>
      </c>
      <c r="DG175" s="21">
        <f>EXP(-LN(2)/25)*DG174+(1-EXP(-LN(2)/25))/(LN(2)/25)*Calculateur!DB175*Calculateur!DD175*VLOOKUP('Données projet'!$B$13,Paramètres!$A$1:$I$89,3,0)*0.475*44/12</f>
        <v>0.75913425932847767</v>
      </c>
      <c r="DH175" s="21">
        <f>EXP(-LN(2)/2)*DH174+(1-EXP(-LN(2)/2))/(LN(2)/2)*DB175*DE175*VLOOKUP('Données projet'!$B$13,Paramètres!$A$1:$I$89,3,0)*0.475*44/12</f>
        <v>5.6217798623009808E-21</v>
      </c>
      <c r="DI175" s="22">
        <f t="shared" si="175"/>
        <v>1.1559547965949504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7">
        <f t="shared" si="110"/>
        <v>256.66666666666669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-1.1368683772161603E-13</v>
      </c>
      <c r="O176" s="13">
        <f>N176*VLOOKUP('Données projet'!$B$9,Paramètres!$A$1:$I$89,3,0)*VLOOKUP('Données projet'!$B$9,Paramètres!$A$1:$I$89,5,0)</f>
        <v>-5.3205440053716299E-14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319.22903094674564</v>
      </c>
      <c r="T176" s="59">
        <f t="shared" si="142"/>
        <v>254.58690973142848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0.53453965741541387</v>
      </c>
      <c r="AA176" s="21">
        <f>EXP(-LN(2)/25)*AA175+(1-EXP(-LN(2)/25))/(LN(2)/25)*Calculateur!V176*Calculateur!X176*VLOOKUP('Données projet'!$B$9,Paramètres!$A$1:$I$89,3,0)*0.475*44/12</f>
        <v>0.2115605618961873</v>
      </c>
      <c r="AB176" s="21">
        <f>EXP(-LN(2)/2)*AB175+(1-EXP(-LN(2)/2))/(LN(2)/2)*V176*Y176*VLOOKUP('Données projet'!$B$9,Paramètres!$A$1:$I$89,3,0)*0.475*44/12</f>
        <v>3.3071008689095978E-21</v>
      </c>
      <c r="AC176" s="22">
        <f t="shared" si="163"/>
        <v>0.7461002193116012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1.9895196601282805E-13</v>
      </c>
      <c r="AJ176" s="13">
        <f>AI176*VLOOKUP('Données projet'!$B$10,Paramètres!$A$1:$I$89,3,0)*VLOOKUP('Données projet'!$B$10,Paramètres!$A$1:$I$89,5,0)</f>
        <v>1.738044375088066E-13</v>
      </c>
      <c r="AK176" s="13">
        <f t="shared" si="164"/>
        <v>2.4483293633950478E-12</v>
      </c>
      <c r="AL176" s="20">
        <f t="shared" si="165"/>
        <v>4.566883036574213E-12</v>
      </c>
      <c r="AM176" s="59">
        <f t="shared" si="113"/>
        <v>293.33333333333786</v>
      </c>
      <c r="AN176" s="59">
        <f ca="1">AVERAGE(OFFSET($AM$3,0,0,'Données projet'!$E$10+1,1))-AVERAGE(OFFSET($H$3,0,0,'Données projet'!$E$10+1,1))</f>
        <v>321.23599968992932</v>
      </c>
      <c r="AO176" s="59">
        <f t="shared" si="144"/>
        <v>388.05195847800502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0.39896015223370501</v>
      </c>
      <c r="AV176" s="21">
        <f>EXP(-LN(2)/25)*AV175+(1-EXP(-LN(2)/25))/(LN(2)/25)*Calculateur!AQ176*Calculateur!AS176*VLOOKUP('Données projet'!$B$10,Paramètres!$A$1:$I$89,3,0)*0.475*44/12</f>
        <v>0.29030762810697175</v>
      </c>
      <c r="AW176" s="21">
        <f>EXP(-LN(2)/2)*AW175+(1-EXP(-LN(2)/2))/(LN(2)/2)*AQ176*AT176*VLOOKUP('Données projet'!$B$10,Paramètres!$A$1:$I$89,3,0)*0.475*44/12</f>
        <v>5.067445872094271E-21</v>
      </c>
      <c r="AX176" s="21">
        <f t="shared" si="166"/>
        <v>0.68926778034067682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1.1368683772161603E-13</v>
      </c>
      <c r="BE176" s="13">
        <f>BD176*VLOOKUP('Données projet'!$B$11,Paramètres!$A$1:$I$89,3,0)*VLOOKUP('Données projet'!$B$11,Paramètres!$A$1:$I$89,5,0)</f>
        <v>6.7984728957526396E-14</v>
      </c>
      <c r="BF176" s="13">
        <f t="shared" si="167"/>
        <v>1.0682447123141398E-12</v>
      </c>
      <c r="BG176" s="20">
        <f t="shared" si="168"/>
        <v>1.978932943548152E-12</v>
      </c>
      <c r="BH176" s="59">
        <f t="shared" si="116"/>
        <v>293.3333333333353</v>
      </c>
      <c r="BI176" s="59">
        <f ca="1">AVERAGE(OFFSET($BH$3,0,0,'Données projet'!$E$11+1,1))-AVERAGE(OFFSET($H$3,0,0,'Données projet'!$E$11+1,1))</f>
        <v>258.31845364515124</v>
      </c>
      <c r="BJ176" s="59">
        <f t="shared" si="146"/>
        <v>280.26155987300996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0.67603002135402945</v>
      </c>
      <c r="BQ176" s="21">
        <f>EXP(-LN(2)/25)*BQ175+(1-EXP(-LN(2)/25))/(LN(2)/25)*Calculateur!BL176*Calculateur!BN176*VLOOKUP('Données projet'!$B$11,Paramètres!$A$1:$I$89,3,0)*0.475*44/12</f>
        <v>0.17884882863023205</v>
      </c>
      <c r="BR176" s="21">
        <f>EXP(-LN(2)/2)*BR175+(1-EXP(-LN(2)/2))/(LN(2)/2)*BL176*BO176*VLOOKUP('Données projet'!$B$11,Paramètres!$A$1:$I$89,3,0)*0.475*44/12</f>
        <v>1.3563047635637621E-21</v>
      </c>
      <c r="BS176" s="22">
        <f t="shared" si="169"/>
        <v>0.85487884998426145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-5.6843418860808015E-14</v>
      </c>
      <c r="BZ176" s="13">
        <f>BY176*VLOOKUP('Données projet'!$B$12,Paramètres!$A$1:$I$89,3,0)*VLOOKUP('Données projet'!$B$12,Paramètres!$A$1:$I$89,5,0)</f>
        <v>-5.1431925385259088E-14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366.86025470473652</v>
      </c>
      <c r="CE176" s="59">
        <f t="shared" si="148"/>
        <v>513.80016421153414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0.15164155816002339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1.1086578575300044E-21</v>
      </c>
      <c r="CN176" s="22">
        <f t="shared" si="172"/>
        <v>0.15164155816002339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-5.6843418860808015E-14</v>
      </c>
      <c r="CU176" s="17">
        <f>CT176*VLOOKUP('Données projet'!$B$13,Paramètres!$A$1:$I$89,3,0)*VLOOKUP('Données projet'!$B$13,Paramètres!$A$1:$I$89,5,0)</f>
        <v>-3.1036506698001178E-14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207.02306964567629</v>
      </c>
      <c r="CZ176" s="59">
        <f t="shared" si="150"/>
        <v>342.06887933351783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0.38903912856730571</v>
      </c>
      <c r="DG176" s="21">
        <f>EXP(-LN(2)/25)*DG175+(1-EXP(-LN(2)/25))/(LN(2)/25)*Calculateur!DB176*Calculateur!DD176*VLOOKUP('Données projet'!$B$13,Paramètres!$A$1:$I$89,3,0)*0.475*44/12</f>
        <v>0.73837569308600481</v>
      </c>
      <c r="DH176" s="21">
        <f>EXP(-LN(2)/2)*DH175+(1-EXP(-LN(2)/2))/(LN(2)/2)*DB176*DE176*VLOOKUP('Données projet'!$B$13,Paramètres!$A$1:$I$89,3,0)*0.475*44/12</f>
        <v>3.9751986629709988E-21</v>
      </c>
      <c r="DI176" s="22">
        <f t="shared" si="175"/>
        <v>1.1274148216533106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7">
        <f t="shared" si="110"/>
        <v>256.66666666666669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-1.1368683772161603E-13</v>
      </c>
      <c r="O177" s="13">
        <f>N177*VLOOKUP('Données projet'!$B$9,Paramètres!$A$1:$I$89,3,0)*VLOOKUP('Données projet'!$B$9,Paramètres!$A$1:$I$89,5,0)</f>
        <v>-5.3205440053716299E-14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319.22903094674564</v>
      </c>
      <c r="T177" s="59">
        <f t="shared" si="142"/>
        <v>254.58690973142848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0.5240576607704952</v>
      </c>
      <c r="AA177" s="21">
        <f>EXP(-LN(2)/25)*AA176+(1-EXP(-LN(2)/25))/(LN(2)/25)*Calculateur!V177*Calculateur!X177*VLOOKUP('Données projet'!$B$9,Paramètres!$A$1:$I$89,3,0)*0.475*44/12</f>
        <v>0.20577542720564965</v>
      </c>
      <c r="AB177" s="21">
        <f>EXP(-LN(2)/2)*AB176+(1-EXP(-LN(2)/2))/(LN(2)/2)*V177*Y177*VLOOKUP('Données projet'!$B$9,Paramètres!$A$1:$I$89,3,0)*0.475*44/12</f>
        <v>2.3384734504739005E-21</v>
      </c>
      <c r="AC177" s="22">
        <f t="shared" si="163"/>
        <v>0.72983308797614488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1.9895196601282805E-13</v>
      </c>
      <c r="AJ177" s="13">
        <f>AI177*VLOOKUP('Données projet'!$B$10,Paramètres!$A$1:$I$89,3,0)*VLOOKUP('Données projet'!$B$10,Paramètres!$A$1:$I$89,5,0)</f>
        <v>1.738044375088066E-13</v>
      </c>
      <c r="AK177" s="13">
        <f t="shared" si="164"/>
        <v>2.4483293633950478E-12</v>
      </c>
      <c r="AL177" s="20">
        <f t="shared" si="165"/>
        <v>4.566883036574213E-12</v>
      </c>
      <c r="AM177" s="59">
        <f t="shared" si="113"/>
        <v>293.33333333333786</v>
      </c>
      <c r="AN177" s="59">
        <f ca="1">AVERAGE(OFFSET($AM$3,0,0,'Données projet'!$E$10+1,1))-AVERAGE(OFFSET($H$3,0,0,'Données projet'!$E$10+1,1))</f>
        <v>321.23599968992932</v>
      </c>
      <c r="AO177" s="59">
        <f t="shared" si="144"/>
        <v>388.05195847800502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0.39113678699006693</v>
      </c>
      <c r="AV177" s="21">
        <f>EXP(-LN(2)/25)*AV176+(1-EXP(-LN(2)/25))/(LN(2)/25)*Calculateur!AQ177*Calculateur!AS177*VLOOKUP('Données projet'!$B$10,Paramètres!$A$1:$I$89,3,0)*0.475*44/12</f>
        <v>0.28236915074977192</v>
      </c>
      <c r="AW177" s="21">
        <f>EXP(-LN(2)/2)*AW176+(1-EXP(-LN(2)/2))/(LN(2)/2)*AQ177*AT177*VLOOKUP('Données projet'!$B$10,Paramètres!$A$1:$I$89,3,0)*0.475*44/12</f>
        <v>3.5832253394536372E-21</v>
      </c>
      <c r="AX177" s="21">
        <f t="shared" si="166"/>
        <v>0.67350593773983891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1.1368683772161603E-13</v>
      </c>
      <c r="BE177" s="13">
        <f>BD177*VLOOKUP('Données projet'!$B$11,Paramètres!$A$1:$I$89,3,0)*VLOOKUP('Données projet'!$B$11,Paramètres!$A$1:$I$89,5,0)</f>
        <v>6.7984728957526396E-14</v>
      </c>
      <c r="BF177" s="13">
        <f t="shared" si="167"/>
        <v>1.0682447123141398E-12</v>
      </c>
      <c r="BG177" s="20">
        <f t="shared" si="168"/>
        <v>1.978932943548152E-12</v>
      </c>
      <c r="BH177" s="59">
        <f t="shared" si="116"/>
        <v>293.3333333333353</v>
      </c>
      <c r="BI177" s="59">
        <f ca="1">AVERAGE(OFFSET($BH$3,0,0,'Données projet'!$E$11+1,1))-AVERAGE(OFFSET($H$3,0,0,'Données projet'!$E$11+1,1))</f>
        <v>258.31845364515124</v>
      </c>
      <c r="BJ177" s="59">
        <f t="shared" si="146"/>
        <v>280.26155987300996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0.66277348497287503</v>
      </c>
      <c r="BQ177" s="21">
        <f>EXP(-LN(2)/25)*BQ176+(1-EXP(-LN(2)/25))/(LN(2)/25)*Calculateur!BL177*Calculateur!BN177*VLOOKUP('Données projet'!$B$11,Paramètres!$A$1:$I$89,3,0)*0.475*44/12</f>
        <v>0.17395819800608722</v>
      </c>
      <c r="BR177" s="21">
        <f>EXP(-LN(2)/2)*BR176+(1-EXP(-LN(2)/2))/(LN(2)/2)*BL177*BO177*VLOOKUP('Données projet'!$B$11,Paramètres!$A$1:$I$89,3,0)*0.475*44/12</f>
        <v>9.5905229567155323E-22</v>
      </c>
      <c r="BS177" s="22">
        <f t="shared" si="169"/>
        <v>0.83673168297896228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-5.6843418860808015E-14</v>
      </c>
      <c r="BZ177" s="13">
        <f>BY177*VLOOKUP('Données projet'!$B$12,Paramètres!$A$1:$I$89,3,0)*VLOOKUP('Données projet'!$B$12,Paramètres!$A$1:$I$89,5,0)</f>
        <v>-5.1431925385259088E-14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366.86025470473652</v>
      </c>
      <c r="CE177" s="59">
        <f t="shared" si="148"/>
        <v>513.80016421153414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0.14866795969672297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7.8393948907521539E-22</v>
      </c>
      <c r="CN177" s="22">
        <f t="shared" si="172"/>
        <v>0.14866795969672297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-5.6843418860808015E-14</v>
      </c>
      <c r="CU177" s="17">
        <f>CT177*VLOOKUP('Données projet'!$B$13,Paramètres!$A$1:$I$89,3,0)*VLOOKUP('Données projet'!$B$13,Paramètres!$A$1:$I$89,5,0)</f>
        <v>-3.1036506698001178E-14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207.02306964567629</v>
      </c>
      <c r="CZ177" s="59">
        <f t="shared" si="150"/>
        <v>342.06887933351783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0.38141030854653879</v>
      </c>
      <c r="DG177" s="21">
        <f>EXP(-LN(2)/25)*DG176+(1-EXP(-LN(2)/25))/(LN(2)/25)*Calculateur!DB177*Calculateur!DD177*VLOOKUP('Données projet'!$B$13,Paramètres!$A$1:$I$89,3,0)*0.475*44/12</f>
        <v>0.71818477092907784</v>
      </c>
      <c r="DH177" s="21">
        <f>EXP(-LN(2)/2)*DH176+(1-EXP(-LN(2)/2))/(LN(2)/2)*DB177*DE177*VLOOKUP('Données projet'!$B$13,Paramètres!$A$1:$I$89,3,0)*0.475*44/12</f>
        <v>2.8108899311504904E-21</v>
      </c>
      <c r="DI177" s="22">
        <f t="shared" si="175"/>
        <v>1.0995950794756166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7">
        <f t="shared" si="110"/>
        <v>256.66666666666669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-1.1368683772161603E-13</v>
      </c>
      <c r="O178" s="13">
        <f>N178*VLOOKUP('Données projet'!$B$9,Paramètres!$A$1:$I$89,3,0)*VLOOKUP('Données projet'!$B$9,Paramètres!$A$1:$I$89,5,0)</f>
        <v>-5.3205440053716299E-14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319.22903094674564</v>
      </c>
      <c r="T178" s="59">
        <f t="shared" si="142"/>
        <v>254.58690973142848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0.51378120968639662</v>
      </c>
      <c r="AA178" s="21">
        <f>EXP(-LN(2)/25)*AA177+(1-EXP(-LN(2)/25))/(LN(2)/25)*Calculateur!V178*Calculateur!X178*VLOOKUP('Données projet'!$B$9,Paramètres!$A$1:$I$89,3,0)*0.475*44/12</f>
        <v>0.20014848732745175</v>
      </c>
      <c r="AB178" s="21">
        <f>EXP(-LN(2)/2)*AB177+(1-EXP(-LN(2)/2))/(LN(2)/2)*V178*Y178*VLOOKUP('Données projet'!$B$9,Paramètres!$A$1:$I$89,3,0)*0.475*44/12</f>
        <v>1.6535504344547993E-21</v>
      </c>
      <c r="AC178" s="22">
        <f t="shared" si="163"/>
        <v>0.71392969701384834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1.9895196601282805E-13</v>
      </c>
      <c r="AJ178" s="13">
        <f>AI178*VLOOKUP('Données projet'!$B$10,Paramètres!$A$1:$I$89,3,0)*VLOOKUP('Données projet'!$B$10,Paramètres!$A$1:$I$89,5,0)</f>
        <v>1.738044375088066E-13</v>
      </c>
      <c r="AK178" s="13">
        <f t="shared" si="164"/>
        <v>2.4483293633950478E-12</v>
      </c>
      <c r="AL178" s="20">
        <f t="shared" si="165"/>
        <v>4.566883036574213E-12</v>
      </c>
      <c r="AM178" s="59">
        <f t="shared" si="113"/>
        <v>293.33333333333786</v>
      </c>
      <c r="AN178" s="59">
        <f ca="1">AVERAGE(OFFSET($AM$3,0,0,'Données projet'!$E$10+1,1))-AVERAGE(OFFSET($H$3,0,0,'Données projet'!$E$10+1,1))</f>
        <v>321.23599968992932</v>
      </c>
      <c r="AO178" s="59">
        <f t="shared" si="144"/>
        <v>388.05195847800502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0.38346683316707497</v>
      </c>
      <c r="AV178" s="21">
        <f>EXP(-LN(2)/25)*AV177+(1-EXP(-LN(2)/25))/(LN(2)/25)*Calculateur!AQ178*Calculateur!AS178*VLOOKUP('Données projet'!$B$10,Paramètres!$A$1:$I$89,3,0)*0.475*44/12</f>
        <v>0.27464775147337112</v>
      </c>
      <c r="AW178" s="21">
        <f>EXP(-LN(2)/2)*AW177+(1-EXP(-LN(2)/2))/(LN(2)/2)*AQ178*AT178*VLOOKUP('Données projet'!$B$10,Paramètres!$A$1:$I$89,3,0)*0.475*44/12</f>
        <v>2.5337229360471355E-21</v>
      </c>
      <c r="AX178" s="21">
        <f t="shared" si="166"/>
        <v>0.65811458464044614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1.1368683772161603E-13</v>
      </c>
      <c r="BE178" s="13">
        <f>BD178*VLOOKUP('Données projet'!$B$11,Paramètres!$A$1:$I$89,3,0)*VLOOKUP('Données projet'!$B$11,Paramètres!$A$1:$I$89,5,0)</f>
        <v>6.7984728957526396E-14</v>
      </c>
      <c r="BF178" s="13">
        <f t="shared" si="167"/>
        <v>1.0682447123141398E-12</v>
      </c>
      <c r="BG178" s="20">
        <f t="shared" si="168"/>
        <v>1.978932943548152E-12</v>
      </c>
      <c r="BH178" s="59">
        <f t="shared" si="116"/>
        <v>293.3333333333353</v>
      </c>
      <c r="BI178" s="59">
        <f ca="1">AVERAGE(OFFSET($BH$3,0,0,'Données projet'!$E$11+1,1))-AVERAGE(OFFSET($H$3,0,0,'Données projet'!$E$11+1,1))</f>
        <v>258.31845364515124</v>
      </c>
      <c r="BJ178" s="59">
        <f t="shared" si="146"/>
        <v>280.26155987300996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0.64977690118446618</v>
      </c>
      <c r="BQ178" s="21">
        <f>EXP(-LN(2)/25)*BQ177+(1-EXP(-LN(2)/25))/(LN(2)/25)*Calculateur!BL178*Calculateur!BN178*VLOOKUP('Données projet'!$B$11,Paramètres!$A$1:$I$89,3,0)*0.475*44/12</f>
        <v>0.16920130193354671</v>
      </c>
      <c r="BR178" s="21">
        <f>EXP(-LN(2)/2)*BR177+(1-EXP(-LN(2)/2))/(LN(2)/2)*BL178*BO178*VLOOKUP('Données projet'!$B$11,Paramètres!$A$1:$I$89,3,0)*0.475*44/12</f>
        <v>6.7815238178188107E-22</v>
      </c>
      <c r="BS178" s="22">
        <f t="shared" si="169"/>
        <v>0.81897820311801284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-5.6843418860808015E-14</v>
      </c>
      <c r="BZ178" s="13">
        <f>BY178*VLOOKUP('Données projet'!$B$12,Paramètres!$A$1:$I$89,3,0)*VLOOKUP('Données projet'!$B$12,Paramètres!$A$1:$I$89,5,0)</f>
        <v>-5.1431925385259088E-14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366.86025470473652</v>
      </c>
      <c r="CE178" s="59">
        <f t="shared" si="148"/>
        <v>513.80016421153414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0.14575267168557191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5.5432892876500218E-22</v>
      </c>
      <c r="CN178" s="22">
        <f t="shared" si="172"/>
        <v>0.14575267168557191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-5.6843418860808015E-14</v>
      </c>
      <c r="CU178" s="17">
        <f>CT178*VLOOKUP('Données projet'!$B$13,Paramètres!$A$1:$I$89,3,0)*VLOOKUP('Données projet'!$B$13,Paramètres!$A$1:$I$89,5,0)</f>
        <v>-3.1036506698001178E-14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207.02306964567629</v>
      </c>
      <c r="CZ178" s="59">
        <f t="shared" si="150"/>
        <v>342.06887933351783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0.37393108503325834</v>
      </c>
      <c r="DG178" s="21">
        <f>EXP(-LN(2)/25)*DG177+(1-EXP(-LN(2)/25))/(LN(2)/25)*Calculateur!DB178*Calculateur!DD178*VLOOKUP('Données projet'!$B$13,Paramètres!$A$1:$I$89,3,0)*0.475*44/12</f>
        <v>0.69854597060032653</v>
      </c>
      <c r="DH178" s="21">
        <f>EXP(-LN(2)/2)*DH177+(1-EXP(-LN(2)/2))/(LN(2)/2)*DB178*DE178*VLOOKUP('Données projet'!$B$13,Paramètres!$A$1:$I$89,3,0)*0.475*44/12</f>
        <v>1.9875993314854994E-21</v>
      </c>
      <c r="DI178" s="22">
        <f t="shared" si="175"/>
        <v>1.072477055633585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7">
        <f t="shared" si="110"/>
        <v>256.66666666666669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-1.1368683772161603E-13</v>
      </c>
      <c r="O179" s="13">
        <f>N179*VLOOKUP('Données projet'!$B$9,Paramètres!$A$1:$I$89,3,0)*VLOOKUP('Données projet'!$B$9,Paramètres!$A$1:$I$89,5,0)</f>
        <v>-5.3205440053716299E-14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319.22903094674564</v>
      </c>
      <c r="T179" s="59">
        <f t="shared" si="142"/>
        <v>254.58690973142848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0.50370627354004105</v>
      </c>
      <c r="AA179" s="21">
        <f>EXP(-LN(2)/25)*AA178+(1-EXP(-LN(2)/25))/(LN(2)/25)*Calculateur!V179*Calculateur!X179*VLOOKUP('Données projet'!$B$9,Paramètres!$A$1:$I$89,3,0)*0.475*44/12</f>
        <v>0.19467541641613106</v>
      </c>
      <c r="AB179" s="21">
        <f>EXP(-LN(2)/2)*AB178+(1-EXP(-LN(2)/2))/(LN(2)/2)*V179*Y179*VLOOKUP('Données projet'!$B$9,Paramètres!$A$1:$I$89,3,0)*0.475*44/12</f>
        <v>1.1692367252369504E-21</v>
      </c>
      <c r="AC179" s="22">
        <f t="shared" si="163"/>
        <v>0.69838168995617211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1.9895196601282805E-13</v>
      </c>
      <c r="AJ179" s="13">
        <f>AI179*VLOOKUP('Données projet'!$B$10,Paramètres!$A$1:$I$89,3,0)*VLOOKUP('Données projet'!$B$10,Paramètres!$A$1:$I$89,5,0)</f>
        <v>1.738044375088066E-13</v>
      </c>
      <c r="AK179" s="13">
        <f t="shared" si="164"/>
        <v>2.4483293633950478E-12</v>
      </c>
      <c r="AL179" s="20">
        <f t="shared" si="165"/>
        <v>4.566883036574213E-12</v>
      </c>
      <c r="AM179" s="59">
        <f t="shared" si="113"/>
        <v>293.33333333333786</v>
      </c>
      <c r="AN179" s="59">
        <f ca="1">AVERAGE(OFFSET($AM$3,0,0,'Données projet'!$E$10+1,1))-AVERAGE(OFFSET($H$3,0,0,'Données projet'!$E$10+1,1))</f>
        <v>321.23599968992932</v>
      </c>
      <c r="AO179" s="59">
        <f t="shared" si="144"/>
        <v>388.05195847800502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0.37594728246034198</v>
      </c>
      <c r="AV179" s="21">
        <f>EXP(-LN(2)/25)*AV178+(1-EXP(-LN(2)/25))/(LN(2)/25)*Calculateur!AQ179*Calculateur!AS179*VLOOKUP('Données projet'!$B$10,Paramètres!$A$1:$I$89,3,0)*0.475*44/12</f>
        <v>0.26713749426623423</v>
      </c>
      <c r="AW179" s="21">
        <f>EXP(-LN(2)/2)*AW178+(1-EXP(-LN(2)/2))/(LN(2)/2)*AQ179*AT179*VLOOKUP('Données projet'!$B$10,Paramètres!$A$1:$I$89,3,0)*0.475*44/12</f>
        <v>1.7916126697268186E-21</v>
      </c>
      <c r="AX179" s="21">
        <f t="shared" si="166"/>
        <v>0.64308477672657616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1.1368683772161603E-13</v>
      </c>
      <c r="BE179" s="13">
        <f>BD179*VLOOKUP('Données projet'!$B$11,Paramètres!$A$1:$I$89,3,0)*VLOOKUP('Données projet'!$B$11,Paramètres!$A$1:$I$89,5,0)</f>
        <v>6.7984728957526396E-14</v>
      </c>
      <c r="BF179" s="13">
        <f t="shared" si="167"/>
        <v>1.0682447123141398E-12</v>
      </c>
      <c r="BG179" s="20">
        <f t="shared" si="168"/>
        <v>1.978932943548152E-12</v>
      </c>
      <c r="BH179" s="59">
        <f t="shared" si="116"/>
        <v>293.3333333333353</v>
      </c>
      <c r="BI179" s="59">
        <f ca="1">AVERAGE(OFFSET($BH$3,0,0,'Données projet'!$E$11+1,1))-AVERAGE(OFFSET($H$3,0,0,'Données projet'!$E$11+1,1))</f>
        <v>258.31845364515124</v>
      </c>
      <c r="BJ179" s="59">
        <f t="shared" si="146"/>
        <v>280.26155987300996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0.63703517247701469</v>
      </c>
      <c r="BQ179" s="21">
        <f>EXP(-LN(2)/25)*BQ178+(1-EXP(-LN(2)/25))/(LN(2)/25)*Calculateur!BL179*Calculateur!BN179*VLOOKUP('Données projet'!$B$11,Paramètres!$A$1:$I$89,3,0)*0.475*44/12</f>
        <v>0.16457448343426412</v>
      </c>
      <c r="BR179" s="21">
        <f>EXP(-LN(2)/2)*BR178+(1-EXP(-LN(2)/2))/(LN(2)/2)*BL179*BO179*VLOOKUP('Données projet'!$B$11,Paramètres!$A$1:$I$89,3,0)*0.475*44/12</f>
        <v>4.7952614783577662E-22</v>
      </c>
      <c r="BS179" s="22">
        <f t="shared" si="169"/>
        <v>0.80160965591127886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-5.6843418860808015E-14</v>
      </c>
      <c r="BZ179" s="13">
        <f>BY179*VLOOKUP('Données projet'!$B$12,Paramètres!$A$1:$I$89,3,0)*VLOOKUP('Données projet'!$B$12,Paramètres!$A$1:$I$89,5,0)</f>
        <v>-5.1431925385259088E-14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366.86025470473652</v>
      </c>
      <c r="CE179" s="59">
        <f t="shared" si="148"/>
        <v>513.80016421153414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0.1428945506941694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3.9196974453760769E-22</v>
      </c>
      <c r="CN179" s="22">
        <f t="shared" si="172"/>
        <v>0.1428945506941694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-5.6843418860808015E-14</v>
      </c>
      <c r="CU179" s="17">
        <f>CT179*VLOOKUP('Données projet'!$B$13,Paramètres!$A$1:$I$89,3,0)*VLOOKUP('Données projet'!$B$13,Paramètres!$A$1:$I$89,5,0)</f>
        <v>-3.1036506698001178E-14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207.02306964567629</v>
      </c>
      <c r="CZ179" s="59">
        <f t="shared" si="150"/>
        <v>342.06887933351783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0.36659852453119746</v>
      </c>
      <c r="DG179" s="21">
        <f>EXP(-LN(2)/25)*DG178+(1-EXP(-LN(2)/25))/(LN(2)/25)*Calculateur!DB179*Calculateur!DD179*VLOOKUP('Données projet'!$B$13,Paramètres!$A$1:$I$89,3,0)*0.475*44/12</f>
        <v>0.67944419429932457</v>
      </c>
      <c r="DH179" s="21">
        <f>EXP(-LN(2)/2)*DH178+(1-EXP(-LN(2)/2))/(LN(2)/2)*DB179*DE179*VLOOKUP('Données projet'!$B$13,Paramètres!$A$1:$I$89,3,0)*0.475*44/12</f>
        <v>1.4054449655752452E-21</v>
      </c>
      <c r="DI179" s="22">
        <f t="shared" si="175"/>
        <v>1.0460427188305221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7">
        <f t="shared" si="110"/>
        <v>256.66666666666669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-1.1368683772161603E-13</v>
      </c>
      <c r="O180" s="13">
        <f>N180*VLOOKUP('Données projet'!$B$9,Paramètres!$A$1:$I$89,3,0)*VLOOKUP('Données projet'!$B$9,Paramètres!$A$1:$I$89,5,0)</f>
        <v>-5.3205440053716299E-14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319.22903094674564</v>
      </c>
      <c r="T180" s="59">
        <f t="shared" si="142"/>
        <v>254.58690973142848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0.49382890074641123</v>
      </c>
      <c r="AA180" s="21">
        <f>EXP(-LN(2)/25)*AA179+(1-EXP(-LN(2)/25))/(LN(2)/25)*Calculateur!V180*Calculateur!X180*VLOOKUP('Données projet'!$B$9,Paramètres!$A$1:$I$89,3,0)*0.475*44/12</f>
        <v>0.18935200691669674</v>
      </c>
      <c r="AB180" s="21">
        <f>EXP(-LN(2)/2)*AB179+(1-EXP(-LN(2)/2))/(LN(2)/2)*V180*Y180*VLOOKUP('Données projet'!$B$9,Paramètres!$A$1:$I$89,3,0)*0.475*44/12</f>
        <v>8.2677521722739973E-22</v>
      </c>
      <c r="AC180" s="22">
        <f t="shared" si="163"/>
        <v>0.68318090766310791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1.9895196601282805E-13</v>
      </c>
      <c r="AJ180" s="13">
        <f>AI180*VLOOKUP('Données projet'!$B$10,Paramètres!$A$1:$I$89,3,0)*VLOOKUP('Données projet'!$B$10,Paramètres!$A$1:$I$89,5,0)</f>
        <v>1.738044375088066E-13</v>
      </c>
      <c r="AK180" s="13">
        <f t="shared" si="164"/>
        <v>2.4483293633950478E-12</v>
      </c>
      <c r="AL180" s="20">
        <f t="shared" si="165"/>
        <v>4.566883036574213E-12</v>
      </c>
      <c r="AM180" s="59">
        <f t="shared" si="113"/>
        <v>293.33333333333786</v>
      </c>
      <c r="AN180" s="59">
        <f ca="1">AVERAGE(OFFSET($AM$3,0,0,'Données projet'!$E$10+1,1))-AVERAGE(OFFSET($H$3,0,0,'Données projet'!$E$10+1,1))</f>
        <v>321.23599968992932</v>
      </c>
      <c r="AO180" s="59">
        <f t="shared" si="144"/>
        <v>388.05195847800502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0.36857518555649499</v>
      </c>
      <c r="AV180" s="21">
        <f>EXP(-LN(2)/25)*AV179+(1-EXP(-LN(2)/25))/(LN(2)/25)*Calculateur!AQ180*Calculateur!AS180*VLOOKUP('Données projet'!$B$10,Paramètres!$A$1:$I$89,3,0)*0.475*44/12</f>
        <v>0.2598326054373738</v>
      </c>
      <c r="AW180" s="21">
        <f>EXP(-LN(2)/2)*AW179+(1-EXP(-LN(2)/2))/(LN(2)/2)*AQ180*AT180*VLOOKUP('Données projet'!$B$10,Paramètres!$A$1:$I$89,3,0)*0.475*44/12</f>
        <v>1.2668614680235678E-21</v>
      </c>
      <c r="AX180" s="21">
        <f t="shared" si="166"/>
        <v>0.62840779099386879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1.1368683772161603E-13</v>
      </c>
      <c r="BE180" s="13">
        <f>BD180*VLOOKUP('Données projet'!$B$11,Paramètres!$A$1:$I$89,3,0)*VLOOKUP('Données projet'!$B$11,Paramètres!$A$1:$I$89,5,0)</f>
        <v>6.7984728957526396E-14</v>
      </c>
      <c r="BF180" s="13">
        <f t="shared" si="167"/>
        <v>1.0682447123141398E-12</v>
      </c>
      <c r="BG180" s="20">
        <f t="shared" si="168"/>
        <v>1.978932943548152E-12</v>
      </c>
      <c r="BH180" s="59">
        <f t="shared" si="116"/>
        <v>293.3333333333353</v>
      </c>
      <c r="BI180" s="59">
        <f ca="1">AVERAGE(OFFSET($BH$3,0,0,'Données projet'!$E$11+1,1))-AVERAGE(OFFSET($H$3,0,0,'Données projet'!$E$11+1,1))</f>
        <v>258.31845364515124</v>
      </c>
      <c r="BJ180" s="59">
        <f t="shared" si="146"/>
        <v>280.26155987300996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0.6245433012978292</v>
      </c>
      <c r="BQ180" s="21">
        <f>EXP(-LN(2)/25)*BQ179+(1-EXP(-LN(2)/25))/(LN(2)/25)*Calculateur!BL180*Calculateur!BN180*VLOOKUP('Données projet'!$B$11,Paramètres!$A$1:$I$89,3,0)*0.475*44/12</f>
        <v>0.16007418553015823</v>
      </c>
      <c r="BR180" s="21">
        <f>EXP(-LN(2)/2)*BR179+(1-EXP(-LN(2)/2))/(LN(2)/2)*BL180*BO180*VLOOKUP('Données projet'!$B$11,Paramètres!$A$1:$I$89,3,0)*0.475*44/12</f>
        <v>3.3907619089094054E-22</v>
      </c>
      <c r="BS180" s="22">
        <f t="shared" si="169"/>
        <v>0.78461748682798738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-5.6843418860808015E-14</v>
      </c>
      <c r="BZ180" s="13">
        <f>BY180*VLOOKUP('Données projet'!$B$12,Paramètres!$A$1:$I$89,3,0)*VLOOKUP('Données projet'!$B$12,Paramètres!$A$1:$I$89,5,0)</f>
        <v>-5.1431925385259088E-14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366.86025470473652</v>
      </c>
      <c r="CE180" s="59">
        <f t="shared" si="148"/>
        <v>513.80016421153414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0.1400924757121266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2.7716446438250109E-22</v>
      </c>
      <c r="CN180" s="22">
        <f t="shared" si="172"/>
        <v>0.1400924757121266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-5.6843418860808015E-14</v>
      </c>
      <c r="CU180" s="17">
        <f>CT180*VLOOKUP('Données projet'!$B$13,Paramètres!$A$1:$I$89,3,0)*VLOOKUP('Données projet'!$B$13,Paramètres!$A$1:$I$89,5,0)</f>
        <v>-3.1036506698001178E-14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207.02306964567629</v>
      </c>
      <c r="CZ180" s="59">
        <f t="shared" si="150"/>
        <v>342.06887933351783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0.3594097510681617</v>
      </c>
      <c r="DG180" s="21">
        <f>EXP(-LN(2)/25)*DG179+(1-EXP(-LN(2)/25))/(LN(2)/25)*Calculateur!DB180*Calculateur!DD180*VLOOKUP('Données projet'!$B$13,Paramètres!$A$1:$I$89,3,0)*0.475*44/12</f>
        <v>0.66086475707579229</v>
      </c>
      <c r="DH180" s="21">
        <f>EXP(-LN(2)/2)*DH179+(1-EXP(-LN(2)/2))/(LN(2)/2)*DB180*DE180*VLOOKUP('Données projet'!$B$13,Paramètres!$A$1:$I$89,3,0)*0.475*44/12</f>
        <v>9.937996657427497E-22</v>
      </c>
      <c r="DI180" s="22">
        <f t="shared" si="175"/>
        <v>1.0202745081439539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7">
        <f t="shared" si="110"/>
        <v>256.66666666666669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-1.1368683772161603E-13</v>
      </c>
      <c r="O181" s="13">
        <f>N181*VLOOKUP('Données projet'!$B$9,Paramètres!$A$1:$I$89,3,0)*VLOOKUP('Données projet'!$B$9,Paramètres!$A$1:$I$89,5,0)</f>
        <v>-5.3205440053716299E-14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319.22903094674564</v>
      </c>
      <c r="T181" s="59">
        <f t="shared" si="142"/>
        <v>254.58690973142848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0.48414521720866194</v>
      </c>
      <c r="AA181" s="21">
        <f>EXP(-LN(2)/25)*AA180+(1-EXP(-LN(2)/25))/(LN(2)/25)*Calculateur!V181*Calculateur!X181*VLOOKUP('Données projet'!$B$9,Paramètres!$A$1:$I$89,3,0)*0.475*44/12</f>
        <v>0.18417416632997038</v>
      </c>
      <c r="AB181" s="21">
        <f>EXP(-LN(2)/2)*AB180+(1-EXP(-LN(2)/2))/(LN(2)/2)*V181*Y181*VLOOKUP('Données projet'!$B$9,Paramètres!$A$1:$I$89,3,0)*0.475*44/12</f>
        <v>5.8461836261847531E-22</v>
      </c>
      <c r="AC181" s="22">
        <f t="shared" si="163"/>
        <v>0.66831938353863229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1.9895196601282805E-13</v>
      </c>
      <c r="AJ181" s="13">
        <f>AI181*VLOOKUP('Données projet'!$B$10,Paramètres!$A$1:$I$89,3,0)*VLOOKUP('Données projet'!$B$10,Paramètres!$A$1:$I$89,5,0)</f>
        <v>1.738044375088066E-13</v>
      </c>
      <c r="AK181" s="13">
        <f t="shared" si="164"/>
        <v>2.4483293633950478E-12</v>
      </c>
      <c r="AL181" s="20">
        <f t="shared" si="165"/>
        <v>4.566883036574213E-12</v>
      </c>
      <c r="AM181" s="59">
        <f t="shared" si="113"/>
        <v>293.33333333333786</v>
      </c>
      <c r="AN181" s="59">
        <f ca="1">AVERAGE(OFFSET($AM$3,0,0,'Données projet'!$E$10+1,1))-AVERAGE(OFFSET($H$3,0,0,'Données projet'!$E$10+1,1))</f>
        <v>321.23599968992932</v>
      </c>
      <c r="AO181" s="59">
        <f t="shared" si="144"/>
        <v>388.05195847800502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0.36134765097639732</v>
      </c>
      <c r="AV181" s="21">
        <f>EXP(-LN(2)/25)*AV180+(1-EXP(-LN(2)/25))/(LN(2)/25)*Calculateur!AQ181*Calculateur!AS181*VLOOKUP('Données projet'!$B$10,Paramètres!$A$1:$I$89,3,0)*0.475*44/12</f>
        <v>0.25272746917768596</v>
      </c>
      <c r="AW181" s="21">
        <f>EXP(-LN(2)/2)*AW180+(1-EXP(-LN(2)/2))/(LN(2)/2)*AQ181*AT181*VLOOKUP('Données projet'!$B$10,Paramètres!$A$1:$I$89,3,0)*0.475*44/12</f>
        <v>8.958063348634093E-22</v>
      </c>
      <c r="AX181" s="21">
        <f t="shared" si="166"/>
        <v>0.61407512015408328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1.1368683772161603E-13</v>
      </c>
      <c r="BE181" s="13">
        <f>BD181*VLOOKUP('Données projet'!$B$11,Paramètres!$A$1:$I$89,3,0)*VLOOKUP('Données projet'!$B$11,Paramètres!$A$1:$I$89,5,0)</f>
        <v>6.7984728957526396E-14</v>
      </c>
      <c r="BF181" s="13">
        <f t="shared" si="167"/>
        <v>1.0682447123141398E-12</v>
      </c>
      <c r="BG181" s="20">
        <f t="shared" si="168"/>
        <v>1.978932943548152E-12</v>
      </c>
      <c r="BH181" s="59">
        <f t="shared" si="116"/>
        <v>293.3333333333353</v>
      </c>
      <c r="BI181" s="59">
        <f ca="1">AVERAGE(OFFSET($BH$3,0,0,'Données projet'!$E$11+1,1))-AVERAGE(OFFSET($H$3,0,0,'Données projet'!$E$11+1,1))</f>
        <v>258.31845364515124</v>
      </c>
      <c r="BJ181" s="59">
        <f t="shared" si="146"/>
        <v>280.26155987300996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0.61229638809317843</v>
      </c>
      <c r="BQ181" s="21">
        <f>EXP(-LN(2)/25)*BQ180+(1-EXP(-LN(2)/25))/(LN(2)/25)*Calculateur!BL181*Calculateur!BN181*VLOOKUP('Données projet'!$B$11,Paramètres!$A$1:$I$89,3,0)*0.475*44/12</f>
        <v>0.15569694850890048</v>
      </c>
      <c r="BR181" s="21">
        <f>EXP(-LN(2)/2)*BR180+(1-EXP(-LN(2)/2))/(LN(2)/2)*BL181*BO181*VLOOKUP('Données projet'!$B$11,Paramètres!$A$1:$I$89,3,0)*0.475*44/12</f>
        <v>2.3976307391788831E-22</v>
      </c>
      <c r="BS181" s="22">
        <f t="shared" si="169"/>
        <v>0.76799333660207891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-5.6843418860808015E-14</v>
      </c>
      <c r="BZ181" s="13">
        <f>BY181*VLOOKUP('Données projet'!$B$12,Paramètres!$A$1:$I$89,3,0)*VLOOKUP('Données projet'!$B$12,Paramètres!$A$1:$I$89,5,0)</f>
        <v>-5.1431925385259088E-14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366.86025470473652</v>
      </c>
      <c r="CE181" s="59">
        <f t="shared" si="148"/>
        <v>513.80016421153414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0.13734534771138471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1.9598487226880385E-22</v>
      </c>
      <c r="CN181" s="22">
        <f t="shared" si="172"/>
        <v>0.13734534771138471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-5.6843418860808015E-14</v>
      </c>
      <c r="CU181" s="17">
        <f>CT181*VLOOKUP('Données projet'!$B$13,Paramètres!$A$1:$I$89,3,0)*VLOOKUP('Données projet'!$B$13,Paramètres!$A$1:$I$89,5,0)</f>
        <v>-3.1036506698001178E-14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207.02306964567629</v>
      </c>
      <c r="CZ181" s="59">
        <f t="shared" si="150"/>
        <v>342.06887933351783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0.35236194506801721</v>
      </c>
      <c r="DG181" s="21">
        <f>EXP(-LN(2)/25)*DG180+(1-EXP(-LN(2)/25))/(LN(2)/25)*Calculateur!DB181*Calculateur!DD181*VLOOKUP('Données projet'!$B$13,Paramètres!$A$1:$I$89,3,0)*0.475*44/12</f>
        <v>0.64279337554018756</v>
      </c>
      <c r="DH181" s="21">
        <f>EXP(-LN(2)/2)*DH180+(1-EXP(-LN(2)/2))/(LN(2)/2)*DB181*DE181*VLOOKUP('Données projet'!$B$13,Paramètres!$A$1:$I$89,3,0)*0.475*44/12</f>
        <v>7.027224827876226E-22</v>
      </c>
      <c r="DI181" s="22">
        <f t="shared" si="175"/>
        <v>0.99515532060820477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7">
        <f t="shared" si="110"/>
        <v>256.66666666666669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-1.1368683772161603E-13</v>
      </c>
      <c r="O182" s="13">
        <f>N182*VLOOKUP('Données projet'!$B$9,Paramètres!$A$1:$I$89,3,0)*VLOOKUP('Données projet'!$B$9,Paramètres!$A$1:$I$89,5,0)</f>
        <v>-5.3205440053716299E-14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319.22903094674564</v>
      </c>
      <c r="T182" s="59">
        <f t="shared" si="142"/>
        <v>254.58690973142848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0.47465142479862416</v>
      </c>
      <c r="AA182" s="21">
        <f>EXP(-LN(2)/25)*AA181+(1-EXP(-LN(2)/25))/(LN(2)/25)*Calculateur!V182*Calculateur!X182*VLOOKUP('Données projet'!$B$9,Paramètres!$A$1:$I$89,3,0)*0.475*44/12</f>
        <v>0.17913791406637888</v>
      </c>
      <c r="AB182" s="21">
        <f>EXP(-LN(2)/2)*AB181+(1-EXP(-LN(2)/2))/(LN(2)/2)*V182*Y182*VLOOKUP('Données projet'!$B$9,Paramètres!$A$1:$I$89,3,0)*0.475*44/12</f>
        <v>4.1338760861369996E-22</v>
      </c>
      <c r="AC182" s="22">
        <f t="shared" si="163"/>
        <v>0.65378933886500301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1.9895196601282805E-13</v>
      </c>
      <c r="AJ182" s="13">
        <f>AI182*VLOOKUP('Données projet'!$B$10,Paramètres!$A$1:$I$89,3,0)*VLOOKUP('Données projet'!$B$10,Paramètres!$A$1:$I$89,5,0)</f>
        <v>1.738044375088066E-13</v>
      </c>
      <c r="AK182" s="13">
        <f t="shared" si="164"/>
        <v>2.4483293633950478E-12</v>
      </c>
      <c r="AL182" s="20">
        <f t="shared" si="165"/>
        <v>4.566883036574213E-12</v>
      </c>
      <c r="AM182" s="59">
        <f t="shared" si="113"/>
        <v>293.33333333333786</v>
      </c>
      <c r="AN182" s="59">
        <f ca="1">AVERAGE(OFFSET($AM$3,0,0,'Données projet'!$E$10+1,1))-AVERAGE(OFFSET($H$3,0,0,'Données projet'!$E$10+1,1))</f>
        <v>321.23599968992932</v>
      </c>
      <c r="AO182" s="59">
        <f t="shared" si="144"/>
        <v>388.05195847800502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0.35426184394105453</v>
      </c>
      <c r="AV182" s="21">
        <f>EXP(-LN(2)/25)*AV181+(1-EXP(-LN(2)/25))/(LN(2)/25)*Calculateur!AQ182*Calculateur!AS182*VLOOKUP('Données projet'!$B$10,Paramètres!$A$1:$I$89,3,0)*0.475*44/12</f>
        <v>0.24581662324266215</v>
      </c>
      <c r="AW182" s="21">
        <f>EXP(-LN(2)/2)*AW181+(1-EXP(-LN(2)/2))/(LN(2)/2)*AQ182*AT182*VLOOKUP('Données projet'!$B$10,Paramètres!$A$1:$I$89,3,0)*0.475*44/12</f>
        <v>6.3343073401178388E-22</v>
      </c>
      <c r="AX182" s="21">
        <f t="shared" si="166"/>
        <v>0.60007846718371671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1.1368683772161603E-13</v>
      </c>
      <c r="BE182" s="13">
        <f>BD182*VLOOKUP('Données projet'!$B$11,Paramètres!$A$1:$I$89,3,0)*VLOOKUP('Données projet'!$B$11,Paramètres!$A$1:$I$89,5,0)</f>
        <v>6.7984728957526396E-14</v>
      </c>
      <c r="BF182" s="13">
        <f t="shared" si="167"/>
        <v>1.0682447123141398E-12</v>
      </c>
      <c r="BG182" s="20">
        <f t="shared" si="168"/>
        <v>1.978932943548152E-12</v>
      </c>
      <c r="BH182" s="59">
        <f t="shared" si="116"/>
        <v>293.3333333333353</v>
      </c>
      <c r="BI182" s="59">
        <f ca="1">AVERAGE(OFFSET($BH$3,0,0,'Données projet'!$E$11+1,1))-AVERAGE(OFFSET($H$3,0,0,'Données projet'!$E$11+1,1))</f>
        <v>258.31845364515124</v>
      </c>
      <c r="BJ182" s="59">
        <f t="shared" si="146"/>
        <v>280.26155987300996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0.60028962938659147</v>
      </c>
      <c r="BQ182" s="21">
        <f>EXP(-LN(2)/25)*BQ181+(1-EXP(-LN(2)/25))/(LN(2)/25)*Calculateur!BL182*Calculateur!BN182*VLOOKUP('Données projet'!$B$11,Paramètres!$A$1:$I$89,3,0)*0.475*44/12</f>
        <v>0.15143940726417793</v>
      </c>
      <c r="BR182" s="21">
        <f>EXP(-LN(2)/2)*BR181+(1-EXP(-LN(2)/2))/(LN(2)/2)*BL182*BO182*VLOOKUP('Données projet'!$B$11,Paramètres!$A$1:$I$89,3,0)*0.475*44/12</f>
        <v>1.6953809544547027E-22</v>
      </c>
      <c r="BS182" s="22">
        <f t="shared" si="169"/>
        <v>0.7517290366507694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-5.6843418860808015E-14</v>
      </c>
      <c r="BZ182" s="13">
        <f>BY182*VLOOKUP('Données projet'!$B$12,Paramètres!$A$1:$I$89,3,0)*VLOOKUP('Données projet'!$B$12,Paramètres!$A$1:$I$89,5,0)</f>
        <v>-5.1431925385259088E-14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366.86025470473652</v>
      </c>
      <c r="CE182" s="59">
        <f t="shared" si="148"/>
        <v>513.80016421153414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0.13465208921515473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1.3858223219125055E-22</v>
      </c>
      <c r="CN182" s="22">
        <f t="shared" si="172"/>
        <v>0.13465208921515473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-5.6843418860808015E-14</v>
      </c>
      <c r="CU182" s="17">
        <f>CT182*VLOOKUP('Données projet'!$B$13,Paramètres!$A$1:$I$89,3,0)*VLOOKUP('Données projet'!$B$13,Paramètres!$A$1:$I$89,5,0)</f>
        <v>-3.1036506698001178E-14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207.02306964567629</v>
      </c>
      <c r="CZ182" s="59">
        <f t="shared" si="150"/>
        <v>342.06887933351783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0.34545234224479832</v>
      </c>
      <c r="DG182" s="21">
        <f>EXP(-LN(2)/25)*DG181+(1-EXP(-LN(2)/25))/(LN(2)/25)*Calculateur!DB182*Calculateur!DD182*VLOOKUP('Données projet'!$B$13,Paramètres!$A$1:$I$89,3,0)*0.475*44/12</f>
        <v>0.62521615688300669</v>
      </c>
      <c r="DH182" s="21">
        <f>EXP(-LN(2)/2)*DH181+(1-EXP(-LN(2)/2))/(LN(2)/2)*DB182*DE182*VLOOKUP('Données projet'!$B$13,Paramètres!$A$1:$I$89,3,0)*0.475*44/12</f>
        <v>4.9689983287137485E-22</v>
      </c>
      <c r="DI182" s="22">
        <f t="shared" si="175"/>
        <v>0.97066849912780495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7">
        <f t="shared" si="110"/>
        <v>256.66666666666669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-1.1368683772161603E-13</v>
      </c>
      <c r="O183" s="13">
        <f>N183*VLOOKUP('Données projet'!$B$9,Paramètres!$A$1:$I$89,3,0)*VLOOKUP('Données projet'!$B$9,Paramètres!$A$1:$I$89,5,0)</f>
        <v>-5.3205440053716299E-14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319.22903094674564</v>
      </c>
      <c r="T183" s="59">
        <f t="shared" si="142"/>
        <v>254.58690973142848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0.46534379986710567</v>
      </c>
      <c r="AA183" s="21">
        <f>EXP(-LN(2)/25)*AA182+(1-EXP(-LN(2)/25))/(LN(2)/25)*Calculateur!V183*Calculateur!X183*VLOOKUP('Données projet'!$B$9,Paramètres!$A$1:$I$89,3,0)*0.475*44/12</f>
        <v>0.17423937838578027</v>
      </c>
      <c r="AB183" s="21">
        <f>EXP(-LN(2)/2)*AB182+(1-EXP(-LN(2)/2))/(LN(2)/2)*V183*Y183*VLOOKUP('Données projet'!$B$9,Paramètres!$A$1:$I$89,3,0)*0.475*44/12</f>
        <v>2.923091813092377E-22</v>
      </c>
      <c r="AC183" s="22">
        <f t="shared" si="163"/>
        <v>0.63958317825288591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1.9895196601282805E-13</v>
      </c>
      <c r="AJ183" s="13">
        <f>AI183*VLOOKUP('Données projet'!$B$10,Paramètres!$A$1:$I$89,3,0)*VLOOKUP('Données projet'!$B$10,Paramètres!$A$1:$I$89,5,0)</f>
        <v>1.738044375088066E-13</v>
      </c>
      <c r="AK183" s="13">
        <f t="shared" si="164"/>
        <v>2.4483293633950478E-12</v>
      </c>
      <c r="AL183" s="20">
        <f t="shared" si="165"/>
        <v>4.566883036574213E-12</v>
      </c>
      <c r="AM183" s="59">
        <f t="shared" si="113"/>
        <v>293.33333333333786</v>
      </c>
      <c r="AN183" s="59">
        <f ca="1">AVERAGE(OFFSET($AM$3,0,0,'Données projet'!$E$10+1,1))-AVERAGE(OFFSET($H$3,0,0,'Données projet'!$E$10+1,1))</f>
        <v>321.23599968992932</v>
      </c>
      <c r="AO183" s="59">
        <f t="shared" si="144"/>
        <v>388.05195847800502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0.34731498525975929</v>
      </c>
      <c r="AV183" s="21">
        <f>EXP(-LN(2)/25)*AV182+(1-EXP(-LN(2)/25))/(LN(2)/25)*Calculateur!AQ183*Calculateur!AS183*VLOOKUP('Données projet'!$B$10,Paramètres!$A$1:$I$89,3,0)*0.475*44/12</f>
        <v>0.23909475475315717</v>
      </c>
      <c r="AW183" s="21">
        <f>EXP(-LN(2)/2)*AW182+(1-EXP(-LN(2)/2))/(LN(2)/2)*AQ183*AT183*VLOOKUP('Données projet'!$B$10,Paramètres!$A$1:$I$89,3,0)*0.475*44/12</f>
        <v>4.4790316743170465E-22</v>
      </c>
      <c r="AX183" s="21">
        <f t="shared" si="166"/>
        <v>0.58640974001291646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1.1368683772161603E-13</v>
      </c>
      <c r="BE183" s="13">
        <f>BD183*VLOOKUP('Données projet'!$B$11,Paramètres!$A$1:$I$89,3,0)*VLOOKUP('Données projet'!$B$11,Paramètres!$A$1:$I$89,5,0)</f>
        <v>6.7984728957526396E-14</v>
      </c>
      <c r="BF183" s="13">
        <f t="shared" si="167"/>
        <v>1.0682447123141398E-12</v>
      </c>
      <c r="BG183" s="20">
        <f t="shared" si="168"/>
        <v>1.978932943548152E-12</v>
      </c>
      <c r="BH183" s="59">
        <f t="shared" si="116"/>
        <v>293.3333333333353</v>
      </c>
      <c r="BI183" s="59">
        <f ca="1">AVERAGE(OFFSET($BH$3,0,0,'Données projet'!$E$11+1,1))-AVERAGE(OFFSET($H$3,0,0,'Données projet'!$E$11+1,1))</f>
        <v>258.31845364515124</v>
      </c>
      <c r="BJ183" s="59">
        <f t="shared" si="146"/>
        <v>280.26155987300996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0.58851831589484094</v>
      </c>
      <c r="BQ183" s="21">
        <f>EXP(-LN(2)/25)*BQ182+(1-EXP(-LN(2)/25))/(LN(2)/25)*Calculateur!BL183*Calculateur!BN183*VLOOKUP('Données projet'!$B$11,Paramètres!$A$1:$I$89,3,0)*0.475*44/12</f>
        <v>0.14729828870868666</v>
      </c>
      <c r="BR183" s="21">
        <f>EXP(-LN(2)/2)*BR182+(1-EXP(-LN(2)/2))/(LN(2)/2)*BL183*BO183*VLOOKUP('Données projet'!$B$11,Paramètres!$A$1:$I$89,3,0)*0.475*44/12</f>
        <v>1.1988153695894415E-22</v>
      </c>
      <c r="BS183" s="22">
        <f t="shared" si="169"/>
        <v>0.7358166046035276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-5.6843418860808015E-14</v>
      </c>
      <c r="BZ183" s="13">
        <f>BY183*VLOOKUP('Données projet'!$B$12,Paramètres!$A$1:$I$89,3,0)*VLOOKUP('Données projet'!$B$12,Paramètres!$A$1:$I$89,5,0)</f>
        <v>-5.1431925385259088E-14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366.86025470473652</v>
      </c>
      <c r="CE183" s="59">
        <f t="shared" si="148"/>
        <v>513.80016421153414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0.13201164387531034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9.7992436134401923E-23</v>
      </c>
      <c r="CN183" s="22">
        <f t="shared" si="172"/>
        <v>0.13201164387531034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-5.6843418860808015E-14</v>
      </c>
      <c r="CU183" s="17">
        <f>CT183*VLOOKUP('Données projet'!$B$13,Paramètres!$A$1:$I$89,3,0)*VLOOKUP('Données projet'!$B$13,Paramètres!$A$1:$I$89,5,0)</f>
        <v>-3.1036506698001178E-14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207.02306964567629</v>
      </c>
      <c r="CZ183" s="59">
        <f t="shared" si="150"/>
        <v>342.06887933351783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0.33867823251850121</v>
      </c>
      <c r="DG183" s="21">
        <f>EXP(-LN(2)/25)*DG182+(1-EXP(-LN(2)/25))/(LN(2)/25)*Calculateur!DB183*Calculateur!DD183*VLOOKUP('Données projet'!$B$13,Paramètres!$A$1:$I$89,3,0)*0.475*44/12</f>
        <v>0.60811958819435208</v>
      </c>
      <c r="DH183" s="21">
        <f>EXP(-LN(2)/2)*DH182+(1-EXP(-LN(2)/2))/(LN(2)/2)*DB183*DE183*VLOOKUP('Données projet'!$B$13,Paramètres!$A$1:$I$89,3,0)*0.475*44/12</f>
        <v>3.513612413938113E-22</v>
      </c>
      <c r="DI183" s="22">
        <f t="shared" si="175"/>
        <v>0.94679782071285334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7">
        <f t="shared" si="110"/>
        <v>256.66666666666669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-1.1368683772161603E-13</v>
      </c>
      <c r="O184" s="13">
        <f>N184*VLOOKUP('Données projet'!$B$9,Paramètres!$A$1:$I$89,3,0)*VLOOKUP('Données projet'!$B$9,Paramètres!$A$1:$I$89,5,0)</f>
        <v>-5.3205440053716299E-14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319.22903094674564</v>
      </c>
      <c r="T184" s="59">
        <f t="shared" si="142"/>
        <v>254.58690973142848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0.45621869178340357</v>
      </c>
      <c r="AA184" s="21">
        <f>EXP(-LN(2)/25)*AA183+(1-EXP(-LN(2)/25))/(LN(2)/25)*Calculateur!V184*Calculateur!X184*VLOOKUP('Données projet'!$B$9,Paramètres!$A$1:$I$89,3,0)*0.475*44/12</f>
        <v>0.16947479342097044</v>
      </c>
      <c r="AB184" s="21">
        <f>EXP(-LN(2)/2)*AB183+(1-EXP(-LN(2)/2))/(LN(2)/2)*V184*Y184*VLOOKUP('Données projet'!$B$9,Paramètres!$A$1:$I$89,3,0)*0.475*44/12</f>
        <v>2.0669380430685E-22</v>
      </c>
      <c r="AC184" s="22">
        <f t="shared" si="163"/>
        <v>0.62569348520437407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1.9895196601282805E-13</v>
      </c>
      <c r="AJ184" s="13">
        <f>AI184*VLOOKUP('Données projet'!$B$10,Paramètres!$A$1:$I$89,3,0)*VLOOKUP('Données projet'!$B$10,Paramètres!$A$1:$I$89,5,0)</f>
        <v>1.738044375088066E-13</v>
      </c>
      <c r="AK184" s="13">
        <f t="shared" si="164"/>
        <v>2.4483293633950478E-12</v>
      </c>
      <c r="AL184" s="20">
        <f t="shared" si="165"/>
        <v>4.566883036574213E-12</v>
      </c>
      <c r="AM184" s="59">
        <f t="shared" si="113"/>
        <v>293.33333333333786</v>
      </c>
      <c r="AN184" s="59">
        <f ca="1">AVERAGE(OFFSET($AM$3,0,0,'Données projet'!$E$10+1,1))-AVERAGE(OFFSET($H$3,0,0,'Données projet'!$E$10+1,1))</f>
        <v>321.23599968992932</v>
      </c>
      <c r="AO184" s="59">
        <f t="shared" si="144"/>
        <v>388.05195847800502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0.34050435024003883</v>
      </c>
      <c r="AV184" s="21">
        <f>EXP(-LN(2)/25)*AV183+(1-EXP(-LN(2)/25))/(LN(2)/25)*Calculateur!AQ184*Calculateur!AS184*VLOOKUP('Données projet'!$B$10,Paramètres!$A$1:$I$89,3,0)*0.475*44/12</f>
        <v>0.23255669611098539</v>
      </c>
      <c r="AW184" s="21">
        <f>EXP(-LN(2)/2)*AW183+(1-EXP(-LN(2)/2))/(LN(2)/2)*AQ184*AT184*VLOOKUP('Données projet'!$B$10,Paramètres!$A$1:$I$89,3,0)*0.475*44/12</f>
        <v>3.1671536700589194E-22</v>
      </c>
      <c r="AX184" s="21">
        <f t="shared" si="166"/>
        <v>0.57306104635102417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1.1368683772161603E-13</v>
      </c>
      <c r="BE184" s="13">
        <f>BD184*VLOOKUP('Données projet'!$B$11,Paramètres!$A$1:$I$89,3,0)*VLOOKUP('Données projet'!$B$11,Paramètres!$A$1:$I$89,5,0)</f>
        <v>6.7984728957526396E-14</v>
      </c>
      <c r="BF184" s="13">
        <f t="shared" si="167"/>
        <v>1.0682447123141398E-12</v>
      </c>
      <c r="BG184" s="20">
        <f t="shared" si="168"/>
        <v>1.978932943548152E-12</v>
      </c>
      <c r="BH184" s="59">
        <f t="shared" si="116"/>
        <v>293.3333333333353</v>
      </c>
      <c r="BI184" s="59">
        <f ca="1">AVERAGE(OFFSET($BH$3,0,0,'Données projet'!$E$11+1,1))-AVERAGE(OFFSET($H$3,0,0,'Données projet'!$E$11+1,1))</f>
        <v>258.31845364515124</v>
      </c>
      <c r="BJ184" s="59">
        <f t="shared" si="146"/>
        <v>280.26155987300996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0.57697783068087138</v>
      </c>
      <c r="BQ184" s="21">
        <f>EXP(-LN(2)/25)*BQ183+(1-EXP(-LN(2)/25))/(LN(2)/25)*Calculateur!BL184*Calculateur!BN184*VLOOKUP('Données projet'!$B$11,Paramètres!$A$1:$I$89,3,0)*0.475*44/12</f>
        <v>0.14327040925786727</v>
      </c>
      <c r="BR184" s="21">
        <f>EXP(-LN(2)/2)*BR183+(1-EXP(-LN(2)/2))/(LN(2)/2)*BL184*BO184*VLOOKUP('Données projet'!$B$11,Paramètres!$A$1:$I$89,3,0)*0.475*44/12</f>
        <v>8.4769047722735134E-23</v>
      </c>
      <c r="BS184" s="22">
        <f t="shared" si="169"/>
        <v>0.72024823993873865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-5.6843418860808015E-14</v>
      </c>
      <c r="BZ184" s="13">
        <f>BY184*VLOOKUP('Données projet'!$B$12,Paramètres!$A$1:$I$89,3,0)*VLOOKUP('Données projet'!$B$12,Paramètres!$A$1:$I$89,5,0)</f>
        <v>-5.1431925385259088E-14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366.86025470473652</v>
      </c>
      <c r="CE184" s="59">
        <f t="shared" si="148"/>
        <v>513.80016421153414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0.12942297605806766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6.9291116095625273E-23</v>
      </c>
      <c r="CN184" s="22">
        <f t="shared" si="172"/>
        <v>0.12942297605806766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-5.6843418860808015E-14</v>
      </c>
      <c r="CU184" s="17">
        <f>CT184*VLOOKUP('Données projet'!$B$13,Paramètres!$A$1:$I$89,3,0)*VLOOKUP('Données projet'!$B$13,Paramètres!$A$1:$I$89,5,0)</f>
        <v>-3.1036506698001178E-14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207.02306964567629</v>
      </c>
      <c r="CZ184" s="59">
        <f t="shared" si="150"/>
        <v>342.06887933351783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0.33203695895213781</v>
      </c>
      <c r="DG184" s="21">
        <f>EXP(-LN(2)/25)*DG183+(1-EXP(-LN(2)/25))/(LN(2)/25)*Calculateur!DB184*Calculateur!DD184*VLOOKUP('Données projet'!$B$13,Paramètres!$A$1:$I$89,3,0)*0.475*44/12</f>
        <v>0.5914905260755583</v>
      </c>
      <c r="DH184" s="21">
        <f>EXP(-LN(2)/2)*DH183+(1-EXP(-LN(2)/2))/(LN(2)/2)*DB184*DE184*VLOOKUP('Données projet'!$B$13,Paramètres!$A$1:$I$89,3,0)*0.475*44/12</f>
        <v>2.4844991643568742E-22</v>
      </c>
      <c r="DI184" s="22">
        <f t="shared" si="175"/>
        <v>0.9235274850276961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7">
        <f t="shared" si="110"/>
        <v>256.66666666666669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-1.1368683772161603E-13</v>
      </c>
      <c r="O185" s="13">
        <f>N185*VLOOKUP('Données projet'!$B$9,Paramètres!$A$1:$I$89,3,0)*VLOOKUP('Données projet'!$B$9,Paramètres!$A$1:$I$89,5,0)</f>
        <v>-5.3205440053716299E-14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319.22903094674564</v>
      </c>
      <c r="T185" s="59">
        <f t="shared" si="142"/>
        <v>254.58690973142848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0.44727252150345653</v>
      </c>
      <c r="AA185" s="21">
        <f>EXP(-LN(2)/25)*AA184+(1-EXP(-LN(2)/25))/(LN(2)/25)*Calculateur!V185*Calculateur!X185*VLOOKUP('Données projet'!$B$9,Paramètres!$A$1:$I$89,3,0)*0.475*44/12</f>
        <v>0.16484049628258196</v>
      </c>
      <c r="AB185" s="21">
        <f>EXP(-LN(2)/2)*AB184+(1-EXP(-LN(2)/2))/(LN(2)/2)*V185*Y185*VLOOKUP('Données projet'!$B$9,Paramètres!$A$1:$I$89,3,0)*0.475*44/12</f>
        <v>1.4615459065461888E-22</v>
      </c>
      <c r="AC185" s="22">
        <f t="shared" si="163"/>
        <v>0.61211301778603855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1.9895196601282805E-13</v>
      </c>
      <c r="AJ185" s="13">
        <f>AI185*VLOOKUP('Données projet'!$B$10,Paramètres!$A$1:$I$89,3,0)*VLOOKUP('Données projet'!$B$10,Paramètres!$A$1:$I$89,5,0)</f>
        <v>1.738044375088066E-13</v>
      </c>
      <c r="AK185" s="13">
        <f t="shared" si="164"/>
        <v>2.4483293633950478E-12</v>
      </c>
      <c r="AL185" s="20">
        <f t="shared" si="165"/>
        <v>4.566883036574213E-12</v>
      </c>
      <c r="AM185" s="59">
        <f t="shared" si="113"/>
        <v>293.33333333333786</v>
      </c>
      <c r="AN185" s="59">
        <f ca="1">AVERAGE(OFFSET($AM$3,0,0,'Données projet'!$E$10+1,1))-AVERAGE(OFFSET($H$3,0,0,'Données projet'!$E$10+1,1))</f>
        <v>321.23599968992932</v>
      </c>
      <c r="AO185" s="59">
        <f t="shared" si="144"/>
        <v>388.05195847800502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0.33382726761897791</v>
      </c>
      <c r="AV185" s="21">
        <f>EXP(-LN(2)/25)*AV184+(1-EXP(-LN(2)/25))/(LN(2)/25)*Calculateur!AQ185*Calculateur!AS185*VLOOKUP('Données projet'!$B$10,Paramètres!$A$1:$I$89,3,0)*0.475*44/12</f>
        <v>0.22619742102620535</v>
      </c>
      <c r="AW185" s="21">
        <f>EXP(-LN(2)/2)*AW184+(1-EXP(-LN(2)/2))/(LN(2)/2)*AQ185*AT185*VLOOKUP('Données projet'!$B$10,Paramètres!$A$1:$I$89,3,0)*0.475*44/12</f>
        <v>2.2395158371585232E-22</v>
      </c>
      <c r="AX185" s="21">
        <f t="shared" si="166"/>
        <v>0.56002468864518329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1.1368683772161603E-13</v>
      </c>
      <c r="BE185" s="13">
        <f>BD185*VLOOKUP('Données projet'!$B$11,Paramètres!$A$1:$I$89,3,0)*VLOOKUP('Données projet'!$B$11,Paramètres!$A$1:$I$89,5,0)</f>
        <v>6.7984728957526396E-14</v>
      </c>
      <c r="BF185" s="13">
        <f t="shared" si="167"/>
        <v>1.0682447123141398E-12</v>
      </c>
      <c r="BG185" s="20">
        <f t="shared" si="168"/>
        <v>1.978932943548152E-12</v>
      </c>
      <c r="BH185" s="59">
        <f t="shared" si="116"/>
        <v>293.3333333333353</v>
      </c>
      <c r="BI185" s="59">
        <f ca="1">AVERAGE(OFFSET($BH$3,0,0,'Données projet'!$E$11+1,1))-AVERAGE(OFFSET($H$3,0,0,'Données projet'!$E$11+1,1))</f>
        <v>258.31845364515124</v>
      </c>
      <c r="BJ185" s="59">
        <f t="shared" si="146"/>
        <v>280.26155987300996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0.56566364734294683</v>
      </c>
      <c r="BQ185" s="21">
        <f>EXP(-LN(2)/25)*BQ184+(1-EXP(-LN(2)/25))/(LN(2)/25)*Calculateur!BL185*Calculateur!BN185*VLOOKUP('Données projet'!$B$11,Paramètres!$A$1:$I$89,3,0)*0.475*44/12</f>
        <v>0.13935267238244753</v>
      </c>
      <c r="BR185" s="21">
        <f>EXP(-LN(2)/2)*BR184+(1-EXP(-LN(2)/2))/(LN(2)/2)*BL185*BO185*VLOOKUP('Données projet'!$B$11,Paramètres!$A$1:$I$89,3,0)*0.475*44/12</f>
        <v>5.9940768479472077E-23</v>
      </c>
      <c r="BS185" s="22">
        <f t="shared" si="169"/>
        <v>0.70501631972539436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-5.6843418860808015E-14</v>
      </c>
      <c r="BZ185" s="13">
        <f>BY185*VLOOKUP('Données projet'!$B$12,Paramètres!$A$1:$I$89,3,0)*VLOOKUP('Données projet'!$B$12,Paramètres!$A$1:$I$89,5,0)</f>
        <v>-5.1431925385259088E-14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366.86025470473652</v>
      </c>
      <c r="CE185" s="59">
        <f t="shared" si="148"/>
        <v>513.80016421153414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0.12688507043778965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4.8996218067200962E-23</v>
      </c>
      <c r="CN185" s="22">
        <f t="shared" si="172"/>
        <v>0.12688507043778965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-5.6843418860808015E-14</v>
      </c>
      <c r="CU185" s="17">
        <f>CT185*VLOOKUP('Données projet'!$B$13,Paramètres!$A$1:$I$89,3,0)*VLOOKUP('Données projet'!$B$13,Paramètres!$A$1:$I$89,5,0)</f>
        <v>-3.1036506698001178E-14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207.02306964567629</v>
      </c>
      <c r="CZ185" s="59">
        <f t="shared" si="150"/>
        <v>342.06887933351783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0.32552591670963388</v>
      </c>
      <c r="DG185" s="21">
        <f>EXP(-LN(2)/25)*DG184+(1-EXP(-LN(2)/25))/(LN(2)/25)*Calculateur!DB185*Calculateur!DD185*VLOOKUP('Données projet'!$B$13,Paramètres!$A$1:$I$89,3,0)*0.475*44/12</f>
        <v>0.57531618653488725</v>
      </c>
      <c r="DH185" s="21">
        <f>EXP(-LN(2)/2)*DH184+(1-EXP(-LN(2)/2))/(LN(2)/2)*DB185*DE185*VLOOKUP('Données projet'!$B$13,Paramètres!$A$1:$I$89,3,0)*0.475*44/12</f>
        <v>1.7568062069690565E-22</v>
      </c>
      <c r="DI185" s="22">
        <f t="shared" si="175"/>
        <v>0.90084210324452108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7">
        <f t="shared" si="110"/>
        <v>256.66666666666669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-1.1368683772161603E-13</v>
      </c>
      <c r="O186" s="13">
        <f>N186*VLOOKUP('Données projet'!$B$9,Paramètres!$A$1:$I$89,3,0)*VLOOKUP('Données projet'!$B$9,Paramètres!$A$1:$I$89,5,0)</f>
        <v>-5.3205440053716299E-14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319.22903094674564</v>
      </c>
      <c r="T186" s="59">
        <f t="shared" si="142"/>
        <v>254.58690973142848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0.43850178016607416</v>
      </c>
      <c r="AA186" s="21">
        <f>EXP(-LN(2)/25)*AA185+(1-EXP(-LN(2)/25))/(LN(2)/25)*Calculateur!V186*Calculateur!X186*VLOOKUP('Données projet'!$B$9,Paramètres!$A$1:$I$89,3,0)*0.475*44/12</f>
        <v>0.16033292424314979</v>
      </c>
      <c r="AB186" s="21">
        <f>EXP(-LN(2)/2)*AB185+(1-EXP(-LN(2)/2))/(LN(2)/2)*V186*Y186*VLOOKUP('Données projet'!$B$9,Paramètres!$A$1:$I$89,3,0)*0.475*44/12</f>
        <v>1.0334690215342503E-22</v>
      </c>
      <c r="AC186" s="22">
        <f t="shared" si="163"/>
        <v>0.59883470440922393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1.9895196601282805E-13</v>
      </c>
      <c r="AJ186" s="13">
        <f>AI186*VLOOKUP('Données projet'!$B$10,Paramètres!$A$1:$I$89,3,0)*VLOOKUP('Données projet'!$B$10,Paramètres!$A$1:$I$89,5,0)</f>
        <v>1.738044375088066E-13</v>
      </c>
      <c r="AK186" s="13">
        <f t="shared" si="164"/>
        <v>2.4483293633950478E-12</v>
      </c>
      <c r="AL186" s="20">
        <f t="shared" si="165"/>
        <v>4.566883036574213E-12</v>
      </c>
      <c r="AM186" s="59">
        <f t="shared" si="113"/>
        <v>293.33333333333786</v>
      </c>
      <c r="AN186" s="59">
        <f ca="1">AVERAGE(OFFSET($AM$3,0,0,'Données projet'!$E$10+1,1))-AVERAGE(OFFSET($H$3,0,0,'Données projet'!$E$10+1,1))</f>
        <v>321.23599968992932</v>
      </c>
      <c r="AO186" s="59">
        <f t="shared" si="144"/>
        <v>388.05195847800502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0.32728111851549774</v>
      </c>
      <c r="AV186" s="21">
        <f>EXP(-LN(2)/25)*AV185+(1-EXP(-LN(2)/25))/(LN(2)/25)*Calculateur!AQ186*Calculateur!AS186*VLOOKUP('Données projet'!$B$10,Paramètres!$A$1:$I$89,3,0)*0.475*44/12</f>
        <v>0.22001204065303837</v>
      </c>
      <c r="AW186" s="21">
        <f>EXP(-LN(2)/2)*AW185+(1-EXP(-LN(2)/2))/(LN(2)/2)*AQ186*AT186*VLOOKUP('Données projet'!$B$10,Paramètres!$A$1:$I$89,3,0)*0.475*44/12</f>
        <v>1.5835768350294597E-22</v>
      </c>
      <c r="AX186" s="21">
        <f t="shared" si="166"/>
        <v>0.54729315916853616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1.1368683772161603E-13</v>
      </c>
      <c r="BE186" s="13">
        <f>BD186*VLOOKUP('Données projet'!$B$11,Paramètres!$A$1:$I$89,3,0)*VLOOKUP('Données projet'!$B$11,Paramètres!$A$1:$I$89,5,0)</f>
        <v>6.7984728957526396E-14</v>
      </c>
      <c r="BF186" s="13">
        <f t="shared" si="167"/>
        <v>1.0682447123141398E-12</v>
      </c>
      <c r="BG186" s="20">
        <f t="shared" si="168"/>
        <v>1.978932943548152E-12</v>
      </c>
      <c r="BH186" s="59">
        <f t="shared" si="116"/>
        <v>293.3333333333353</v>
      </c>
      <c r="BI186" s="59">
        <f ca="1">AVERAGE(OFFSET($BH$3,0,0,'Données projet'!$E$11+1,1))-AVERAGE(OFFSET($H$3,0,0,'Données projet'!$E$11+1,1))</f>
        <v>258.31845364515124</v>
      </c>
      <c r="BJ186" s="59">
        <f t="shared" si="146"/>
        <v>280.26155987300996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0.55457132823930855</v>
      </c>
      <c r="BQ186" s="21">
        <f>EXP(-LN(2)/25)*BQ185+(1-EXP(-LN(2)/25))/(LN(2)/25)*Calculateur!BL186*Calculateur!BN186*VLOOKUP('Données projet'!$B$11,Paramètres!$A$1:$I$89,3,0)*0.475*44/12</f>
        <v>0.13554206622791096</v>
      </c>
      <c r="BR186" s="21">
        <f>EXP(-LN(2)/2)*BR185+(1-EXP(-LN(2)/2))/(LN(2)/2)*BL186*BO186*VLOOKUP('Données projet'!$B$11,Paramètres!$A$1:$I$89,3,0)*0.475*44/12</f>
        <v>4.2384523861367567E-23</v>
      </c>
      <c r="BS186" s="22">
        <f t="shared" si="169"/>
        <v>0.69011339446721953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-5.6843418860808015E-14</v>
      </c>
      <c r="BZ186" s="13">
        <f>BY186*VLOOKUP('Données projet'!$B$12,Paramètres!$A$1:$I$89,3,0)*VLOOKUP('Données projet'!$B$12,Paramètres!$A$1:$I$89,5,0)</f>
        <v>-5.1431925385259088E-14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366.86025470473652</v>
      </c>
      <c r="CE186" s="59">
        <f t="shared" si="148"/>
        <v>513.80016421153414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0.12439693159875571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3.4645558047812636E-23</v>
      </c>
      <c r="CN186" s="22">
        <f t="shared" si="172"/>
        <v>0.12439693159875571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-5.6843418860808015E-14</v>
      </c>
      <c r="CU186" s="17">
        <f>CT186*VLOOKUP('Données projet'!$B$13,Paramètres!$A$1:$I$89,3,0)*VLOOKUP('Données projet'!$B$13,Paramètres!$A$1:$I$89,5,0)</f>
        <v>-3.1036506698001178E-14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207.02306964567629</v>
      </c>
      <c r="CZ186" s="59">
        <f t="shared" si="150"/>
        <v>342.06887933351783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0.31914255203416186</v>
      </c>
      <c r="DG186" s="21">
        <f>EXP(-LN(2)/25)*DG185+(1-EXP(-LN(2)/25))/(LN(2)/25)*Calculateur!DB186*Calculateur!DD186*VLOOKUP('Données projet'!$B$13,Paramètres!$A$1:$I$89,3,0)*0.475*44/12</f>
        <v>0.55958413515952743</v>
      </c>
      <c r="DH186" s="21">
        <f>EXP(-LN(2)/2)*DH185+(1-EXP(-LN(2)/2))/(LN(2)/2)*DB186*DE186*VLOOKUP('Données projet'!$B$13,Paramètres!$A$1:$I$89,3,0)*0.475*44/12</f>
        <v>1.2422495821784371E-22</v>
      </c>
      <c r="DI186" s="22">
        <f t="shared" si="175"/>
        <v>0.87872668719368929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7">
        <f t="shared" si="110"/>
        <v>256.66666666666669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-1.1368683772161603E-13</v>
      </c>
      <c r="O187" s="13">
        <f>N187*VLOOKUP('Données projet'!$B$9,Paramètres!$A$1:$I$89,3,0)*VLOOKUP('Données projet'!$B$9,Paramètres!$A$1:$I$89,5,0)</f>
        <v>-5.3205440053716299E-14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319.22903094674564</v>
      </c>
      <c r="T187" s="59">
        <f t="shared" si="142"/>
        <v>254.58690973142848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0.42990302771669392</v>
      </c>
      <c r="AA187" s="21">
        <f>EXP(-LN(2)/25)*AA186+(1-EXP(-LN(2)/25))/(LN(2)/25)*Calculateur!V187*Calculateur!X187*VLOOKUP('Données projet'!$B$9,Paramètres!$A$1:$I$89,3,0)*0.475*44/12</f>
        <v>0.15594861199817883</v>
      </c>
      <c r="AB187" s="21">
        <f>EXP(-LN(2)/2)*AB186+(1-EXP(-LN(2)/2))/(LN(2)/2)*V187*Y187*VLOOKUP('Données projet'!$B$9,Paramètres!$A$1:$I$89,3,0)*0.475*44/12</f>
        <v>7.307729532730945E-23</v>
      </c>
      <c r="AC187" s="22">
        <f t="shared" si="163"/>
        <v>0.58585163971487275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1.9895196601282805E-13</v>
      </c>
      <c r="AJ187" s="13">
        <f>AI187*VLOOKUP('Données projet'!$B$10,Paramètres!$A$1:$I$89,3,0)*VLOOKUP('Données projet'!$B$10,Paramètres!$A$1:$I$89,5,0)</f>
        <v>1.738044375088066E-13</v>
      </c>
      <c r="AK187" s="13">
        <f t="shared" si="164"/>
        <v>2.4483293633950478E-12</v>
      </c>
      <c r="AL187" s="20">
        <f t="shared" si="165"/>
        <v>4.566883036574213E-12</v>
      </c>
      <c r="AM187" s="59">
        <f t="shared" si="113"/>
        <v>293.33333333333786</v>
      </c>
      <c r="AN187" s="59">
        <f ca="1">AVERAGE(OFFSET($AM$3,0,0,'Données projet'!$E$10+1,1))-AVERAGE(OFFSET($H$3,0,0,'Données projet'!$E$10+1,1))</f>
        <v>321.23599968992932</v>
      </c>
      <c r="AO187" s="59">
        <f t="shared" si="144"/>
        <v>388.05195847800502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0.32086333540318013</v>
      </c>
      <c r="AV187" s="21">
        <f>EXP(-LN(2)/25)*AV186+(1-EXP(-LN(2)/25))/(LN(2)/25)*Calculateur!AQ187*Calculateur!AS187*VLOOKUP('Données projet'!$B$10,Paramètres!$A$1:$I$89,3,0)*0.475*44/12</f>
        <v>0.21399579983145064</v>
      </c>
      <c r="AW187" s="21">
        <f>EXP(-LN(2)/2)*AW186+(1-EXP(-LN(2)/2))/(LN(2)/2)*AQ187*AT187*VLOOKUP('Données projet'!$B$10,Paramètres!$A$1:$I$89,3,0)*0.475*44/12</f>
        <v>1.1197579185792616E-22</v>
      </c>
      <c r="AX187" s="21">
        <f t="shared" si="166"/>
        <v>0.5348591352346308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1.1368683772161603E-13</v>
      </c>
      <c r="BE187" s="13">
        <f>BD187*VLOOKUP('Données projet'!$B$11,Paramètres!$A$1:$I$89,3,0)*VLOOKUP('Données projet'!$B$11,Paramètres!$A$1:$I$89,5,0)</f>
        <v>6.7984728957526396E-14</v>
      </c>
      <c r="BF187" s="13">
        <f t="shared" si="167"/>
        <v>1.0682447123141398E-12</v>
      </c>
      <c r="BG187" s="20">
        <f t="shared" si="168"/>
        <v>1.978932943548152E-12</v>
      </c>
      <c r="BH187" s="59">
        <f t="shared" si="116"/>
        <v>293.3333333333353</v>
      </c>
      <c r="BI187" s="59">
        <f ca="1">AVERAGE(OFFSET($BH$3,0,0,'Données projet'!$E$11+1,1))-AVERAGE(OFFSET($H$3,0,0,'Données projet'!$E$11+1,1))</f>
        <v>258.31845364515124</v>
      </c>
      <c r="BJ187" s="59">
        <f t="shared" si="146"/>
        <v>280.26155987300996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0.54369652274764602</v>
      </c>
      <c r="BQ187" s="21">
        <f>EXP(-LN(2)/25)*BQ186+(1-EXP(-LN(2)/25))/(LN(2)/25)*Calculateur!BL187*Calculateur!BN187*VLOOKUP('Données projet'!$B$11,Paramètres!$A$1:$I$89,3,0)*0.475*44/12</f>
        <v>0.13183566129906124</v>
      </c>
      <c r="BR187" s="21">
        <f>EXP(-LN(2)/2)*BR186+(1-EXP(-LN(2)/2))/(LN(2)/2)*BL187*BO187*VLOOKUP('Données projet'!$B$11,Paramètres!$A$1:$I$89,3,0)*0.475*44/12</f>
        <v>2.9970384239736038E-23</v>
      </c>
      <c r="BS187" s="22">
        <f t="shared" si="169"/>
        <v>0.67553218404670723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-5.6843418860808015E-14</v>
      </c>
      <c r="BZ187" s="13">
        <f>BY187*VLOOKUP('Données projet'!$B$12,Paramètres!$A$1:$I$89,3,0)*VLOOKUP('Données projet'!$B$12,Paramètres!$A$1:$I$89,5,0)</f>
        <v>-5.1431925385259088E-14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366.86025470473652</v>
      </c>
      <c r="CE187" s="59">
        <f t="shared" si="148"/>
        <v>513.80016421153414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0.12195758364474039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2.4498109033600481E-23</v>
      </c>
      <c r="CN187" s="22">
        <f t="shared" si="172"/>
        <v>0.12195758364474039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-5.6843418860808015E-14</v>
      </c>
      <c r="CU187" s="17">
        <f>CT187*VLOOKUP('Données projet'!$B$13,Paramètres!$A$1:$I$89,3,0)*VLOOKUP('Données projet'!$B$13,Paramètres!$A$1:$I$89,5,0)</f>
        <v>-3.1036506698001178E-14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207.02306964567629</v>
      </c>
      <c r="CZ187" s="59">
        <f t="shared" si="150"/>
        <v>342.06887933351783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0.31288436124650781</v>
      </c>
      <c r="DG187" s="21">
        <f>EXP(-LN(2)/25)*DG186+(1-EXP(-LN(2)/25))/(LN(2)/25)*Calculateur!DB187*Calculateur!DD187*VLOOKUP('Données projet'!$B$13,Paramètres!$A$1:$I$89,3,0)*0.475*44/12</f>
        <v>0.5442822775563394</v>
      </c>
      <c r="DH187" s="21">
        <f>EXP(-LN(2)/2)*DH186+(1-EXP(-LN(2)/2))/(LN(2)/2)*DB187*DE187*VLOOKUP('Données projet'!$B$13,Paramètres!$A$1:$I$89,3,0)*0.475*44/12</f>
        <v>8.7840310348452824E-23</v>
      </c>
      <c r="DI187" s="22">
        <f t="shared" si="175"/>
        <v>0.85716663880284716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7">
        <f t="shared" si="110"/>
        <v>256.66666666666669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-1.1368683772161603E-13</v>
      </c>
      <c r="O188" s="13">
        <f>N188*VLOOKUP('Données projet'!$B$9,Paramètres!$A$1:$I$89,3,0)*VLOOKUP('Données projet'!$B$9,Paramètres!$A$1:$I$89,5,0)</f>
        <v>-5.3205440053716299E-14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319.22903094674564</v>
      </c>
      <c r="T188" s="59">
        <f t="shared" si="142"/>
        <v>254.58690973142848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0.4214728915581249</v>
      </c>
      <c r="AA188" s="21">
        <f>EXP(-LN(2)/25)*AA187+(1-EXP(-LN(2)/25))/(LN(2)/25)*Calculateur!V188*Calculateur!X188*VLOOKUP('Données projet'!$B$9,Paramètres!$A$1:$I$89,3,0)*0.475*44/12</f>
        <v>0.15168418900210756</v>
      </c>
      <c r="AB188" s="21">
        <f>EXP(-LN(2)/2)*AB187+(1-EXP(-LN(2)/2))/(LN(2)/2)*V188*Y188*VLOOKUP('Données projet'!$B$9,Paramètres!$A$1:$I$89,3,0)*0.475*44/12</f>
        <v>5.1673451076712519E-23</v>
      </c>
      <c r="AC188" s="22">
        <f t="shared" si="163"/>
        <v>0.5731570805602324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1.9895196601282805E-13</v>
      </c>
      <c r="AJ188" s="13">
        <f>AI188*VLOOKUP('Données projet'!$B$10,Paramètres!$A$1:$I$89,3,0)*VLOOKUP('Données projet'!$B$10,Paramètres!$A$1:$I$89,5,0)</f>
        <v>1.738044375088066E-13</v>
      </c>
      <c r="AK188" s="13">
        <f t="shared" si="164"/>
        <v>2.4483293633950478E-12</v>
      </c>
      <c r="AL188" s="20">
        <f t="shared" si="165"/>
        <v>4.566883036574213E-12</v>
      </c>
      <c r="AM188" s="59">
        <f t="shared" si="113"/>
        <v>293.33333333333786</v>
      </c>
      <c r="AN188" s="59">
        <f ca="1">AVERAGE(OFFSET($AM$3,0,0,'Données projet'!$E$10+1,1))-AVERAGE(OFFSET($H$3,0,0,'Données projet'!$E$10+1,1))</f>
        <v>321.23599968992932</v>
      </c>
      <c r="AO188" s="59">
        <f t="shared" si="144"/>
        <v>388.05195847800502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0.31457140110323389</v>
      </c>
      <c r="AV188" s="21">
        <f>EXP(-LN(2)/25)*AV187+(1-EXP(-LN(2)/25))/(LN(2)/25)*Calculateur!AQ188*Calculateur!AS188*VLOOKUP('Données projet'!$B$10,Paramètres!$A$1:$I$89,3,0)*0.475*44/12</f>
        <v>0.20814407343150962</v>
      </c>
      <c r="AW188" s="21">
        <f>EXP(-LN(2)/2)*AW187+(1-EXP(-LN(2)/2))/(LN(2)/2)*AQ188*AT188*VLOOKUP('Données projet'!$B$10,Paramètres!$A$1:$I$89,3,0)*0.475*44/12</f>
        <v>7.9178841751472984E-23</v>
      </c>
      <c r="AX188" s="21">
        <f t="shared" si="166"/>
        <v>0.52271547453474354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1.1368683772161603E-13</v>
      </c>
      <c r="BE188" s="13">
        <f>BD188*VLOOKUP('Données projet'!$B$11,Paramètres!$A$1:$I$89,3,0)*VLOOKUP('Données projet'!$B$11,Paramètres!$A$1:$I$89,5,0)</f>
        <v>6.7984728957526396E-14</v>
      </c>
      <c r="BF188" s="13">
        <f t="shared" si="167"/>
        <v>1.0682447123141398E-12</v>
      </c>
      <c r="BG188" s="20">
        <f t="shared" si="168"/>
        <v>1.978932943548152E-12</v>
      </c>
      <c r="BH188" s="59">
        <f t="shared" si="116"/>
        <v>293.3333333333353</v>
      </c>
      <c r="BI188" s="59">
        <f ca="1">AVERAGE(OFFSET($BH$3,0,0,'Données projet'!$E$11+1,1))-AVERAGE(OFFSET($H$3,0,0,'Données projet'!$E$11+1,1))</f>
        <v>258.31845364515124</v>
      </c>
      <c r="BJ188" s="59">
        <f t="shared" si="146"/>
        <v>280.26155987300996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0.53303496555869856</v>
      </c>
      <c r="BQ188" s="21">
        <f>EXP(-LN(2)/25)*BQ187+(1-EXP(-LN(2)/25))/(LN(2)/25)*Calculateur!BL188*Calculateur!BN188*VLOOKUP('Données projet'!$B$11,Paramètres!$A$1:$I$89,3,0)*0.475*44/12</f>
        <v>0.1282306082079023</v>
      </c>
      <c r="BR188" s="21">
        <f>EXP(-LN(2)/2)*BR187+(1-EXP(-LN(2)/2))/(LN(2)/2)*BL188*BO188*VLOOKUP('Données projet'!$B$11,Paramètres!$A$1:$I$89,3,0)*0.475*44/12</f>
        <v>2.1192261930683784E-23</v>
      </c>
      <c r="BS188" s="22">
        <f t="shared" si="169"/>
        <v>0.66126557376660089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-5.6843418860808015E-14</v>
      </c>
      <c r="BZ188" s="13">
        <f>BY188*VLOOKUP('Données projet'!$B$12,Paramètres!$A$1:$I$89,3,0)*VLOOKUP('Données projet'!$B$12,Paramètres!$A$1:$I$89,5,0)</f>
        <v>-5.1431925385259088E-14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366.86025470473652</v>
      </c>
      <c r="CE188" s="59">
        <f t="shared" si="148"/>
        <v>513.80016421153414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0.11956606981624797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1.7322779023906318E-23</v>
      </c>
      <c r="CN188" s="22">
        <f t="shared" si="172"/>
        <v>0.11956606981624797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-5.6843418860808015E-14</v>
      </c>
      <c r="CU188" s="17">
        <f>CT188*VLOOKUP('Données projet'!$B$13,Paramètres!$A$1:$I$89,3,0)*VLOOKUP('Données projet'!$B$13,Paramètres!$A$1:$I$89,5,0)</f>
        <v>-3.1036506698001178E-14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207.02306964567629</v>
      </c>
      <c r="CZ188" s="59">
        <f t="shared" si="150"/>
        <v>342.06887933351783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0.30674888976308023</v>
      </c>
      <c r="DG188" s="21">
        <f>EXP(-LN(2)/25)*DG187+(1-EXP(-LN(2)/25))/(LN(2)/25)*Calculateur!DB188*Calculateur!DD188*VLOOKUP('Données projet'!$B$13,Paramètres!$A$1:$I$89,3,0)*0.475*44/12</f>
        <v>0.52939885005400034</v>
      </c>
      <c r="DH188" s="21">
        <f>EXP(-LN(2)/2)*DH187+(1-EXP(-LN(2)/2))/(LN(2)/2)*DB188*DE188*VLOOKUP('Données projet'!$B$13,Paramètres!$A$1:$I$89,3,0)*0.475*44/12</f>
        <v>6.2112479108921856E-23</v>
      </c>
      <c r="DI188" s="22">
        <f t="shared" si="175"/>
        <v>0.83614773981708057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7">
        <f t="shared" si="110"/>
        <v>256.66666666666669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-1.1368683772161603E-13</v>
      </c>
      <c r="O189" s="13">
        <f>N189*VLOOKUP('Données projet'!$B$9,Paramètres!$A$1:$I$89,3,0)*VLOOKUP('Données projet'!$B$9,Paramètres!$A$1:$I$89,5,0)</f>
        <v>-5.3205440053716299E-14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319.22903094674564</v>
      </c>
      <c r="T189" s="59">
        <f t="shared" si="142"/>
        <v>254.58690973142848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0.41320806522775005</v>
      </c>
      <c r="AA189" s="21">
        <f>EXP(-LN(2)/25)*AA188+(1-EXP(-LN(2)/25))/(LN(2)/25)*Calculateur!V189*Calculateur!X189*VLOOKUP('Données projet'!$B$9,Paramètres!$A$1:$I$89,3,0)*0.475*44/12</f>
        <v>0.1475363768771201</v>
      </c>
      <c r="AB189" s="21">
        <f>EXP(-LN(2)/2)*AB188+(1-EXP(-LN(2)/2))/(LN(2)/2)*V189*Y189*VLOOKUP('Données projet'!$B$9,Paramètres!$A$1:$I$89,3,0)*0.475*44/12</f>
        <v>3.6538647663654731E-23</v>
      </c>
      <c r="AC189" s="22">
        <f t="shared" si="163"/>
        <v>0.56074444210487018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1.9895196601282805E-13</v>
      </c>
      <c r="AJ189" s="13">
        <f>AI189*VLOOKUP('Données projet'!$B$10,Paramètres!$A$1:$I$89,3,0)*VLOOKUP('Données projet'!$B$10,Paramètres!$A$1:$I$89,5,0)</f>
        <v>1.738044375088066E-13</v>
      </c>
      <c r="AK189" s="13">
        <f t="shared" si="164"/>
        <v>2.4483293633950478E-12</v>
      </c>
      <c r="AL189" s="20">
        <f t="shared" si="165"/>
        <v>4.566883036574213E-12</v>
      </c>
      <c r="AM189" s="59">
        <f t="shared" si="113"/>
        <v>293.33333333333786</v>
      </c>
      <c r="AN189" s="59">
        <f ca="1">AVERAGE(OFFSET($AM$3,0,0,'Données projet'!$E$10+1,1))-AVERAGE(OFFSET($H$3,0,0,'Données projet'!$E$10+1,1))</f>
        <v>321.23599968992932</v>
      </c>
      <c r="AO189" s="59">
        <f t="shared" si="144"/>
        <v>388.05195847800502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0.30840284779720861</v>
      </c>
      <c r="AV189" s="21">
        <f>EXP(-LN(2)/25)*AV188+(1-EXP(-LN(2)/25))/(LN(2)/25)*Calculateur!AQ189*Calculateur!AS189*VLOOKUP('Données projet'!$B$10,Paramètres!$A$1:$I$89,3,0)*0.475*44/12</f>
        <v>0.2024523627977039</v>
      </c>
      <c r="AW189" s="21">
        <f>EXP(-LN(2)/2)*AW188+(1-EXP(-LN(2)/2))/(LN(2)/2)*AQ189*AT189*VLOOKUP('Données projet'!$B$10,Paramètres!$A$1:$I$89,3,0)*0.475*44/12</f>
        <v>5.5987895928963081E-23</v>
      </c>
      <c r="AX189" s="21">
        <f t="shared" si="166"/>
        <v>0.51085521059491246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1.1368683772161603E-13</v>
      </c>
      <c r="BE189" s="13">
        <f>BD189*VLOOKUP('Données projet'!$B$11,Paramètres!$A$1:$I$89,3,0)*VLOOKUP('Données projet'!$B$11,Paramètres!$A$1:$I$89,5,0)</f>
        <v>6.7984728957526396E-14</v>
      </c>
      <c r="BF189" s="13">
        <f t="shared" si="167"/>
        <v>1.0682447123141398E-12</v>
      </c>
      <c r="BG189" s="20">
        <f t="shared" si="168"/>
        <v>1.978932943548152E-12</v>
      </c>
      <c r="BH189" s="59">
        <f t="shared" si="116"/>
        <v>293.3333333333353</v>
      </c>
      <c r="BI189" s="59">
        <f ca="1">AVERAGE(OFFSET($BH$3,0,0,'Données projet'!$E$11+1,1))-AVERAGE(OFFSET($H$3,0,0,'Données projet'!$E$11+1,1))</f>
        <v>258.31845364515124</v>
      </c>
      <c r="BJ189" s="59">
        <f t="shared" si="146"/>
        <v>280.26155987300996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0.52258247500331867</v>
      </c>
      <c r="BQ189" s="21">
        <f>EXP(-LN(2)/25)*BQ188+(1-EXP(-LN(2)/25))/(LN(2)/25)*Calculateur!BL189*Calculateur!BN189*VLOOKUP('Données projet'!$B$11,Paramètres!$A$1:$I$89,3,0)*0.475*44/12</f>
        <v>0.1247241354831026</v>
      </c>
      <c r="BR189" s="21">
        <f>EXP(-LN(2)/2)*BR188+(1-EXP(-LN(2)/2))/(LN(2)/2)*BL189*BO189*VLOOKUP('Données projet'!$B$11,Paramètres!$A$1:$I$89,3,0)*0.475*44/12</f>
        <v>1.4985192119868019E-23</v>
      </c>
      <c r="BS189" s="22">
        <f t="shared" si="169"/>
        <v>0.64730661048642124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-5.6843418860808015E-14</v>
      </c>
      <c r="BZ189" s="13">
        <f>BY189*VLOOKUP('Données projet'!$B$12,Paramètres!$A$1:$I$89,3,0)*VLOOKUP('Données projet'!$B$12,Paramètres!$A$1:$I$89,5,0)</f>
        <v>-5.1431925385259088E-14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366.86025470473652</v>
      </c>
      <c r="CE189" s="59">
        <f t="shared" si="148"/>
        <v>513.80016421153414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0.11722145211525288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1.224905451680024E-23</v>
      </c>
      <c r="CN189" s="22">
        <f t="shared" si="172"/>
        <v>0.11722145211525288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-5.6843418860808015E-14</v>
      </c>
      <c r="CU189" s="17">
        <f>CT189*VLOOKUP('Données projet'!$B$13,Paramètres!$A$1:$I$89,3,0)*VLOOKUP('Données projet'!$B$13,Paramètres!$A$1:$I$89,5,0)</f>
        <v>-3.1036506698001178E-14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207.02306964567629</v>
      </c>
      <c r="CZ189" s="59">
        <f t="shared" si="150"/>
        <v>342.06887933351783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0.30073373113317459</v>
      </c>
      <c r="DG189" s="21">
        <f>EXP(-LN(2)/25)*DG188+(1-EXP(-LN(2)/25))/(LN(2)/25)*Calculateur!DB189*Calculateur!DD189*VLOOKUP('Données projet'!$B$13,Paramètres!$A$1:$I$89,3,0)*0.475*44/12</f>
        <v>0.51492241065939814</v>
      </c>
      <c r="DH189" s="21">
        <f>EXP(-LN(2)/2)*DH188+(1-EXP(-LN(2)/2))/(LN(2)/2)*DB189*DE189*VLOOKUP('Données projet'!$B$13,Paramètres!$A$1:$I$89,3,0)*0.475*44/12</f>
        <v>4.3920155174226412E-23</v>
      </c>
      <c r="DI189" s="22">
        <f t="shared" si="175"/>
        <v>0.81565614179257273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7">
        <f t="shared" si="110"/>
        <v>256.66666666666669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-1.1368683772161603E-13</v>
      </c>
      <c r="O190" s="13">
        <f>N190*VLOOKUP('Données projet'!$B$9,Paramètres!$A$1:$I$89,3,0)*VLOOKUP('Données projet'!$B$9,Paramètres!$A$1:$I$89,5,0)</f>
        <v>-5.3205440053716299E-14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319.22903094674564</v>
      </c>
      <c r="T190" s="59">
        <f t="shared" si="142"/>
        <v>254.58690973142848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0.40510530710066756</v>
      </c>
      <c r="AA190" s="21">
        <f>EXP(-LN(2)/25)*AA189+(1-EXP(-LN(2)/25))/(LN(2)/25)*Calculateur!V190*Calculateur!X190*VLOOKUP('Données projet'!$B$9,Paramètres!$A$1:$I$89,3,0)*0.475*44/12</f>
        <v>0.14350198689281438</v>
      </c>
      <c r="AB190" s="21">
        <f>EXP(-LN(2)/2)*AB189+(1-EXP(-LN(2)/2))/(LN(2)/2)*V190*Y190*VLOOKUP('Données projet'!$B$9,Paramètres!$A$1:$I$89,3,0)*0.475*44/12</f>
        <v>2.5836725538356262E-23</v>
      </c>
      <c r="AC190" s="22">
        <f t="shared" si="163"/>
        <v>0.54860729399348196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1.9895196601282805E-13</v>
      </c>
      <c r="AJ190" s="13">
        <f>AI190*VLOOKUP('Données projet'!$B$10,Paramètres!$A$1:$I$89,3,0)*VLOOKUP('Données projet'!$B$10,Paramètres!$A$1:$I$89,5,0)</f>
        <v>1.738044375088066E-13</v>
      </c>
      <c r="AK190" s="13">
        <f t="shared" si="164"/>
        <v>2.4483293633950478E-12</v>
      </c>
      <c r="AL190" s="20">
        <f t="shared" si="165"/>
        <v>4.566883036574213E-12</v>
      </c>
      <c r="AM190" s="59">
        <f t="shared" si="113"/>
        <v>293.33333333333786</v>
      </c>
      <c r="AN190" s="59">
        <f ca="1">AVERAGE(OFFSET($AM$3,0,0,'Données projet'!$E$10+1,1))-AVERAGE(OFFSET($H$3,0,0,'Données projet'!$E$10+1,1))</f>
        <v>321.23599968992932</v>
      </c>
      <c r="AO190" s="59">
        <f t="shared" si="144"/>
        <v>388.05195847800502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0.30235525605906849</v>
      </c>
      <c r="AV190" s="21">
        <f>EXP(-LN(2)/25)*AV189+(1-EXP(-LN(2)/25))/(LN(2)/25)*Calculateur!AQ190*Calculateur!AS190*VLOOKUP('Données projet'!$B$10,Paramètres!$A$1:$I$89,3,0)*0.475*44/12</f>
        <v>0.19691629229049365</v>
      </c>
      <c r="AW190" s="21">
        <f>EXP(-LN(2)/2)*AW189+(1-EXP(-LN(2)/2))/(LN(2)/2)*AQ190*AT190*VLOOKUP('Données projet'!$B$10,Paramètres!$A$1:$I$89,3,0)*0.475*44/12</f>
        <v>3.9589420875736492E-23</v>
      </c>
      <c r="AX190" s="21">
        <f t="shared" si="166"/>
        <v>0.49927154834956211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1.1368683772161603E-13</v>
      </c>
      <c r="BE190" s="13">
        <f>BD190*VLOOKUP('Données projet'!$B$11,Paramètres!$A$1:$I$89,3,0)*VLOOKUP('Données projet'!$B$11,Paramètres!$A$1:$I$89,5,0)</f>
        <v>6.7984728957526396E-14</v>
      </c>
      <c r="BF190" s="13">
        <f t="shared" si="167"/>
        <v>1.0682447123141398E-12</v>
      </c>
      <c r="BG190" s="20">
        <f t="shared" si="168"/>
        <v>1.978932943548152E-12</v>
      </c>
      <c r="BH190" s="59">
        <f t="shared" si="116"/>
        <v>293.3333333333353</v>
      </c>
      <c r="BI190" s="59">
        <f ca="1">AVERAGE(OFFSET($BH$3,0,0,'Données projet'!$E$11+1,1))-AVERAGE(OFFSET($H$3,0,0,'Données projet'!$E$11+1,1))</f>
        <v>258.31845364515124</v>
      </c>
      <c r="BJ190" s="59">
        <f t="shared" si="146"/>
        <v>280.26155987300996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0.51233495141233998</v>
      </c>
      <c r="BQ190" s="21">
        <f>EXP(-LN(2)/25)*BQ189+(1-EXP(-LN(2)/25))/(LN(2)/25)*Calculateur!BL190*Calculateur!BN190*VLOOKUP('Données projet'!$B$11,Paramètres!$A$1:$I$89,3,0)*0.475*44/12</f>
        <v>0.12131354743935993</v>
      </c>
      <c r="BR190" s="21">
        <f>EXP(-LN(2)/2)*BR189+(1-EXP(-LN(2)/2))/(LN(2)/2)*BL190*BO190*VLOOKUP('Données projet'!$B$11,Paramètres!$A$1:$I$89,3,0)*0.475*44/12</f>
        <v>1.0596130965341892E-23</v>
      </c>
      <c r="BS190" s="22">
        <f t="shared" si="169"/>
        <v>0.63364849885169994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-5.6843418860808015E-14</v>
      </c>
      <c r="BZ190" s="13">
        <f>BY190*VLOOKUP('Données projet'!$B$12,Paramètres!$A$1:$I$89,3,0)*VLOOKUP('Données projet'!$B$12,Paramètres!$A$1:$I$89,5,0)</f>
        <v>-5.1431925385259088E-14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366.86025470473652</v>
      </c>
      <c r="CE190" s="59">
        <f t="shared" si="148"/>
        <v>513.80016421153414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0.11492281093729872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8.6613895119531591E-24</v>
      </c>
      <c r="CN190" s="22">
        <f t="shared" si="172"/>
        <v>0.11492281093729872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-5.6843418860808015E-14</v>
      </c>
      <c r="CU190" s="17">
        <f>CT190*VLOOKUP('Données projet'!$B$13,Paramètres!$A$1:$I$89,3,0)*VLOOKUP('Données projet'!$B$13,Paramètres!$A$1:$I$89,5,0)</f>
        <v>-3.1036506698001178E-14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207.02306964567629</v>
      </c>
      <c r="CZ190" s="59">
        <f t="shared" si="150"/>
        <v>342.06887933351783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0.29483652609511685</v>
      </c>
      <c r="DG190" s="21">
        <f>EXP(-LN(2)/25)*DG189+(1-EXP(-LN(2)/25))/(LN(2)/25)*Calculateur!DB190*Calculateur!DD190*VLOOKUP('Données projet'!$B$13,Paramètres!$A$1:$I$89,3,0)*0.475*44/12</f>
        <v>0.50084183026132423</v>
      </c>
      <c r="DH190" s="21">
        <f>EXP(-LN(2)/2)*DH189+(1-EXP(-LN(2)/2))/(LN(2)/2)*DB190*DE190*VLOOKUP('Données projet'!$B$13,Paramètres!$A$1:$I$89,3,0)*0.475*44/12</f>
        <v>3.1056239554460928E-23</v>
      </c>
      <c r="DI190" s="22">
        <f t="shared" si="175"/>
        <v>0.79567835635644113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7">
        <f t="shared" si="110"/>
        <v>256.66666666666669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-1.1368683772161603E-13</v>
      </c>
      <c r="O191" s="13">
        <f>N191*VLOOKUP('Données projet'!$B$9,Paramètres!$A$1:$I$89,3,0)*VLOOKUP('Données projet'!$B$9,Paramètres!$A$1:$I$89,5,0)</f>
        <v>-5.3205440053716299E-14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319.22903094674564</v>
      </c>
      <c r="T191" s="59">
        <f t="shared" si="142"/>
        <v>254.58690973142848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0.39716143911826268</v>
      </c>
      <c r="AA191" s="21">
        <f>EXP(-LN(2)/25)*AA190+(1-EXP(-LN(2)/25))/(LN(2)/25)*Calculateur!V191*Calculateur!X191*VLOOKUP('Données projet'!$B$9,Paramètres!$A$1:$I$89,3,0)*0.475*44/12</f>
        <v>0.13957791751478885</v>
      </c>
      <c r="AB191" s="21">
        <f>EXP(-LN(2)/2)*AB190+(1-EXP(-LN(2)/2))/(LN(2)/2)*V191*Y191*VLOOKUP('Données projet'!$B$9,Paramètres!$A$1:$I$89,3,0)*0.475*44/12</f>
        <v>1.8269323831827368E-23</v>
      </c>
      <c r="AC191" s="22">
        <f t="shared" si="163"/>
        <v>0.5367393566330515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1.9895196601282805E-13</v>
      </c>
      <c r="AJ191" s="13">
        <f>AI191*VLOOKUP('Données projet'!$B$10,Paramètres!$A$1:$I$89,3,0)*VLOOKUP('Données projet'!$B$10,Paramètres!$A$1:$I$89,5,0)</f>
        <v>1.738044375088066E-13</v>
      </c>
      <c r="AK191" s="13">
        <f t="shared" si="164"/>
        <v>2.4483293633950478E-12</v>
      </c>
      <c r="AL191" s="20">
        <f t="shared" si="165"/>
        <v>4.566883036574213E-12</v>
      </c>
      <c r="AM191" s="59">
        <f t="shared" si="113"/>
        <v>293.33333333333786</v>
      </c>
      <c r="AN191" s="59">
        <f ca="1">AVERAGE(OFFSET($AM$3,0,0,'Données projet'!$E$10+1,1))-AVERAGE(OFFSET($H$3,0,0,'Données projet'!$E$10+1,1))</f>
        <v>321.23599968992932</v>
      </c>
      <c r="AO191" s="59">
        <f t="shared" si="144"/>
        <v>388.05195847800502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0.29642625390624655</v>
      </c>
      <c r="AV191" s="21">
        <f>EXP(-LN(2)/25)*AV190+(1-EXP(-LN(2)/25))/(LN(2)/25)*Calculateur!AQ191*Calculateur!AS191*VLOOKUP('Données projet'!$B$10,Paramètres!$A$1:$I$89,3,0)*0.475*44/12</f>
        <v>0.19153160592243235</v>
      </c>
      <c r="AW191" s="21">
        <f>EXP(-LN(2)/2)*AW190+(1-EXP(-LN(2)/2))/(LN(2)/2)*AQ191*AT191*VLOOKUP('Données projet'!$B$10,Paramètres!$A$1:$I$89,3,0)*0.475*44/12</f>
        <v>2.7993947964481541E-23</v>
      </c>
      <c r="AX191" s="21">
        <f t="shared" si="166"/>
        <v>0.4879578598286789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1.1368683772161603E-13</v>
      </c>
      <c r="BE191" s="13">
        <f>BD191*VLOOKUP('Données projet'!$B$11,Paramètres!$A$1:$I$89,3,0)*VLOOKUP('Données projet'!$B$11,Paramètres!$A$1:$I$89,5,0)</f>
        <v>6.7984728957526396E-14</v>
      </c>
      <c r="BF191" s="13">
        <f t="shared" si="167"/>
        <v>1.0682447123141398E-12</v>
      </c>
      <c r="BG191" s="20">
        <f t="shared" si="168"/>
        <v>1.978932943548152E-12</v>
      </c>
      <c r="BH191" s="59">
        <f t="shared" si="116"/>
        <v>293.3333333333353</v>
      </c>
      <c r="BI191" s="59">
        <f ca="1">AVERAGE(OFFSET($BH$3,0,0,'Données projet'!$E$11+1,1))-AVERAGE(OFFSET($H$3,0,0,'Données projet'!$E$11+1,1))</f>
        <v>258.31845364515124</v>
      </c>
      <c r="BJ191" s="59">
        <f t="shared" si="146"/>
        <v>280.26155987300996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0.50228837550860816</v>
      </c>
      <c r="BQ191" s="21">
        <f>EXP(-LN(2)/25)*BQ190+(1-EXP(-LN(2)/25))/(LN(2)/25)*Calculateur!BL191*Calculateur!BN191*VLOOKUP('Données projet'!$B$11,Paramètres!$A$1:$I$89,3,0)*0.475*44/12</f>
        <v>0.11799622210502844</v>
      </c>
      <c r="BR191" s="21">
        <f>EXP(-LN(2)/2)*BR190+(1-EXP(-LN(2)/2))/(LN(2)/2)*BL191*BO191*VLOOKUP('Données projet'!$B$11,Paramètres!$A$1:$I$89,3,0)*0.475*44/12</f>
        <v>7.4925960599340096E-24</v>
      </c>
      <c r="BS191" s="22">
        <f t="shared" si="169"/>
        <v>0.62028459761363663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-5.6843418860808015E-14</v>
      </c>
      <c r="BZ191" s="13">
        <f>BY191*VLOOKUP('Données projet'!$B$12,Paramètres!$A$1:$I$89,3,0)*VLOOKUP('Données projet'!$B$12,Paramètres!$A$1:$I$89,5,0)</f>
        <v>-5.1431925385259088E-14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366.86025470473652</v>
      </c>
      <c r="CE191" s="59">
        <f t="shared" si="148"/>
        <v>513.80016421153414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0.11266924471081156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6.1245272584001202E-24</v>
      </c>
      <c r="CN191" s="22">
        <f t="shared" si="172"/>
        <v>0.11266924471081156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-5.6843418860808015E-14</v>
      </c>
      <c r="CU191" s="17">
        <f>CT191*VLOOKUP('Données projet'!$B$13,Paramètres!$A$1:$I$89,3,0)*VLOOKUP('Données projet'!$B$13,Paramètres!$A$1:$I$89,5,0)</f>
        <v>-3.1036506698001178E-14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207.02306964567629</v>
      </c>
      <c r="CZ191" s="59">
        <f t="shared" si="150"/>
        <v>342.06887933351783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0.28905496165091554</v>
      </c>
      <c r="DG191" s="21">
        <f>EXP(-LN(2)/25)*DG190+(1-EXP(-LN(2)/25))/(LN(2)/25)*Calculateur!DB191*Calculateur!DD191*VLOOKUP('Données projet'!$B$13,Paramètres!$A$1:$I$89,3,0)*0.475*44/12</f>
        <v>0.48714628407470117</v>
      </c>
      <c r="DH191" s="21">
        <f>EXP(-LN(2)/2)*DH190+(1-EXP(-LN(2)/2))/(LN(2)/2)*DB191*DE191*VLOOKUP('Données projet'!$B$13,Paramètres!$A$1:$I$89,3,0)*0.475*44/12</f>
        <v>2.1960077587113206E-23</v>
      </c>
      <c r="DI191" s="22">
        <f t="shared" si="175"/>
        <v>0.77620124572561666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7">
        <f t="shared" si="110"/>
        <v>256.66666666666669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-1.1368683772161603E-13</v>
      </c>
      <c r="O192" s="13">
        <f>N192*VLOOKUP('Données projet'!$B$9,Paramètres!$A$1:$I$89,3,0)*VLOOKUP('Données projet'!$B$9,Paramètres!$A$1:$I$89,5,0)</f>
        <v>-5.3205440053716299E-14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319.22903094674564</v>
      </c>
      <c r="T192" s="59">
        <f t="shared" si="142"/>
        <v>254.58690973142848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0.38937334554171177</v>
      </c>
      <c r="AA192" s="21">
        <f>EXP(-LN(2)/25)*AA191+(1-EXP(-LN(2)/25))/(LN(2)/25)*Calculateur!V192*Calculateur!X192*VLOOKUP('Données projet'!$B$9,Paramètres!$A$1:$I$89,3,0)*0.475*44/12</f>
        <v>0.13576115202026326</v>
      </c>
      <c r="AB192" s="21">
        <f>EXP(-LN(2)/2)*AB191+(1-EXP(-LN(2)/2))/(LN(2)/2)*V192*Y192*VLOOKUP('Données projet'!$B$9,Paramètres!$A$1:$I$89,3,0)*0.475*44/12</f>
        <v>1.2918362769178134E-23</v>
      </c>
      <c r="AC192" s="22">
        <f t="shared" si="163"/>
        <v>0.52513449756197506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1.9895196601282805E-13</v>
      </c>
      <c r="AJ192" s="13">
        <f>AI192*VLOOKUP('Données projet'!$B$10,Paramètres!$A$1:$I$89,3,0)*VLOOKUP('Données projet'!$B$10,Paramètres!$A$1:$I$89,5,0)</f>
        <v>1.738044375088066E-13</v>
      </c>
      <c r="AK192" s="13">
        <f t="shared" si="164"/>
        <v>2.4483293633950478E-12</v>
      </c>
      <c r="AL192" s="20">
        <f t="shared" si="165"/>
        <v>4.566883036574213E-12</v>
      </c>
      <c r="AM192" s="59">
        <f t="shared" si="113"/>
        <v>293.33333333333786</v>
      </c>
      <c r="AN192" s="59">
        <f ca="1">AVERAGE(OFFSET($AM$3,0,0,'Données projet'!$E$10+1,1))-AVERAGE(OFFSET($H$3,0,0,'Données projet'!$E$10+1,1))</f>
        <v>321.23599968992932</v>
      </c>
      <c r="AO192" s="59">
        <f t="shared" si="144"/>
        <v>388.05195847800502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0.29061351586930723</v>
      </c>
      <c r="AV192" s="21">
        <f>EXP(-LN(2)/25)*AV191+(1-EXP(-LN(2)/25))/(LN(2)/25)*Calculateur!AQ192*Calculateur!AS192*VLOOKUP('Données projet'!$B$10,Paramètres!$A$1:$I$89,3,0)*0.475*44/12</f>
        <v>0.18629416408627403</v>
      </c>
      <c r="AW192" s="21">
        <f>EXP(-LN(2)/2)*AW191+(1-EXP(-LN(2)/2))/(LN(2)/2)*AQ192*AT192*VLOOKUP('Données projet'!$B$10,Paramètres!$A$1:$I$89,3,0)*0.475*44/12</f>
        <v>1.9794710437868246E-23</v>
      </c>
      <c r="AX192" s="21">
        <f t="shared" si="166"/>
        <v>0.47690767995558125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1.1368683772161603E-13</v>
      </c>
      <c r="BE192" s="13">
        <f>BD192*VLOOKUP('Données projet'!$B$11,Paramètres!$A$1:$I$89,3,0)*VLOOKUP('Données projet'!$B$11,Paramètres!$A$1:$I$89,5,0)</f>
        <v>6.7984728957526396E-14</v>
      </c>
      <c r="BF192" s="13">
        <f t="shared" si="167"/>
        <v>1.0682447123141398E-12</v>
      </c>
      <c r="BG192" s="20">
        <f t="shared" si="168"/>
        <v>1.978932943548152E-12</v>
      </c>
      <c r="BH192" s="59">
        <f t="shared" si="116"/>
        <v>293.3333333333353</v>
      </c>
      <c r="BI192" s="59">
        <f ca="1">AVERAGE(OFFSET($BH$3,0,0,'Données projet'!$E$11+1,1))-AVERAGE(OFFSET($H$3,0,0,'Données projet'!$E$11+1,1))</f>
        <v>258.31845364515124</v>
      </c>
      <c r="BJ192" s="59">
        <f t="shared" si="146"/>
        <v>280.26155987300996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0.49243880683054231</v>
      </c>
      <c r="BQ192" s="21">
        <f>EXP(-LN(2)/25)*BQ191+(1-EXP(-LN(2)/25))/(LN(2)/25)*Calculateur!BL192*Calculateur!BN192*VLOOKUP('Données projet'!$B$11,Paramètres!$A$1:$I$89,3,0)*0.475*44/12</f>
        <v>0.1147696092064148</v>
      </c>
      <c r="BR192" s="21">
        <f>EXP(-LN(2)/2)*BR191+(1-EXP(-LN(2)/2))/(LN(2)/2)*BL192*BO192*VLOOKUP('Données projet'!$B$11,Paramètres!$A$1:$I$89,3,0)*0.475*44/12</f>
        <v>5.2980654826709459E-24</v>
      </c>
      <c r="BS192" s="22">
        <f t="shared" si="169"/>
        <v>0.60720841603695708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-5.6843418860808015E-14</v>
      </c>
      <c r="BZ192" s="13">
        <f>BY192*VLOOKUP('Données projet'!$B$12,Paramètres!$A$1:$I$89,3,0)*VLOOKUP('Données projet'!$B$12,Paramètres!$A$1:$I$89,5,0)</f>
        <v>-5.1431925385259088E-14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366.86025470473652</v>
      </c>
      <c r="CE192" s="59">
        <f t="shared" si="148"/>
        <v>513.80016421153414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0.11045986954348615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4.3306947559765795E-24</v>
      </c>
      <c r="CN192" s="22">
        <f t="shared" si="172"/>
        <v>0.11045986954348615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-5.6843418860808015E-14</v>
      </c>
      <c r="CU192" s="17">
        <f>CT192*VLOOKUP('Données projet'!$B$13,Paramètres!$A$1:$I$89,3,0)*VLOOKUP('Données projet'!$B$13,Paramètres!$A$1:$I$89,5,0)</f>
        <v>-3.1036506698001178E-14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207.02306964567629</v>
      </c>
      <c r="CZ192" s="59">
        <f t="shared" si="150"/>
        <v>342.06887933351783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0.28338677015905889</v>
      </c>
      <c r="DG192" s="21">
        <f>EXP(-LN(2)/25)*DG191+(1-EXP(-LN(2)/25))/(LN(2)/25)*Calculateur!DB192*Calculateur!DD192*VLOOKUP('Données projet'!$B$13,Paramètres!$A$1:$I$89,3,0)*0.475*44/12</f>
        <v>0.4738252433187688</v>
      </c>
      <c r="DH192" s="21">
        <f>EXP(-LN(2)/2)*DH191+(1-EXP(-LN(2)/2))/(LN(2)/2)*DB192*DE192*VLOOKUP('Données projet'!$B$13,Paramètres!$A$1:$I$89,3,0)*0.475*44/12</f>
        <v>1.5528119777230464E-23</v>
      </c>
      <c r="DI192" s="22">
        <f t="shared" si="175"/>
        <v>0.75721201347782774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7">
        <f t="shared" si="110"/>
        <v>256.66666666666669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-1.1368683772161603E-13</v>
      </c>
      <c r="O193" s="13">
        <f>N193*VLOOKUP('Données projet'!$B$9,Paramètres!$A$1:$I$89,3,0)*VLOOKUP('Données projet'!$B$9,Paramètres!$A$1:$I$89,5,0)</f>
        <v>-5.3205440053716299E-14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319.22903094674564</v>
      </c>
      <c r="T193" s="59">
        <f t="shared" si="142"/>
        <v>254.58690973142848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0.38173797172992896</v>
      </c>
      <c r="AA193" s="21">
        <f>EXP(-LN(2)/25)*AA192+(1-EXP(-LN(2)/25))/(LN(2)/25)*Calculateur!V193*Calculateur!X193*VLOOKUP('Données projet'!$B$9,Paramètres!$A$1:$I$89,3,0)*0.475*44/12</f>
        <v>0.13204875617890047</v>
      </c>
      <c r="AB193" s="21">
        <f>EXP(-LN(2)/2)*AB192+(1-EXP(-LN(2)/2))/(LN(2)/2)*V193*Y193*VLOOKUP('Données projet'!$B$9,Paramètres!$A$1:$I$89,3,0)*0.475*44/12</f>
        <v>9.1346619159136856E-24</v>
      </c>
      <c r="AC193" s="22">
        <f t="shared" si="163"/>
        <v>0.5137867279088294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1.9895196601282805E-13</v>
      </c>
      <c r="AJ193" s="13">
        <f>AI193*VLOOKUP('Données projet'!$B$10,Paramètres!$A$1:$I$89,3,0)*VLOOKUP('Données projet'!$B$10,Paramètres!$A$1:$I$89,5,0)</f>
        <v>1.738044375088066E-13</v>
      </c>
      <c r="AK193" s="13">
        <f t="shared" si="164"/>
        <v>2.4483293633950478E-12</v>
      </c>
      <c r="AL193" s="20">
        <f t="shared" si="165"/>
        <v>4.566883036574213E-12</v>
      </c>
      <c r="AM193" s="59">
        <f t="shared" si="113"/>
        <v>293.33333333333786</v>
      </c>
      <c r="AN193" s="59">
        <f ca="1">AVERAGE(OFFSET($AM$3,0,0,'Données projet'!$E$10+1,1))-AVERAGE(OFFSET($H$3,0,0,'Données projet'!$E$10+1,1))</f>
        <v>321.23599968992932</v>
      </c>
      <c r="AO193" s="59">
        <f t="shared" si="144"/>
        <v>388.05195847800502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0.28491476207985217</v>
      </c>
      <c r="AV193" s="21">
        <f>EXP(-LN(2)/25)*AV192+(1-EXP(-LN(2)/25))/(LN(2)/25)*Calculateur!AQ193*Calculateur!AS193*VLOOKUP('Données projet'!$B$10,Paramètres!$A$1:$I$89,3,0)*0.475*44/12</f>
        <v>0.18119994037255055</v>
      </c>
      <c r="AW193" s="21">
        <f>EXP(-LN(2)/2)*AW192+(1-EXP(-LN(2)/2))/(LN(2)/2)*AQ193*AT193*VLOOKUP('Données projet'!$B$10,Paramètres!$A$1:$I$89,3,0)*0.475*44/12</f>
        <v>1.399697398224077E-23</v>
      </c>
      <c r="AX193" s="21">
        <f t="shared" si="166"/>
        <v>0.46611470245240272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1.1368683772161603E-13</v>
      </c>
      <c r="BE193" s="13">
        <f>BD193*VLOOKUP('Données projet'!$B$11,Paramètres!$A$1:$I$89,3,0)*VLOOKUP('Données projet'!$B$11,Paramètres!$A$1:$I$89,5,0)</f>
        <v>6.7984728957526396E-14</v>
      </c>
      <c r="BF193" s="13">
        <f t="shared" si="167"/>
        <v>1.0682447123141398E-12</v>
      </c>
      <c r="BG193" s="20">
        <f t="shared" si="168"/>
        <v>1.978932943548152E-12</v>
      </c>
      <c r="BH193" s="59">
        <f t="shared" si="116"/>
        <v>293.3333333333353</v>
      </c>
      <c r="BI193" s="59">
        <f ca="1">AVERAGE(OFFSET($BH$3,0,0,'Données projet'!$E$11+1,1))-AVERAGE(OFFSET($H$3,0,0,'Données projet'!$E$11+1,1))</f>
        <v>258.31845364515124</v>
      </c>
      <c r="BJ193" s="59">
        <f t="shared" si="146"/>
        <v>280.26155987300996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0.48278238218660963</v>
      </c>
      <c r="BQ193" s="21">
        <f>EXP(-LN(2)/25)*BQ192+(1-EXP(-LN(2)/25))/(LN(2)/25)*Calculateur!BL193*Calculateur!BN193*VLOOKUP('Données projet'!$B$11,Paramètres!$A$1:$I$89,3,0)*0.475*44/12</f>
        <v>0.11163122820719394</v>
      </c>
      <c r="BR193" s="21">
        <f>EXP(-LN(2)/2)*BR192+(1-EXP(-LN(2)/2))/(LN(2)/2)*BL193*BO193*VLOOKUP('Données projet'!$B$11,Paramètres!$A$1:$I$89,3,0)*0.475*44/12</f>
        <v>3.7462980299670048E-24</v>
      </c>
      <c r="BS193" s="22">
        <f t="shared" si="169"/>
        <v>0.59441361039380358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-5.6843418860808015E-14</v>
      </c>
      <c r="BZ193" s="13">
        <f>BY193*VLOOKUP('Données projet'!$B$12,Paramètres!$A$1:$I$89,3,0)*VLOOKUP('Données projet'!$B$12,Paramètres!$A$1:$I$89,5,0)</f>
        <v>-5.1431925385259088E-14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366.86025470473652</v>
      </c>
      <c r="CE193" s="59">
        <f t="shared" si="148"/>
        <v>513.80016421153414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0.10829381887560618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3.0622636292000601E-24</v>
      </c>
      <c r="CN193" s="22">
        <f t="shared" si="172"/>
        <v>0.10829381887560618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-5.6843418860808015E-14</v>
      </c>
      <c r="CU193" s="17">
        <f>CT193*VLOOKUP('Données projet'!$B$13,Paramètres!$A$1:$I$89,3,0)*VLOOKUP('Données projet'!$B$13,Paramètres!$A$1:$I$89,5,0)</f>
        <v>-3.1036506698001178E-14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207.02306964567629</v>
      </c>
      <c r="CZ193" s="59">
        <f t="shared" si="150"/>
        <v>342.06887933351783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0.27782972844510212</v>
      </c>
      <c r="DG193" s="21">
        <f>EXP(-LN(2)/25)*DG192+(1-EXP(-LN(2)/25))/(LN(2)/25)*Calculateur!DB193*Calculateur!DD193*VLOOKUP('Données projet'!$B$13,Paramètres!$A$1:$I$89,3,0)*0.475*44/12</f>
        <v>0.46086846712283047</v>
      </c>
      <c r="DH193" s="21">
        <f>EXP(-LN(2)/2)*DH192+(1-EXP(-LN(2)/2))/(LN(2)/2)*DB193*DE193*VLOOKUP('Données projet'!$B$13,Paramètres!$A$1:$I$89,3,0)*0.475*44/12</f>
        <v>1.0980038793556603E-23</v>
      </c>
      <c r="DI193" s="22">
        <f t="shared" si="175"/>
        <v>0.73869819556793259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7">
        <f t="shared" si="110"/>
        <v>256.66666666666669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-1.1368683772161603E-13</v>
      </c>
      <c r="O194" s="13">
        <f>N194*VLOOKUP('Données projet'!$B$9,Paramètres!$A$1:$I$89,3,0)*VLOOKUP('Données projet'!$B$9,Paramètres!$A$1:$I$89,5,0)</f>
        <v>-5.3205440053716299E-14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319.22903094674564</v>
      </c>
      <c r="T194" s="59">
        <f t="shared" si="142"/>
        <v>254.58690973142848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0.37425232294147703</v>
      </c>
      <c r="AA194" s="21">
        <f>EXP(-LN(2)/25)*AA193+(1-EXP(-LN(2)/25))/(LN(2)/25)*Calculateur!V194*Calculateur!X194*VLOOKUP('Données projet'!$B$9,Paramètres!$A$1:$I$89,3,0)*0.475*44/12</f>
        <v>0.12843787599704615</v>
      </c>
      <c r="AB194" s="21">
        <f>EXP(-LN(2)/2)*AB193+(1-EXP(-LN(2)/2))/(LN(2)/2)*V194*Y194*VLOOKUP('Données projet'!$B$9,Paramètres!$A$1:$I$89,3,0)*0.475*44/12</f>
        <v>6.4591813845890678E-24</v>
      </c>
      <c r="AC194" s="22">
        <f t="shared" si="163"/>
        <v>0.50269019893852318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1.9895196601282805E-13</v>
      </c>
      <c r="AJ194" s="13">
        <f>AI194*VLOOKUP('Données projet'!$B$10,Paramètres!$A$1:$I$89,3,0)*VLOOKUP('Données projet'!$B$10,Paramètres!$A$1:$I$89,5,0)</f>
        <v>1.738044375088066E-13</v>
      </c>
      <c r="AK194" s="13">
        <f t="shared" si="164"/>
        <v>2.4483293633950478E-12</v>
      </c>
      <c r="AL194" s="20">
        <f t="shared" si="165"/>
        <v>4.566883036574213E-12</v>
      </c>
      <c r="AM194" s="59">
        <f t="shared" si="113"/>
        <v>293.33333333333786</v>
      </c>
      <c r="AN194" s="59">
        <f ca="1">AVERAGE(OFFSET($AM$3,0,0,'Données projet'!$E$10+1,1))-AVERAGE(OFFSET($H$3,0,0,'Données projet'!$E$10+1,1))</f>
        <v>321.23599968992932</v>
      </c>
      <c r="AO194" s="59">
        <f t="shared" si="144"/>
        <v>388.05195847800502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0.27932775737631171</v>
      </c>
      <c r="AV194" s="21">
        <f>EXP(-LN(2)/25)*AV193+(1-EXP(-LN(2)/25))/(LN(2)/25)*Calculateur!AQ194*Calculateur!AS194*VLOOKUP('Données projet'!$B$10,Paramètres!$A$1:$I$89,3,0)*0.475*44/12</f>
        <v>0.17624501847417243</v>
      </c>
      <c r="AW194" s="21">
        <f>EXP(-LN(2)/2)*AW193+(1-EXP(-LN(2)/2))/(LN(2)/2)*AQ194*AT194*VLOOKUP('Données projet'!$B$10,Paramètres!$A$1:$I$89,3,0)*0.475*44/12</f>
        <v>9.8973552189341231E-24</v>
      </c>
      <c r="AX194" s="21">
        <f t="shared" si="166"/>
        <v>0.45557277585048417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1.1368683772161603E-13</v>
      </c>
      <c r="BE194" s="13">
        <f>BD194*VLOOKUP('Données projet'!$B$11,Paramètres!$A$1:$I$89,3,0)*VLOOKUP('Données projet'!$B$11,Paramètres!$A$1:$I$89,5,0)</f>
        <v>6.7984728957526396E-14</v>
      </c>
      <c r="BF194" s="13">
        <f t="shared" si="167"/>
        <v>1.0682447123141398E-12</v>
      </c>
      <c r="BG194" s="20">
        <f t="shared" si="168"/>
        <v>1.978932943548152E-12</v>
      </c>
      <c r="BH194" s="59">
        <f t="shared" si="116"/>
        <v>293.3333333333353</v>
      </c>
      <c r="BI194" s="59">
        <f ca="1">AVERAGE(OFFSET($BH$3,0,0,'Données projet'!$E$11+1,1))-AVERAGE(OFFSET($H$3,0,0,'Données projet'!$E$11+1,1))</f>
        <v>258.31845364515124</v>
      </c>
      <c r="BJ194" s="59">
        <f t="shared" si="146"/>
        <v>280.26155987300996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0.47331531414010702</v>
      </c>
      <c r="BQ194" s="21">
        <f>EXP(-LN(2)/25)*BQ193+(1-EXP(-LN(2)/25))/(LN(2)/25)*Calculateur!BL194*Calculateur!BN194*VLOOKUP('Données projet'!$B$11,Paramètres!$A$1:$I$89,3,0)*0.475*44/12</f>
        <v>0.10857866640143707</v>
      </c>
      <c r="BR194" s="21">
        <f>EXP(-LN(2)/2)*BR193+(1-EXP(-LN(2)/2))/(LN(2)/2)*BL194*BO194*VLOOKUP('Données projet'!$B$11,Paramètres!$A$1:$I$89,3,0)*0.475*44/12</f>
        <v>2.6490327413354729E-24</v>
      </c>
      <c r="BS194" s="22">
        <f t="shared" si="169"/>
        <v>0.58189398054154406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-5.6843418860808015E-14</v>
      </c>
      <c r="BZ194" s="13">
        <f>BY194*VLOOKUP('Données projet'!$B$12,Paramètres!$A$1:$I$89,3,0)*VLOOKUP('Données projet'!$B$12,Paramètres!$A$1:$I$89,5,0)</f>
        <v>-5.1431925385259088E-14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366.86025470473652</v>
      </c>
      <c r="CE194" s="59">
        <f t="shared" si="148"/>
        <v>513.80016421153414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0.10617024314016289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2.1653473779882898E-24</v>
      </c>
      <c r="CN194" s="22">
        <f t="shared" si="172"/>
        <v>0.10617024314016289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-5.6843418860808015E-14</v>
      </c>
      <c r="CU194" s="17">
        <f>CT194*VLOOKUP('Données projet'!$B$13,Paramètres!$A$1:$I$89,3,0)*VLOOKUP('Données projet'!$B$13,Paramètres!$A$1:$I$89,5,0)</f>
        <v>-3.1036506698001178E-14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207.02306964567629</v>
      </c>
      <c r="CZ194" s="59">
        <f t="shared" si="150"/>
        <v>342.06887933351783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0.27238165692969529</v>
      </c>
      <c r="DG194" s="21">
        <f>EXP(-LN(2)/25)*DG193+(1-EXP(-LN(2)/25))/(LN(2)/25)*Calculateur!DB194*Calculateur!DD194*VLOOKUP('Données projet'!$B$13,Paramètres!$A$1:$I$89,3,0)*0.475*44/12</f>
        <v>0.44826599465333733</v>
      </c>
      <c r="DH194" s="21">
        <f>EXP(-LN(2)/2)*DH193+(1-EXP(-LN(2)/2))/(LN(2)/2)*DB194*DE194*VLOOKUP('Données projet'!$B$13,Paramètres!$A$1:$I$89,3,0)*0.475*44/12</f>
        <v>7.764059888615232E-24</v>
      </c>
      <c r="DI194" s="22">
        <f t="shared" si="175"/>
        <v>0.72064765158303268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7">
        <f t="shared" si="110"/>
        <v>256.66666666666669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-1.1368683772161603E-13</v>
      </c>
      <c r="O195" s="13">
        <f>N195*VLOOKUP('Données projet'!$B$9,Paramètres!$A$1:$I$89,3,0)*VLOOKUP('Données projet'!$B$9,Paramètres!$A$1:$I$89,5,0)</f>
        <v>-5.3205440053716299E-14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319.22903094674564</v>
      </c>
      <c r="T195" s="59">
        <f t="shared" si="142"/>
        <v>254.58690973142848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0.36691346315997175</v>
      </c>
      <c r="AA195" s="21">
        <f>EXP(-LN(2)/25)*AA194+(1-EXP(-LN(2)/25))/(LN(2)/25)*Calculateur!V195*Calculateur!X195*VLOOKUP('Données projet'!$B$9,Paramètres!$A$1:$I$89,3,0)*0.475*44/12</f>
        <v>0.12492573552365258</v>
      </c>
      <c r="AB195" s="21">
        <f>EXP(-LN(2)/2)*AB194+(1-EXP(-LN(2)/2))/(LN(2)/2)*V195*Y195*VLOOKUP('Données projet'!$B$9,Paramètres!$A$1:$I$89,3,0)*0.475*44/12</f>
        <v>4.5673309579568435E-24</v>
      </c>
      <c r="AC195" s="22">
        <f t="shared" si="163"/>
        <v>0.49183919868362436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1.9895196601282805E-13</v>
      </c>
      <c r="AJ195" s="13">
        <f>AI195*VLOOKUP('Données projet'!$B$10,Paramètres!$A$1:$I$89,3,0)*VLOOKUP('Données projet'!$B$10,Paramètres!$A$1:$I$89,5,0)</f>
        <v>1.738044375088066E-13</v>
      </c>
      <c r="AK195" s="13">
        <f t="shared" si="164"/>
        <v>2.4483293633950478E-12</v>
      </c>
      <c r="AL195" s="20">
        <f t="shared" si="165"/>
        <v>4.566883036574213E-12</v>
      </c>
      <c r="AM195" s="59">
        <f t="shared" si="113"/>
        <v>293.33333333333786</v>
      </c>
      <c r="AN195" s="59">
        <f ca="1">AVERAGE(OFFSET($AM$3,0,0,'Données projet'!$E$10+1,1))-AVERAGE(OFFSET($H$3,0,0,'Données projet'!$E$10+1,1))</f>
        <v>321.23599968992932</v>
      </c>
      <c r="AO195" s="59">
        <f t="shared" si="144"/>
        <v>388.05195847800502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0.27385031042727132</v>
      </c>
      <c r="AV195" s="21">
        <f>EXP(-LN(2)/25)*AV194+(1-EXP(-LN(2)/25))/(LN(2)/25)*Calculateur!AQ195*Calculateur!AS195*VLOOKUP('Données projet'!$B$10,Paramètres!$A$1:$I$89,3,0)*0.475*44/12</f>
        <v>0.17142558917567347</v>
      </c>
      <c r="AW195" s="21">
        <f>EXP(-LN(2)/2)*AW194+(1-EXP(-LN(2)/2))/(LN(2)/2)*AQ195*AT195*VLOOKUP('Données projet'!$B$10,Paramètres!$A$1:$I$89,3,0)*0.475*44/12</f>
        <v>6.9984869911203851E-24</v>
      </c>
      <c r="AX195" s="21">
        <f t="shared" si="166"/>
        <v>0.44527589960294478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1.1368683772161603E-13</v>
      </c>
      <c r="BE195" s="13">
        <f>BD195*VLOOKUP('Données projet'!$B$11,Paramètres!$A$1:$I$89,3,0)*VLOOKUP('Données projet'!$B$11,Paramètres!$A$1:$I$89,5,0)</f>
        <v>6.7984728957526396E-14</v>
      </c>
      <c r="BF195" s="13">
        <f t="shared" si="167"/>
        <v>1.0682447123141398E-12</v>
      </c>
      <c r="BG195" s="20">
        <f t="shared" si="168"/>
        <v>1.978932943548152E-12</v>
      </c>
      <c r="BH195" s="59">
        <f t="shared" si="116"/>
        <v>293.3333333333353</v>
      </c>
      <c r="BI195" s="59">
        <f ca="1">AVERAGE(OFFSET($BH$3,0,0,'Données projet'!$E$11+1,1))-AVERAGE(OFFSET($H$3,0,0,'Données projet'!$E$11+1,1))</f>
        <v>258.31845364515124</v>
      </c>
      <c r="BJ195" s="59">
        <f t="shared" si="146"/>
        <v>280.26155987300996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0.46403388952365499</v>
      </c>
      <c r="BQ195" s="21">
        <f>EXP(-LN(2)/25)*BQ194+(1-EXP(-LN(2)/25))/(LN(2)/25)*Calculateur!BL195*Calculateur!BN195*VLOOKUP('Données projet'!$B$11,Paramètres!$A$1:$I$89,3,0)*0.475*44/12</f>
        <v>0.10560957705878586</v>
      </c>
      <c r="BR195" s="21">
        <f>EXP(-LN(2)/2)*BR194+(1-EXP(-LN(2)/2))/(LN(2)/2)*BL195*BO195*VLOOKUP('Données projet'!$B$11,Paramètres!$A$1:$I$89,3,0)*0.475*44/12</f>
        <v>1.8731490149835024E-24</v>
      </c>
      <c r="BS195" s="22">
        <f t="shared" si="169"/>
        <v>0.56964346658244081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-5.6843418860808015E-14</v>
      </c>
      <c r="BZ195" s="13">
        <f>BY195*VLOOKUP('Données projet'!$B$12,Paramètres!$A$1:$I$89,3,0)*VLOOKUP('Données projet'!$B$12,Paramètres!$A$1:$I$89,5,0)</f>
        <v>-5.1431925385259088E-14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366.86025470473652</v>
      </c>
      <c r="CE195" s="59">
        <f t="shared" si="148"/>
        <v>513.80016421153414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0.10408830942963834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1.5311318146000301E-24</v>
      </c>
      <c r="CN195" s="22">
        <f t="shared" si="172"/>
        <v>0.10408830942963834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-5.6843418860808015E-14</v>
      </c>
      <c r="CU195" s="17">
        <f>CT195*VLOOKUP('Données projet'!$B$13,Paramètres!$A$1:$I$89,3,0)*VLOOKUP('Données projet'!$B$13,Paramètres!$A$1:$I$89,5,0)</f>
        <v>-3.1036506698001178E-14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207.02306964567629</v>
      </c>
      <c r="CZ195" s="59">
        <f t="shared" si="150"/>
        <v>342.06887933351783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0.2670404187737101</v>
      </c>
      <c r="DG195" s="21">
        <f>EXP(-LN(2)/25)*DG194+(1-EXP(-LN(2)/25))/(LN(2)/25)*Calculateur!DB195*Calculateur!DD195*VLOOKUP('Données projet'!$B$13,Paramètres!$A$1:$I$89,3,0)*0.475*44/12</f>
        <v>0.43600813745625766</v>
      </c>
      <c r="DH195" s="21">
        <f>EXP(-LN(2)/2)*DH194+(1-EXP(-LN(2)/2))/(LN(2)/2)*DB195*DE195*VLOOKUP('Données projet'!$B$13,Paramètres!$A$1:$I$89,3,0)*0.475*44/12</f>
        <v>5.4900193967783015E-24</v>
      </c>
      <c r="DI195" s="22">
        <f t="shared" si="175"/>
        <v>0.70304855622996776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7">
        <f t="shared" ref="H196:H203" si="192">(B196+E196+F196)*44/12+(C196+D196)*0.475*44/12</f>
        <v>256.66666666666669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-1.1368683772161603E-13</v>
      </c>
      <c r="O196" s="13">
        <f>N196*VLOOKUP('Données projet'!$B$9,Paramètres!$A$1:$I$89,3,0)*VLOOKUP('Données projet'!$B$9,Paramètres!$A$1:$I$89,5,0)</f>
        <v>-5.3205440053716299E-14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319.22903094674564</v>
      </c>
      <c r="T196" s="59">
        <f t="shared" si="142"/>
        <v>254.58690973142848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0.3597185139425193</v>
      </c>
      <c r="AA196" s="21">
        <f>EXP(-LN(2)/25)*AA195+(1-EXP(-LN(2)/25))/(LN(2)/25)*Calculateur!V196*Calculateur!X196*VLOOKUP('Données projet'!$B$9,Paramètres!$A$1:$I$89,3,0)*0.475*44/12</f>
        <v>0.12150963471619938</v>
      </c>
      <c r="AB196" s="21">
        <f>EXP(-LN(2)/2)*AB195+(1-EXP(-LN(2)/2))/(LN(2)/2)*V196*Y196*VLOOKUP('Données projet'!$B$9,Paramètres!$A$1:$I$89,3,0)*0.475*44/12</f>
        <v>3.2295906922945346E-24</v>
      </c>
      <c r="AC196" s="22">
        <f t="shared" si="163"/>
        <v>0.48122814865871866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1.9895196601282805E-13</v>
      </c>
      <c r="AJ196" s="13">
        <f>AI196*VLOOKUP('Données projet'!$B$10,Paramètres!$A$1:$I$89,3,0)*VLOOKUP('Données projet'!$B$10,Paramètres!$A$1:$I$89,5,0)</f>
        <v>1.738044375088066E-13</v>
      </c>
      <c r="AK196" s="13">
        <f t="shared" si="164"/>
        <v>2.4483293633950478E-12</v>
      </c>
      <c r="AL196" s="20">
        <f t="shared" si="165"/>
        <v>4.566883036574213E-12</v>
      </c>
      <c r="AM196" s="59">
        <f t="shared" ref="AM196:AM203" si="193">AL196+(AD196+AE196)*44/12</f>
        <v>293.33333333333786</v>
      </c>
      <c r="AN196" s="59">
        <f ca="1">AVERAGE(OFFSET($AM$3,0,0,'Données projet'!$E$10+1,1))-AVERAGE(OFFSET($H$3,0,0,'Données projet'!$E$10+1,1))</f>
        <v>321.23599968992932</v>
      </c>
      <c r="AO196" s="59">
        <f t="shared" si="144"/>
        <v>388.05195847800502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0.26848027287198883</v>
      </c>
      <c r="AV196" s="21">
        <f>EXP(-LN(2)/25)*AV195+(1-EXP(-LN(2)/25))/(LN(2)/25)*Calculateur!AQ196*Calculateur!AS196*VLOOKUP('Données projet'!$B$10,Paramètres!$A$1:$I$89,3,0)*0.475*44/12</f>
        <v>0.16673794742478473</v>
      </c>
      <c r="AW196" s="21">
        <f>EXP(-LN(2)/2)*AW195+(1-EXP(-LN(2)/2))/(LN(2)/2)*AQ196*AT196*VLOOKUP('Données projet'!$B$10,Paramètres!$A$1:$I$89,3,0)*0.475*44/12</f>
        <v>4.9486776094670615E-24</v>
      </c>
      <c r="AX196" s="21">
        <f t="shared" si="166"/>
        <v>0.43521822029677359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1.1368683772161603E-13</v>
      </c>
      <c r="BE196" s="13">
        <f>BD196*VLOOKUP('Données projet'!$B$11,Paramètres!$A$1:$I$89,3,0)*VLOOKUP('Données projet'!$B$11,Paramètres!$A$1:$I$89,5,0)</f>
        <v>6.7984728957526396E-14</v>
      </c>
      <c r="BF196" s="13">
        <f t="shared" si="167"/>
        <v>1.0682447123141398E-12</v>
      </c>
      <c r="BG196" s="20">
        <f t="shared" si="168"/>
        <v>1.978932943548152E-12</v>
      </c>
      <c r="BH196" s="59">
        <f t="shared" ref="BH196:BH203" si="194">BG196+(AY196+AZ196)*44/12</f>
        <v>293.3333333333353</v>
      </c>
      <c r="BI196" s="59">
        <f ca="1">AVERAGE(OFFSET($BH$3,0,0,'Données projet'!$E$11+1,1))-AVERAGE(OFFSET($H$3,0,0,'Données projet'!$E$11+1,1))</f>
        <v>258.31845364515124</v>
      </c>
      <c r="BJ196" s="59">
        <f t="shared" si="146"/>
        <v>280.26155987300996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0.45493446798282156</v>
      </c>
      <c r="BQ196" s="21">
        <f>EXP(-LN(2)/25)*BQ195+(1-EXP(-LN(2)/25))/(LN(2)/25)*Calculateur!BL196*Calculateur!BN196*VLOOKUP('Données projet'!$B$11,Paramètres!$A$1:$I$89,3,0)*0.475*44/12</f>
        <v>0.10272167762034708</v>
      </c>
      <c r="BR196" s="21">
        <f>EXP(-LN(2)/2)*BR195+(1-EXP(-LN(2)/2))/(LN(2)/2)*BL196*BO196*VLOOKUP('Données projet'!$B$11,Paramètres!$A$1:$I$89,3,0)*0.475*44/12</f>
        <v>1.3245163706677365E-24</v>
      </c>
      <c r="BS196" s="22">
        <f t="shared" si="169"/>
        <v>0.55765614560316867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-5.6843418860808015E-14</v>
      </c>
      <c r="BZ196" s="13">
        <f>BY196*VLOOKUP('Données projet'!$B$12,Paramètres!$A$1:$I$89,3,0)*VLOOKUP('Données projet'!$B$12,Paramètres!$A$1:$I$89,5,0)</f>
        <v>-5.1431925385259088E-14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366.86025470473652</v>
      </c>
      <c r="CE196" s="59">
        <f t="shared" si="148"/>
        <v>513.80016421153414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0.102047201169323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1.0826736889941449E-24</v>
      </c>
      <c r="CN196" s="22">
        <f t="shared" si="172"/>
        <v>0.102047201169323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-5.6843418860808015E-14</v>
      </c>
      <c r="CU196" s="17">
        <f>CT196*VLOOKUP('Données projet'!$B$13,Paramètres!$A$1:$I$89,3,0)*VLOOKUP('Données projet'!$B$13,Paramètres!$A$1:$I$89,5,0)</f>
        <v>-3.1036506698001178E-14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207.02306964567629</v>
      </c>
      <c r="CZ196" s="59">
        <f t="shared" si="150"/>
        <v>342.06887933351783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0.26180391904013017</v>
      </c>
      <c r="DG196" s="21">
        <f>EXP(-LN(2)/25)*DG195+(1-EXP(-LN(2)/25))/(LN(2)/25)*Calculateur!DB196*Calculateur!DD196*VLOOKUP('Données projet'!$B$13,Paramètres!$A$1:$I$89,3,0)*0.475*44/12</f>
        <v>0.42408547200884483</v>
      </c>
      <c r="DH196" s="21">
        <f>EXP(-LN(2)/2)*DH195+(1-EXP(-LN(2)/2))/(LN(2)/2)*DB196*DE196*VLOOKUP('Données projet'!$B$13,Paramètres!$A$1:$I$89,3,0)*0.475*44/12</f>
        <v>3.882029944307616E-24</v>
      </c>
      <c r="DI196" s="22">
        <f t="shared" si="175"/>
        <v>0.68588939104897495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7">
        <f t="shared" si="192"/>
        <v>256.66666666666669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-1.1368683772161603E-13</v>
      </c>
      <c r="O197" s="13">
        <f>N197*VLOOKUP('Données projet'!$B$9,Paramètres!$A$1:$I$89,3,0)*VLOOKUP('Données projet'!$B$9,Paramètres!$A$1:$I$89,5,0)</f>
        <v>-5.3205440053716299E-14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319.22903094674564</v>
      </c>
      <c r="T197" s="59">
        <f t="shared" ref="T197:T203" si="204">$T$3</f>
        <v>254.58690973142848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0.35266465329073537</v>
      </c>
      <c r="AA197" s="21">
        <f>EXP(-LN(2)/25)*AA196+(1-EXP(-LN(2)/25))/(LN(2)/25)*Calculateur!V197*Calculateur!X197*VLOOKUP('Données projet'!$B$9,Paramètres!$A$1:$I$89,3,0)*0.475*44/12</f>
        <v>0.11818694736497093</v>
      </c>
      <c r="AB197" s="21">
        <f>EXP(-LN(2)/2)*AB196+(1-EXP(-LN(2)/2))/(LN(2)/2)*V197*Y197*VLOOKUP('Données projet'!$B$9,Paramètres!$A$1:$I$89,3,0)*0.475*44/12</f>
        <v>2.2836654789784221E-24</v>
      </c>
      <c r="AC197" s="22">
        <f t="shared" si="163"/>
        <v>0.4708516006557063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1.9895196601282805E-13</v>
      </c>
      <c r="AJ197" s="13">
        <f>AI197*VLOOKUP('Données projet'!$B$10,Paramètres!$A$1:$I$89,3,0)*VLOOKUP('Données projet'!$B$10,Paramètres!$A$1:$I$89,5,0)</f>
        <v>1.738044375088066E-13</v>
      </c>
      <c r="AK197" s="13">
        <f t="shared" si="164"/>
        <v>2.4483293633950478E-12</v>
      </c>
      <c r="AL197" s="20">
        <f t="shared" si="165"/>
        <v>4.566883036574213E-12</v>
      </c>
      <c r="AM197" s="59">
        <f t="shared" si="193"/>
        <v>293.33333333333786</v>
      </c>
      <c r="AN197" s="59">
        <f ca="1">AVERAGE(OFFSET($AM$3,0,0,'Données projet'!$E$10+1,1))-AVERAGE(OFFSET($H$3,0,0,'Données projet'!$E$10+1,1))</f>
        <v>321.23599968992932</v>
      </c>
      <c r="AO197" s="59">
        <f t="shared" ref="AO197:AO203" si="205">$AO$3</f>
        <v>388.05195847800502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0.26321553847776596</v>
      </c>
      <c r="AV197" s="21">
        <f>EXP(-LN(2)/25)*AV196+(1-EXP(-LN(2)/25))/(LN(2)/25)*Calculateur!AQ197*Calculateur!AS197*VLOOKUP('Données projet'!$B$10,Paramètres!$A$1:$I$89,3,0)*0.475*44/12</f>
        <v>0.16217848948408642</v>
      </c>
      <c r="AW197" s="21">
        <f>EXP(-LN(2)/2)*AW196+(1-EXP(-LN(2)/2))/(LN(2)/2)*AQ197*AT197*VLOOKUP('Données projet'!$B$10,Paramètres!$A$1:$I$89,3,0)*0.475*44/12</f>
        <v>3.4992434955601926E-24</v>
      </c>
      <c r="AX197" s="21">
        <f t="shared" si="166"/>
        <v>0.42539402796185238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1.1368683772161603E-13</v>
      </c>
      <c r="BE197" s="13">
        <f>BD197*VLOOKUP('Données projet'!$B$11,Paramètres!$A$1:$I$89,3,0)*VLOOKUP('Données projet'!$B$11,Paramètres!$A$1:$I$89,5,0)</f>
        <v>6.7984728957526396E-14</v>
      </c>
      <c r="BF197" s="13">
        <f t="shared" si="167"/>
        <v>1.0682447123141398E-12</v>
      </c>
      <c r="BG197" s="20">
        <f t="shared" si="168"/>
        <v>1.978932943548152E-12</v>
      </c>
      <c r="BH197" s="59">
        <f t="shared" si="194"/>
        <v>293.3333333333353</v>
      </c>
      <c r="BI197" s="59">
        <f ca="1">AVERAGE(OFFSET($BH$3,0,0,'Données projet'!$E$11+1,1))-AVERAGE(OFFSET($H$3,0,0,'Données projet'!$E$11+1,1))</f>
        <v>258.31845364515124</v>
      </c>
      <c r="BJ197" s="59">
        <f t="shared" ref="BJ197:BJ203" si="206">$BJ$3</f>
        <v>280.26155987300996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0.44601348054830475</v>
      </c>
      <c r="BQ197" s="21">
        <f>EXP(-LN(2)/25)*BQ196+(1-EXP(-LN(2)/25))/(LN(2)/25)*Calculateur!BL197*Calculateur!BN197*VLOOKUP('Données projet'!$B$11,Paramètres!$A$1:$I$89,3,0)*0.475*44/12</f>
        <v>9.9912747943920438E-2</v>
      </c>
      <c r="BR197" s="21">
        <f>EXP(-LN(2)/2)*BR196+(1-EXP(-LN(2)/2))/(LN(2)/2)*BL197*BO197*VLOOKUP('Données projet'!$B$11,Paramètres!$A$1:$I$89,3,0)*0.475*44/12</f>
        <v>9.365745074917512E-25</v>
      </c>
      <c r="BS197" s="22">
        <f t="shared" si="169"/>
        <v>0.54592622849222516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-5.6843418860808015E-14</v>
      </c>
      <c r="BZ197" s="13">
        <f>BY197*VLOOKUP('Données projet'!$B$12,Paramètres!$A$1:$I$89,3,0)*VLOOKUP('Données projet'!$B$12,Paramètres!$A$1:$I$89,5,0)</f>
        <v>-5.1431925385259088E-14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366.86025470473652</v>
      </c>
      <c r="CE197" s="59">
        <f t="shared" ref="CE197:CE203" si="207">$CE$3</f>
        <v>513.80016421153414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0.10004611779703934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7.6556590730001503E-25</v>
      </c>
      <c r="CN197" s="22">
        <f t="shared" si="172"/>
        <v>0.10004611779703934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-5.6843418860808015E-14</v>
      </c>
      <c r="CU197" s="17">
        <f>CT197*VLOOKUP('Données projet'!$B$13,Paramètres!$A$1:$I$89,3,0)*VLOOKUP('Données projet'!$B$13,Paramètres!$A$1:$I$89,5,0)</f>
        <v>-3.1036506698001178E-14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207.02306964567629</v>
      </c>
      <c r="CZ197" s="59">
        <f t="shared" ref="CZ197:CZ203" si="208">$CZ$3</f>
        <v>342.06887933351783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0.25667010387237627</v>
      </c>
      <c r="DG197" s="21">
        <f>EXP(-LN(2)/25)*DG196+(1-EXP(-LN(2)/25))/(LN(2)/25)*Calculateur!DB197*Calculateur!DD197*VLOOKUP('Données projet'!$B$13,Paramètres!$A$1:$I$89,3,0)*0.475*44/12</f>
        <v>0.41248883247507728</v>
      </c>
      <c r="DH197" s="21">
        <f>EXP(-LN(2)/2)*DH196+(1-EXP(-LN(2)/2))/(LN(2)/2)*DB197*DE197*VLOOKUP('Données projet'!$B$13,Paramètres!$A$1:$I$89,3,0)*0.475*44/12</f>
        <v>2.7450096983891508E-24</v>
      </c>
      <c r="DI197" s="22">
        <f t="shared" si="175"/>
        <v>0.66915893634745349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7">
        <f t="shared" si="192"/>
        <v>256.66666666666669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-1.1368683772161603E-13</v>
      </c>
      <c r="O198" s="13">
        <f>N198*VLOOKUP('Données projet'!$B$9,Paramètres!$A$1:$I$89,3,0)*VLOOKUP('Données projet'!$B$9,Paramètres!$A$1:$I$89,5,0)</f>
        <v>-5.3205440053716299E-14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319.22903094674564</v>
      </c>
      <c r="T198" s="59">
        <f t="shared" si="204"/>
        <v>254.58690973142848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0.34574911454390278</v>
      </c>
      <c r="AA198" s="21">
        <f>EXP(-LN(2)/25)*AA197+(1-EXP(-LN(2)/25))/(LN(2)/25)*Calculateur!V198*Calculateur!X198*VLOOKUP('Données projet'!$B$9,Paramètres!$A$1:$I$89,3,0)*0.475*44/12</f>
        <v>0.11495511907409435</v>
      </c>
      <c r="AB198" s="21">
        <f>EXP(-LN(2)/2)*AB197+(1-EXP(-LN(2)/2))/(LN(2)/2)*V198*Y198*VLOOKUP('Données projet'!$B$9,Paramètres!$A$1:$I$89,3,0)*0.475*44/12</f>
        <v>1.6147953461472675E-24</v>
      </c>
      <c r="AC198" s="22">
        <f t="shared" si="163"/>
        <v>0.46070423361799712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1.9895196601282805E-13</v>
      </c>
      <c r="AJ198" s="13">
        <f>AI198*VLOOKUP('Données projet'!$B$10,Paramètres!$A$1:$I$89,3,0)*VLOOKUP('Données projet'!$B$10,Paramètres!$A$1:$I$89,5,0)</f>
        <v>1.738044375088066E-13</v>
      </c>
      <c r="AK198" s="13">
        <f t="shared" si="164"/>
        <v>2.4483293633950478E-12</v>
      </c>
      <c r="AL198" s="20">
        <f t="shared" si="165"/>
        <v>4.566883036574213E-12</v>
      </c>
      <c r="AM198" s="59">
        <f t="shared" si="193"/>
        <v>293.33333333333786</v>
      </c>
      <c r="AN198" s="59">
        <f ca="1">AVERAGE(OFFSET($AM$3,0,0,'Données projet'!$E$10+1,1))-AVERAGE(OFFSET($H$3,0,0,'Données projet'!$E$10+1,1))</f>
        <v>321.23599968992932</v>
      </c>
      <c r="AO198" s="59">
        <f t="shared" si="205"/>
        <v>388.05195847800502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0.25805404231384288</v>
      </c>
      <c r="AV198" s="21">
        <f>EXP(-LN(2)/25)*AV197+(1-EXP(-LN(2)/25))/(LN(2)/25)*Calculateur!AQ198*Calculateur!AS198*VLOOKUP('Données projet'!$B$10,Paramètres!$A$1:$I$89,3,0)*0.475*44/12</f>
        <v>0.15774371016054797</v>
      </c>
      <c r="AW198" s="21">
        <f>EXP(-LN(2)/2)*AW197+(1-EXP(-LN(2)/2))/(LN(2)/2)*AQ198*AT198*VLOOKUP('Données projet'!$B$10,Paramètres!$A$1:$I$89,3,0)*0.475*44/12</f>
        <v>2.4743388047335308E-24</v>
      </c>
      <c r="AX198" s="21">
        <f t="shared" si="166"/>
        <v>0.41579775247439088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1.1368683772161603E-13</v>
      </c>
      <c r="BE198" s="13">
        <f>BD198*VLOOKUP('Données projet'!$B$11,Paramètres!$A$1:$I$89,3,0)*VLOOKUP('Données projet'!$B$11,Paramètres!$A$1:$I$89,5,0)</f>
        <v>6.7984728957526396E-14</v>
      </c>
      <c r="BF198" s="13">
        <f t="shared" si="167"/>
        <v>1.0682447123141398E-12</v>
      </c>
      <c r="BG198" s="20">
        <f t="shared" si="168"/>
        <v>1.978932943548152E-12</v>
      </c>
      <c r="BH198" s="59">
        <f t="shared" si="194"/>
        <v>293.3333333333353</v>
      </c>
      <c r="BI198" s="59">
        <f ca="1">AVERAGE(OFFSET($BH$3,0,0,'Données projet'!$E$11+1,1))-AVERAGE(OFFSET($H$3,0,0,'Données projet'!$E$11+1,1))</f>
        <v>258.31845364515124</v>
      </c>
      <c r="BJ198" s="59">
        <f t="shared" si="206"/>
        <v>280.26155987300996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0.43726742823611375</v>
      </c>
      <c r="BQ198" s="21">
        <f>EXP(-LN(2)/25)*BQ197+(1-EXP(-LN(2)/25))/(LN(2)/25)*Calculateur!BL198*Calculateur!BN198*VLOOKUP('Données projet'!$B$11,Paramètres!$A$1:$I$89,3,0)*0.475*44/12</f>
        <v>9.7180628597210869E-2</v>
      </c>
      <c r="BR198" s="21">
        <f>EXP(-LN(2)/2)*BR197+(1-EXP(-LN(2)/2))/(LN(2)/2)*BL198*BO198*VLOOKUP('Données projet'!$B$11,Paramètres!$A$1:$I$89,3,0)*0.475*44/12</f>
        <v>6.6225818533386824E-25</v>
      </c>
      <c r="BS198" s="22">
        <f t="shared" si="169"/>
        <v>0.53444805683332464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-5.6843418860808015E-14</v>
      </c>
      <c r="BZ198" s="13">
        <f>BY198*VLOOKUP('Données projet'!$B$12,Paramètres!$A$1:$I$89,3,0)*VLOOKUP('Données projet'!$B$12,Paramètres!$A$1:$I$89,5,0)</f>
        <v>-5.1431925385259088E-14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366.86025470473652</v>
      </c>
      <c r="CE198" s="59">
        <f t="shared" si="207"/>
        <v>513.80016421153414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9.8084274449145817E-2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5.4133684449707244E-25</v>
      </c>
      <c r="CN198" s="22">
        <f t="shared" si="172"/>
        <v>9.8084274449145817E-2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-5.6843418860808015E-14</v>
      </c>
      <c r="CU198" s="17">
        <f>CT198*VLOOKUP('Données projet'!$B$13,Paramètres!$A$1:$I$89,3,0)*VLOOKUP('Données projet'!$B$13,Paramètres!$A$1:$I$89,5,0)</f>
        <v>-3.1036506698001178E-14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207.02306964567629</v>
      </c>
      <c r="CZ198" s="59">
        <f t="shared" si="208"/>
        <v>342.06887933351783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0.251636959688744</v>
      </c>
      <c r="DG198" s="21">
        <f>EXP(-LN(2)/25)*DG197+(1-EXP(-LN(2)/25))/(LN(2)/25)*Calculateur!DB198*Calculateur!DD198*VLOOKUP('Données projet'!$B$13,Paramètres!$A$1:$I$89,3,0)*0.475*44/12</f>
        <v>0.40120930365920138</v>
      </c>
      <c r="DH198" s="21">
        <f>EXP(-LN(2)/2)*DH197+(1-EXP(-LN(2)/2))/(LN(2)/2)*DB198*DE198*VLOOKUP('Données projet'!$B$13,Paramètres!$A$1:$I$89,3,0)*0.475*44/12</f>
        <v>1.941014972153808E-24</v>
      </c>
      <c r="DI198" s="22">
        <f t="shared" si="175"/>
        <v>0.65284626334794538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7">
        <f t="shared" si="192"/>
        <v>256.66666666666669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-1.1368683772161603E-13</v>
      </c>
      <c r="O199" s="13">
        <f>N199*VLOOKUP('Données projet'!$B$9,Paramètres!$A$1:$I$89,3,0)*VLOOKUP('Données projet'!$B$9,Paramètres!$A$1:$I$89,5,0)</f>
        <v>-5.3205440053716299E-14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319.22903094674564</v>
      </c>
      <c r="T199" s="59">
        <f t="shared" si="204"/>
        <v>254.58690973142848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0.33896918529383346</v>
      </c>
      <c r="AA199" s="21">
        <f>EXP(-LN(2)/25)*AA198+(1-EXP(-LN(2)/25))/(LN(2)/25)*Calculateur!V199*Calculateur!X199*VLOOKUP('Données projet'!$B$9,Paramètres!$A$1:$I$89,3,0)*0.475*44/12</f>
        <v>0.11181166529778626</v>
      </c>
      <c r="AB199" s="21">
        <f>EXP(-LN(2)/2)*AB198+(1-EXP(-LN(2)/2))/(LN(2)/2)*V199*Y199*VLOOKUP('Données projet'!$B$9,Paramètres!$A$1:$I$89,3,0)*0.475*44/12</f>
        <v>1.1418327394892113E-24</v>
      </c>
      <c r="AC199" s="22">
        <f t="shared" si="163"/>
        <v>0.45078085059161971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1.9895196601282805E-13</v>
      </c>
      <c r="AJ199" s="13">
        <f>AI199*VLOOKUP('Données projet'!$B$10,Paramètres!$A$1:$I$89,3,0)*VLOOKUP('Données projet'!$B$10,Paramètres!$A$1:$I$89,5,0)</f>
        <v>1.738044375088066E-13</v>
      </c>
      <c r="AK199" s="13">
        <f t="shared" si="164"/>
        <v>2.4483293633950478E-12</v>
      </c>
      <c r="AL199" s="20">
        <f t="shared" si="165"/>
        <v>4.566883036574213E-12</v>
      </c>
      <c r="AM199" s="59">
        <f t="shared" si="193"/>
        <v>293.33333333333786</v>
      </c>
      <c r="AN199" s="59">
        <f ca="1">AVERAGE(OFFSET($AM$3,0,0,'Données projet'!$E$10+1,1))-AVERAGE(OFFSET($H$3,0,0,'Données projet'!$E$10+1,1))</f>
        <v>321.23599968992932</v>
      </c>
      <c r="AO199" s="59">
        <f t="shared" si="205"/>
        <v>388.05195847800502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0.25299375994149254</v>
      </c>
      <c r="AV199" s="21">
        <f>EXP(-LN(2)/25)*AV198+(1-EXP(-LN(2)/25))/(LN(2)/25)*Calculateur!AQ199*Calculateur!AS199*VLOOKUP('Données projet'!$B$10,Paramètres!$A$1:$I$89,3,0)*0.475*44/12</f>
        <v>0.15343020011082659</v>
      </c>
      <c r="AW199" s="21">
        <f>EXP(-LN(2)/2)*AW198+(1-EXP(-LN(2)/2))/(LN(2)/2)*AQ199*AT199*VLOOKUP('Données projet'!$B$10,Paramètres!$A$1:$I$89,3,0)*0.475*44/12</f>
        <v>1.7496217477800963E-24</v>
      </c>
      <c r="AX199" s="21">
        <f t="shared" si="166"/>
        <v>0.40642396005231912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1.1368683772161603E-13</v>
      </c>
      <c r="BE199" s="13">
        <f>BD199*VLOOKUP('Données projet'!$B$11,Paramètres!$A$1:$I$89,3,0)*VLOOKUP('Données projet'!$B$11,Paramètres!$A$1:$I$89,5,0)</f>
        <v>6.7984728957526396E-14</v>
      </c>
      <c r="BF199" s="13">
        <f t="shared" si="167"/>
        <v>1.0682447123141398E-12</v>
      </c>
      <c r="BG199" s="20">
        <f t="shared" si="168"/>
        <v>1.978932943548152E-12</v>
      </c>
      <c r="BH199" s="59">
        <f t="shared" si="194"/>
        <v>293.3333333333353</v>
      </c>
      <c r="BI199" s="59">
        <f ca="1">AVERAGE(OFFSET($BH$3,0,0,'Données projet'!$E$11+1,1))-AVERAGE(OFFSET($H$3,0,0,'Données projet'!$E$11+1,1))</f>
        <v>258.31845364515124</v>
      </c>
      <c r="BJ199" s="59">
        <f t="shared" si="206"/>
        <v>280.26155987300996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0.42869288067519967</v>
      </c>
      <c r="BQ199" s="21">
        <f>EXP(-LN(2)/25)*BQ198+(1-EXP(-LN(2)/25))/(LN(2)/25)*Calculateur!BL199*Calculateur!BN199*VLOOKUP('Données projet'!$B$11,Paramètres!$A$1:$I$89,3,0)*0.475*44/12</f>
        <v>9.452321919771299E-2</v>
      </c>
      <c r="BR199" s="21">
        <f>EXP(-LN(2)/2)*BR198+(1-EXP(-LN(2)/2))/(LN(2)/2)*BL199*BO199*VLOOKUP('Données projet'!$B$11,Paramètres!$A$1:$I$89,3,0)*0.475*44/12</f>
        <v>4.682872537458756E-25</v>
      </c>
      <c r="BS199" s="22">
        <f t="shared" si="169"/>
        <v>0.52321609987291262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-5.6843418860808015E-14</v>
      </c>
      <c r="BZ199" s="13">
        <f>BY199*VLOOKUP('Données projet'!$B$12,Paramètres!$A$1:$I$89,3,0)*VLOOKUP('Données projet'!$B$12,Paramètres!$A$1:$I$89,5,0)</f>
        <v>-5.1431925385259088E-14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366.86025470473652</v>
      </c>
      <c r="CE199" s="59">
        <f t="shared" si="207"/>
        <v>513.80016421153414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9.6160901652698208E-2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3.8278295365000751E-25</v>
      </c>
      <c r="CN199" s="22">
        <f t="shared" si="172"/>
        <v>9.6160901652698208E-2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-5.6843418860808015E-14</v>
      </c>
      <c r="CU199" s="17">
        <f>CT199*VLOOKUP('Données projet'!$B$13,Paramètres!$A$1:$I$89,3,0)*VLOOKUP('Données projet'!$B$13,Paramètres!$A$1:$I$89,5,0)</f>
        <v>-3.1036506698001178E-14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207.02306964567629</v>
      </c>
      <c r="CZ199" s="59">
        <f t="shared" si="208"/>
        <v>342.06887933351783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0.24670251239263791</v>
      </c>
      <c r="DG199" s="21">
        <f>EXP(-LN(2)/25)*DG198+(1-EXP(-LN(2)/25))/(LN(2)/25)*Calculateur!DB199*Calculateur!DD199*VLOOKUP('Données projet'!$B$13,Paramètres!$A$1:$I$89,3,0)*0.475*44/12</f>
        <v>0.39023821415196019</v>
      </c>
      <c r="DH199" s="21">
        <f>EXP(-LN(2)/2)*DH198+(1-EXP(-LN(2)/2))/(LN(2)/2)*DB199*DE199*VLOOKUP('Données projet'!$B$13,Paramètres!$A$1:$I$89,3,0)*0.475*44/12</f>
        <v>1.3725048491945754E-24</v>
      </c>
      <c r="DI199" s="22">
        <f t="shared" si="175"/>
        <v>0.6369407265445981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7">
        <f t="shared" si="192"/>
        <v>256.66666666666669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-1.1368683772161603E-13</v>
      </c>
      <c r="O200" s="13">
        <f>N200*VLOOKUP('Données projet'!$B$9,Paramètres!$A$1:$I$89,3,0)*VLOOKUP('Données projet'!$B$9,Paramètres!$A$1:$I$89,5,0)</f>
        <v>-5.3205440053716299E-14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319.22903094674564</v>
      </c>
      <c r="T200" s="59">
        <f t="shared" si="204"/>
        <v>254.58690973142848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0.33232220632100945</v>
      </c>
      <c r="AA200" s="21">
        <f>EXP(-LN(2)/25)*AA199+(1-EXP(-LN(2)/25))/(LN(2)/25)*Calculateur!V200*Calculateur!X200*VLOOKUP('Données projet'!$B$9,Paramètres!$A$1:$I$89,3,0)*0.475*44/12</f>
        <v>0.10875416943029836</v>
      </c>
      <c r="AB200" s="21">
        <f>EXP(-LN(2)/2)*AB199+(1-EXP(-LN(2)/2))/(LN(2)/2)*V200*Y200*VLOOKUP('Données projet'!$B$9,Paramètres!$A$1:$I$89,3,0)*0.475*44/12</f>
        <v>8.0739767307363384E-25</v>
      </c>
      <c r="AC200" s="22">
        <f t="shared" si="163"/>
        <v>0.44107637575130781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1.9895196601282805E-13</v>
      </c>
      <c r="AJ200" s="13">
        <f>AI200*VLOOKUP('Données projet'!$B$10,Paramètres!$A$1:$I$89,3,0)*VLOOKUP('Données projet'!$B$10,Paramètres!$A$1:$I$89,5,0)</f>
        <v>1.738044375088066E-13</v>
      </c>
      <c r="AK200" s="13">
        <f t="shared" si="164"/>
        <v>2.4483293633950478E-12</v>
      </c>
      <c r="AL200" s="20">
        <f t="shared" si="165"/>
        <v>4.566883036574213E-12</v>
      </c>
      <c r="AM200" s="59">
        <f t="shared" si="193"/>
        <v>293.33333333333786</v>
      </c>
      <c r="AN200" s="59">
        <f ca="1">AVERAGE(OFFSET($AM$3,0,0,'Données projet'!$E$10+1,1))-AVERAGE(OFFSET($H$3,0,0,'Données projet'!$E$10+1,1))</f>
        <v>321.23599968992932</v>
      </c>
      <c r="AO200" s="59">
        <f t="shared" si="205"/>
        <v>388.05195847800502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0.24803270661999649</v>
      </c>
      <c r="AV200" s="21">
        <f>EXP(-LN(2)/25)*AV199+(1-EXP(-LN(2)/25))/(LN(2)/25)*Calculateur!AQ200*Calculateur!AS200*VLOOKUP('Données projet'!$B$10,Paramètres!$A$1:$I$89,3,0)*0.475*44/12</f>
        <v>0.14923464322025248</v>
      </c>
      <c r="AW200" s="21">
        <f>EXP(-LN(2)/2)*AW199+(1-EXP(-LN(2)/2))/(LN(2)/2)*AQ200*AT200*VLOOKUP('Données projet'!$B$10,Paramètres!$A$1:$I$89,3,0)*0.475*44/12</f>
        <v>1.2371694023667654E-24</v>
      </c>
      <c r="AX200" s="21">
        <f t="shared" si="166"/>
        <v>0.39726734984024897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1.1368683772161603E-13</v>
      </c>
      <c r="BE200" s="13">
        <f>BD200*VLOOKUP('Données projet'!$B$11,Paramètres!$A$1:$I$89,3,0)*VLOOKUP('Données projet'!$B$11,Paramètres!$A$1:$I$89,5,0)</f>
        <v>6.7984728957526396E-14</v>
      </c>
      <c r="BF200" s="13">
        <f t="shared" si="167"/>
        <v>1.0682447123141398E-12</v>
      </c>
      <c r="BG200" s="20">
        <f t="shared" si="168"/>
        <v>1.978932943548152E-12</v>
      </c>
      <c r="BH200" s="59">
        <f t="shared" si="194"/>
        <v>293.3333333333353</v>
      </c>
      <c r="BI200" s="59">
        <f ca="1">AVERAGE(OFFSET($BH$3,0,0,'Données projet'!$E$11+1,1))-AVERAGE(OFFSET($H$3,0,0,'Données projet'!$E$11+1,1))</f>
        <v>258.31845364515124</v>
      </c>
      <c r="BJ200" s="59">
        <f t="shared" si="206"/>
        <v>280.26155987300996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0.42028647476199754</v>
      </c>
      <c r="BQ200" s="21">
        <f>EXP(-LN(2)/25)*BQ199+(1-EXP(-LN(2)/25))/(LN(2)/25)*Calculateur!BL200*Calculateur!BN200*VLOOKUP('Données projet'!$B$11,Paramètres!$A$1:$I$89,3,0)*0.475*44/12</f>
        <v>9.193847679799147E-2</v>
      </c>
      <c r="BR200" s="21">
        <f>EXP(-LN(2)/2)*BR199+(1-EXP(-LN(2)/2))/(LN(2)/2)*BL200*BO200*VLOOKUP('Données projet'!$B$11,Paramètres!$A$1:$I$89,3,0)*0.475*44/12</f>
        <v>3.3112909266693412E-25</v>
      </c>
      <c r="BS200" s="22">
        <f t="shared" si="169"/>
        <v>0.51222495155998904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-5.6843418860808015E-14</v>
      </c>
      <c r="BZ200" s="13">
        <f>BY200*VLOOKUP('Données projet'!$B$12,Paramètres!$A$1:$I$89,3,0)*VLOOKUP('Données projet'!$B$12,Paramètres!$A$1:$I$89,5,0)</f>
        <v>-5.1431925385259088E-14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366.86025470473652</v>
      </c>
      <c r="CE200" s="59">
        <f t="shared" si="207"/>
        <v>513.80016421153414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9.4275245023647369E-2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2.7066842224853622E-25</v>
      </c>
      <c r="CN200" s="22">
        <f t="shared" si="172"/>
        <v>9.4275245023647369E-2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-5.6843418860808015E-14</v>
      </c>
      <c r="CU200" s="17">
        <f>CT200*VLOOKUP('Données projet'!$B$13,Paramètres!$A$1:$I$89,3,0)*VLOOKUP('Données projet'!$B$13,Paramètres!$A$1:$I$89,5,0)</f>
        <v>-3.1036506698001178E-14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207.02306964567629</v>
      </c>
      <c r="CZ200" s="59">
        <f t="shared" si="208"/>
        <v>342.06887933351783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0.24186482659829281</v>
      </c>
      <c r="DG200" s="21">
        <f>EXP(-LN(2)/25)*DG199+(1-EXP(-LN(2)/25))/(LN(2)/25)*Calculateur!DB200*Calculateur!DD200*VLOOKUP('Données projet'!$B$13,Paramètres!$A$1:$I$89,3,0)*0.475*44/12</f>
        <v>0.37956712966423906</v>
      </c>
      <c r="DH200" s="21">
        <f>EXP(-LN(2)/2)*DH199+(1-EXP(-LN(2)/2))/(LN(2)/2)*DB200*DE200*VLOOKUP('Données projet'!$B$13,Paramètres!$A$1:$I$89,3,0)*0.475*44/12</f>
        <v>9.70507486076904E-25</v>
      </c>
      <c r="DI200" s="22">
        <f t="shared" si="175"/>
        <v>0.62143195626253189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7">
        <f t="shared" si="192"/>
        <v>256.66666666666669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-1.1368683772161603E-13</v>
      </c>
      <c r="O201" s="13">
        <f>N201*VLOOKUP('Données projet'!$B$9,Paramètres!$A$1:$I$89,3,0)*VLOOKUP('Données projet'!$B$9,Paramètres!$A$1:$I$89,5,0)</f>
        <v>-5.3205440053716299E-14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319.22903094674564</v>
      </c>
      <c r="T201" s="59">
        <f t="shared" si="204"/>
        <v>254.58690973142848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0.32580557055158571</v>
      </c>
      <c r="AA201" s="21">
        <f>EXP(-LN(2)/25)*AA200+(1-EXP(-LN(2)/25))/(LN(2)/25)*Calculateur!V201*Calculateur!X201*VLOOKUP('Données projet'!$B$9,Paramètres!$A$1:$I$89,3,0)*0.475*44/12</f>
        <v>0.10578028094809365</v>
      </c>
      <c r="AB201" s="21">
        <f>EXP(-LN(2)/2)*AB200+(1-EXP(-LN(2)/2))/(LN(2)/2)*V201*Y201*VLOOKUP('Données projet'!$B$9,Paramètres!$A$1:$I$89,3,0)*0.475*44/12</f>
        <v>5.7091636974460572E-25</v>
      </c>
      <c r="AC201" s="22">
        <f t="shared" si="163"/>
        <v>0.43158585149967937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1.9895196601282805E-13</v>
      </c>
      <c r="AJ201" s="13">
        <f>AI201*VLOOKUP('Données projet'!$B$10,Paramètres!$A$1:$I$89,3,0)*VLOOKUP('Données projet'!$B$10,Paramètres!$A$1:$I$89,5,0)</f>
        <v>1.738044375088066E-13</v>
      </c>
      <c r="AK201" s="13">
        <f t="shared" si="164"/>
        <v>2.4483293633950478E-12</v>
      </c>
      <c r="AL201" s="20">
        <f t="shared" si="165"/>
        <v>4.566883036574213E-12</v>
      </c>
      <c r="AM201" s="59">
        <f t="shared" si="193"/>
        <v>293.33333333333786</v>
      </c>
      <c r="AN201" s="59">
        <f ca="1">AVERAGE(OFFSET($AM$3,0,0,'Données projet'!$E$10+1,1))-AVERAGE(OFFSET($H$3,0,0,'Données projet'!$E$10+1,1))</f>
        <v>321.23599968992932</v>
      </c>
      <c r="AO201" s="59">
        <f t="shared" si="205"/>
        <v>388.05195847800502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0.24316893652819124</v>
      </c>
      <c r="AV201" s="21">
        <f>EXP(-LN(2)/25)*AV200+(1-EXP(-LN(2)/25))/(LN(2)/25)*Calculateur!AQ201*Calculateur!AS201*VLOOKUP('Données projet'!$B$10,Paramètres!$A$1:$I$89,3,0)*0.475*44/12</f>
        <v>0.14515381405348587</v>
      </c>
      <c r="AW201" s="21">
        <f>EXP(-LN(2)/2)*AW200+(1-EXP(-LN(2)/2))/(LN(2)/2)*AQ201*AT201*VLOOKUP('Données projet'!$B$10,Paramètres!$A$1:$I$89,3,0)*0.475*44/12</f>
        <v>8.7481087389004814E-25</v>
      </c>
      <c r="AX201" s="21">
        <f t="shared" si="166"/>
        <v>0.38832275058167709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1.1368683772161603E-13</v>
      </c>
      <c r="BE201" s="13">
        <f>BD201*VLOOKUP('Données projet'!$B$11,Paramètres!$A$1:$I$89,3,0)*VLOOKUP('Données projet'!$B$11,Paramètres!$A$1:$I$89,5,0)</f>
        <v>6.7984728957526396E-14</v>
      </c>
      <c r="BF201" s="13">
        <f t="shared" si="167"/>
        <v>1.0682447123141398E-12</v>
      </c>
      <c r="BG201" s="20">
        <f t="shared" si="168"/>
        <v>1.978932943548152E-12</v>
      </c>
      <c r="BH201" s="59">
        <f t="shared" si="194"/>
        <v>293.3333333333353</v>
      </c>
      <c r="BI201" s="59">
        <f ca="1">AVERAGE(OFFSET($BH$3,0,0,'Données projet'!$E$11+1,1))-AVERAGE(OFFSET($H$3,0,0,'Données projet'!$E$11+1,1))</f>
        <v>258.31845364515124</v>
      </c>
      <c r="BJ201" s="59">
        <f t="shared" si="206"/>
        <v>280.26155987300996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0.41204491334135196</v>
      </c>
      <c r="BQ201" s="21">
        <f>EXP(-LN(2)/25)*BQ200+(1-EXP(-LN(2)/25))/(LN(2)/25)*Calculateur!BL201*Calculateur!BN201*VLOOKUP('Données projet'!$B$11,Paramètres!$A$1:$I$89,3,0)*0.475*44/12</f>
        <v>8.9424414315116024E-2</v>
      </c>
      <c r="BR201" s="21">
        <f>EXP(-LN(2)/2)*BR200+(1-EXP(-LN(2)/2))/(LN(2)/2)*BL201*BO201*VLOOKUP('Données projet'!$B$11,Paramètres!$A$1:$I$89,3,0)*0.475*44/12</f>
        <v>2.341436268729378E-25</v>
      </c>
      <c r="BS201" s="22">
        <f t="shared" si="169"/>
        <v>0.50146932765646801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-5.6843418860808015E-14</v>
      </c>
      <c r="BZ201" s="13">
        <f>BY201*VLOOKUP('Données projet'!$B$12,Paramètres!$A$1:$I$89,3,0)*VLOOKUP('Données projet'!$B$12,Paramètres!$A$1:$I$89,5,0)</f>
        <v>-5.1431925385259088E-14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366.86025470473652</v>
      </c>
      <c r="CE201" s="59">
        <f t="shared" si="207"/>
        <v>513.80016421153414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9.2426564970955236E-2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1.9139147682500376E-25</v>
      </c>
      <c r="CN201" s="22">
        <f t="shared" si="172"/>
        <v>9.2426564970955236E-2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-5.6843418860808015E-14</v>
      </c>
      <c r="CU201" s="17">
        <f>CT201*VLOOKUP('Données projet'!$B$13,Paramètres!$A$1:$I$89,3,0)*VLOOKUP('Données projet'!$B$13,Paramètres!$A$1:$I$89,5,0)</f>
        <v>-3.1036506698001178E-14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207.02306964567629</v>
      </c>
      <c r="CZ201" s="59">
        <f t="shared" si="208"/>
        <v>342.06887933351783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0.23712200487167784</v>
      </c>
      <c r="DG201" s="21">
        <f>EXP(-LN(2)/25)*DG200+(1-EXP(-LN(2)/25))/(LN(2)/25)*Calculateur!DB201*Calculateur!DD201*VLOOKUP('Données projet'!$B$13,Paramètres!$A$1:$I$89,3,0)*0.475*44/12</f>
        <v>0.36918784654300263</v>
      </c>
      <c r="DH201" s="21">
        <f>EXP(-LN(2)/2)*DH200+(1-EXP(-LN(2)/2))/(LN(2)/2)*DB201*DE201*VLOOKUP('Données projet'!$B$13,Paramètres!$A$1:$I$89,3,0)*0.475*44/12</f>
        <v>6.8625242459728769E-25</v>
      </c>
      <c r="DI201" s="22">
        <f t="shared" si="175"/>
        <v>0.60630985141468052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7">
        <f t="shared" si="192"/>
        <v>256.66666666666669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-1.1368683772161603E-13</v>
      </c>
      <c r="O202" s="13">
        <f>N202*VLOOKUP('Données projet'!$B$9,Paramètres!$A$1:$I$89,3,0)*VLOOKUP('Données projet'!$B$9,Paramètres!$A$1:$I$89,5,0)</f>
        <v>-5.3205440053716299E-14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319.22903094674564</v>
      </c>
      <c r="T202" s="59">
        <f t="shared" si="204"/>
        <v>254.58690973142848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0.319416722034845</v>
      </c>
      <c r="AA202" s="21">
        <f>EXP(-LN(2)/25)*AA201+(1-EXP(-LN(2)/25))/(LN(2)/25)*Calculateur!V202*Calculateur!X202*VLOOKUP('Données projet'!$B$9,Paramètres!$A$1:$I$89,3,0)*0.475*44/12</f>
        <v>0.10288771360282482</v>
      </c>
      <c r="AB202" s="21">
        <f>EXP(-LN(2)/2)*AB201+(1-EXP(-LN(2)/2))/(LN(2)/2)*V202*Y202*VLOOKUP('Données projet'!$B$9,Paramètres!$A$1:$I$89,3,0)*0.475*44/12</f>
        <v>4.0369883653681701E-25</v>
      </c>
      <c r="AC202" s="22">
        <f t="shared" si="163"/>
        <v>0.42230443563766984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1.9895196601282805E-13</v>
      </c>
      <c r="AJ202" s="13">
        <f>AI202*VLOOKUP('Données projet'!$B$10,Paramètres!$A$1:$I$89,3,0)*VLOOKUP('Données projet'!$B$10,Paramètres!$A$1:$I$89,5,0)</f>
        <v>1.738044375088066E-13</v>
      </c>
      <c r="AK202" s="13">
        <f t="shared" si="164"/>
        <v>2.4483293633950478E-12</v>
      </c>
      <c r="AL202" s="20">
        <f t="shared" si="165"/>
        <v>4.566883036574213E-12</v>
      </c>
      <c r="AM202" s="59">
        <f t="shared" si="193"/>
        <v>293.33333333333786</v>
      </c>
      <c r="AN202" s="59">
        <f ca="1">AVERAGE(OFFSET($AM$3,0,0,'Données projet'!$E$10+1,1))-AVERAGE(OFFSET($H$3,0,0,'Données projet'!$E$10+1,1))</f>
        <v>321.23599968992932</v>
      </c>
      <c r="AO202" s="59">
        <f t="shared" si="205"/>
        <v>388.05195847800502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0.23840054200127947</v>
      </c>
      <c r="AV202" s="21">
        <f>EXP(-LN(2)/25)*AV201+(1-EXP(-LN(2)/25))/(LN(2)/25)*Calculateur!AQ202*Calculateur!AS202*VLOOKUP('Données projet'!$B$10,Paramètres!$A$1:$I$89,3,0)*0.475*44/12</f>
        <v>0.14118457537488596</v>
      </c>
      <c r="AW202" s="21">
        <f>EXP(-LN(2)/2)*AW201+(1-EXP(-LN(2)/2))/(LN(2)/2)*AQ202*AT202*VLOOKUP('Données projet'!$B$10,Paramètres!$A$1:$I$89,3,0)*0.475*44/12</f>
        <v>6.1858470118338269E-25</v>
      </c>
      <c r="AX202" s="21">
        <f t="shared" si="166"/>
        <v>0.3795851173761654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1.1368683772161603E-13</v>
      </c>
      <c r="BE202" s="13">
        <f>BD202*VLOOKUP('Données projet'!$B$11,Paramètres!$A$1:$I$89,3,0)*VLOOKUP('Données projet'!$B$11,Paramètres!$A$1:$I$89,5,0)</f>
        <v>6.7984728957526396E-14</v>
      </c>
      <c r="BF202" s="13">
        <f t="shared" si="167"/>
        <v>1.0682447123141398E-12</v>
      </c>
      <c r="BG202" s="20">
        <f t="shared" si="168"/>
        <v>1.978932943548152E-12</v>
      </c>
      <c r="BH202" s="59">
        <f t="shared" si="194"/>
        <v>293.3333333333353</v>
      </c>
      <c r="BI202" s="59">
        <f ca="1">AVERAGE(OFFSET($BH$3,0,0,'Données projet'!$E$11+1,1))-AVERAGE(OFFSET($H$3,0,0,'Données projet'!$E$11+1,1))</f>
        <v>258.31845364515124</v>
      </c>
      <c r="BJ202" s="59">
        <f t="shared" si="206"/>
        <v>280.26155987300996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0.40396496391330916</v>
      </c>
      <c r="BQ202" s="21">
        <f>EXP(-LN(2)/25)*BQ201+(1-EXP(-LN(2)/25))/(LN(2)/25)*Calculateur!BL202*Calculateur!BN202*VLOOKUP('Données projet'!$B$11,Paramètres!$A$1:$I$89,3,0)*0.475*44/12</f>
        <v>8.6979099003043611E-2</v>
      </c>
      <c r="BR202" s="21">
        <f>EXP(-LN(2)/2)*BR201+(1-EXP(-LN(2)/2))/(LN(2)/2)*BL202*BO202*VLOOKUP('Données projet'!$B$11,Paramètres!$A$1:$I$89,3,0)*0.475*44/12</f>
        <v>1.6556454633346706E-25</v>
      </c>
      <c r="BS202" s="22">
        <f t="shared" si="169"/>
        <v>0.49094406291635279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-5.6843418860808015E-14</v>
      </c>
      <c r="BZ202" s="13">
        <f>BY202*VLOOKUP('Données projet'!$B$12,Paramètres!$A$1:$I$89,3,0)*VLOOKUP('Données projet'!$B$12,Paramètres!$A$1:$I$89,5,0)</f>
        <v>-5.1431925385259088E-14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366.86025470473652</v>
      </c>
      <c r="CE202" s="59">
        <f t="shared" si="207"/>
        <v>513.80016421153414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9.0614136406512905E-2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1.3533421112426811E-25</v>
      </c>
      <c r="CN202" s="22">
        <f t="shared" si="172"/>
        <v>9.0614136406512905E-2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-5.6843418860808015E-14</v>
      </c>
      <c r="CU202" s="17">
        <f>CT202*VLOOKUP('Données projet'!$B$13,Paramètres!$A$1:$I$89,3,0)*VLOOKUP('Données projet'!$B$13,Paramètres!$A$1:$I$89,5,0)</f>
        <v>-3.1036506698001178E-14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207.02306964567629</v>
      </c>
      <c r="CZ202" s="59">
        <f t="shared" si="208"/>
        <v>342.06887933351783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0.23247218698628616</v>
      </c>
      <c r="DG202" s="21">
        <f>EXP(-LN(2)/25)*DG201+(1-EXP(-LN(2)/25))/(LN(2)/25)*Calculateur!DB202*Calculateur!DD202*VLOOKUP('Données projet'!$B$13,Paramètres!$A$1:$I$89,3,0)*0.475*44/12</f>
        <v>0.35909238546453914</v>
      </c>
      <c r="DH202" s="21">
        <f>EXP(-LN(2)/2)*DH201+(1-EXP(-LN(2)/2))/(LN(2)/2)*DB202*DE202*VLOOKUP('Données projet'!$B$13,Paramètres!$A$1:$I$89,3,0)*0.475*44/12</f>
        <v>4.85253743038452E-25</v>
      </c>
      <c r="DI202" s="22">
        <f t="shared" si="175"/>
        <v>0.59156457245082528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7">
        <f t="shared" si="192"/>
        <v>256.66666666666669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-1.1368683772161603E-13</v>
      </c>
      <c r="O203" s="13">
        <f>N203*VLOOKUP('Données projet'!$B$9,Paramètres!$A$1:$I$89,3,0)*VLOOKUP('Données projet'!$B$9,Paramètres!$A$1:$I$89,5,0)</f>
        <v>-5.3205440053716299E-14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319.22903094674564</v>
      </c>
      <c r="T203" s="59">
        <f t="shared" si="204"/>
        <v>254.58690973142848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0.31315315494070478</v>
      </c>
      <c r="AA203" s="21">
        <f>EXP(-LN(2)/25)*AA202+(1-EXP(-LN(2)/25))/(LN(2)/25)*Calculateur!V203*Calculateur!X203*VLOOKUP('Données projet'!$B$9,Paramètres!$A$1:$I$89,3,0)*0.475*44/12</f>
        <v>0.10007424366372587</v>
      </c>
      <c r="AB203" s="21">
        <f>EXP(-LN(2)/2)*AB202+(1-EXP(-LN(2)/2))/(LN(2)/2)*V203*Y203*VLOOKUP('Données projet'!$B$9,Paramètres!$A$1:$I$89,3,0)*0.475*44/12</f>
        <v>2.854581848723029E-25</v>
      </c>
      <c r="AC203" s="22">
        <f t="shared" si="163"/>
        <v>0.41322739860443064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1.9895196601282805E-13</v>
      </c>
      <c r="AJ203" s="13">
        <f>AI203*VLOOKUP('Données projet'!$B$10,Paramètres!$A$1:$I$89,3,0)*VLOOKUP('Données projet'!$B$10,Paramètres!$A$1:$I$89,5,0)</f>
        <v>1.738044375088066E-13</v>
      </c>
      <c r="AK203" s="13">
        <f t="shared" si="164"/>
        <v>2.4483293633950478E-12</v>
      </c>
      <c r="AL203" s="20">
        <f t="shared" si="165"/>
        <v>4.566883036574213E-12</v>
      </c>
      <c r="AM203" s="59">
        <f t="shared" si="193"/>
        <v>293.33333333333786</v>
      </c>
      <c r="AN203" s="59">
        <f ca="1">AVERAGE(OFFSET($AM$3,0,0,'Données projet'!$E$10+1,1))-AVERAGE(OFFSET($H$3,0,0,'Données projet'!$E$10+1,1))</f>
        <v>321.23599968992932</v>
      </c>
      <c r="AO203" s="59">
        <f t="shared" si="205"/>
        <v>388.05195847800502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0.23372565278260696</v>
      </c>
      <c r="AV203" s="21">
        <f>EXP(-LN(2)/25)*AV202+(1-EXP(-LN(2)/25))/(LN(2)/25)*Calculateur!AQ203*Calculateur!AS203*VLOOKUP('Données projet'!$B$10,Paramètres!$A$1:$I$89,3,0)*0.475*44/12</f>
        <v>0.13732387573668556</v>
      </c>
      <c r="AW203" s="21">
        <f>EXP(-LN(2)/2)*AW202+(1-EXP(-LN(2)/2))/(LN(2)/2)*AQ203*AT203*VLOOKUP('Données projet'!$B$10,Paramètres!$A$1:$I$89,3,0)*0.475*44/12</f>
        <v>4.3740543694502407E-25</v>
      </c>
      <c r="AX203" s="21">
        <f t="shared" si="166"/>
        <v>0.37104952851929252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1.1368683772161603E-13</v>
      </c>
      <c r="BE203" s="13">
        <f>BD203*VLOOKUP('Données projet'!$B$11,Paramètres!$A$1:$I$89,3,0)*VLOOKUP('Données projet'!$B$11,Paramètres!$A$1:$I$89,5,0)</f>
        <v>6.7984728957526396E-14</v>
      </c>
      <c r="BF203" s="13">
        <f t="shared" si="167"/>
        <v>1.0682447123141398E-12</v>
      </c>
      <c r="BG203" s="20">
        <f t="shared" si="168"/>
        <v>1.978932943548152E-12</v>
      </c>
      <c r="BH203" s="59">
        <f t="shared" si="194"/>
        <v>293.3333333333353</v>
      </c>
      <c r="BI203" s="59">
        <f ca="1">AVERAGE(OFFSET($BH$3,0,0,'Données projet'!$E$11+1,1))-AVERAGE(OFFSET($H$3,0,0,'Données projet'!$E$11+1,1))</f>
        <v>258.31845364515124</v>
      </c>
      <c r="BJ203" s="59">
        <f t="shared" si="206"/>
        <v>280.26155987300996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0.39604345736526775</v>
      </c>
      <c r="BQ203" s="21">
        <f>EXP(-LN(2)/25)*BQ202+(1-EXP(-LN(2)/25))/(LN(2)/25)*Calculateur!BL203*Calculateur!BN203*VLOOKUP('Données projet'!$B$11,Paramètres!$A$1:$I$89,3,0)*0.475*44/12</f>
        <v>8.4600650966773355E-2</v>
      </c>
      <c r="BR203" s="21">
        <f>EXP(-LN(2)/2)*BR202+(1-EXP(-LN(2)/2))/(LN(2)/2)*BL203*BO203*VLOOKUP('Données projet'!$B$11,Paramètres!$A$1:$I$89,3,0)*0.475*44/12</f>
        <v>1.170718134364689E-25</v>
      </c>
      <c r="BS203" s="22">
        <f t="shared" si="169"/>
        <v>0.48064410833204108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-5.6843418860808015E-14</v>
      </c>
      <c r="BZ203" s="13">
        <f>BY203*VLOOKUP('Données projet'!$B$12,Paramètres!$A$1:$I$89,3,0)*VLOOKUP('Données projet'!$B$12,Paramètres!$A$1:$I$89,5,0)</f>
        <v>-5.1431925385259088E-14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366.86025470473652</v>
      </c>
      <c r="CE203" s="59">
        <f t="shared" si="207"/>
        <v>513.80016421153414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8.8837248460747018E-2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9.5695738412501878E-26</v>
      </c>
      <c r="CN203" s="22">
        <f t="shared" si="172"/>
        <v>8.8837248460747018E-2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-5.6843418860808015E-14</v>
      </c>
      <c r="CU203" s="17">
        <f>CT203*VLOOKUP('Données projet'!$B$13,Paramètres!$A$1:$I$89,3,0)*VLOOKUP('Données projet'!$B$13,Paramètres!$A$1:$I$89,5,0)</f>
        <v>-3.1036506698001178E-14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207.02306964567629</v>
      </c>
      <c r="CZ203" s="59">
        <f t="shared" si="208"/>
        <v>342.06887933351783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0.22791354919351817</v>
      </c>
      <c r="DG203" s="21">
        <f>EXP(-LN(2)/25)*DG202+(1-EXP(-LN(2)/25))/(LN(2)/25)*Calculateur!DB203*Calculateur!DD203*VLOOKUP('Données projet'!$B$13,Paramètres!$A$1:$I$89,3,0)*0.475*44/12</f>
        <v>0.34927298530016349</v>
      </c>
      <c r="DH203" s="21">
        <f>EXP(-LN(2)/2)*DH202+(1-EXP(-LN(2)/2))/(LN(2)/2)*DB203*DE203*VLOOKUP('Données projet'!$B$13,Paramètres!$A$1:$I$89,3,0)*0.475*44/12</f>
        <v>3.4312621229864385E-25</v>
      </c>
      <c r="DI203" s="22">
        <f t="shared" si="175"/>
        <v>0.57718653449368162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1.2880503926580862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1.3467943429205997</v>
      </c>
      <c r="BA205" s="82">
        <f>EXP(LN('Données projet'!B88)/'Données projet'!A88)</f>
        <v>1.3480061545972777</v>
      </c>
      <c r="BV205" s="82">
        <f>EXP(LN('Données projet'!B114)/'Données projet'!A114)</f>
        <v>2.0243974584998852</v>
      </c>
      <c r="CQ205" s="82">
        <f>EXP(LN('Données projet'!B140)/'Données projet'!A140)</f>
        <v>1.4860662319460807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M23" sqref="M2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Cèdre de l'Atlas</v>
      </c>
      <c r="B6" s="146">
        <f>'Données projet'!D9</f>
        <v>1</v>
      </c>
      <c r="C6" s="147">
        <f ca="1">IF(OR('Données projet'!B9="",'Données projet'!C9="",'Données projet'!C9=0%),0,Calculateur!S3)</f>
        <v>319.22903094674564</v>
      </c>
      <c r="D6" s="147">
        <f>IF(OR('Données projet'!B9="",'Données projet'!C9="",'Données projet'!C9=0%),0,Calculateur!T3)</f>
        <v>254.58690973142848</v>
      </c>
      <c r="E6" s="147">
        <f ca="1">MIN(C6,D6)</f>
        <v>254.58690973142848</v>
      </c>
      <c r="F6" s="147">
        <f ca="1">E6*B6</f>
        <v>254.58690973142848</v>
      </c>
      <c r="G6" s="147">
        <f ca="1">F6*(100%-'Données projet'!$C$24)*(100%-'Données projet'!$C$25)*(100%-'Données projet'!$C$26)*(100%-'Données projet'!$C$27)</f>
        <v>217.67180782037136</v>
      </c>
      <c r="H6" s="148">
        <f>IF(OR('Données projet'!B9="",'Données projet'!C9="",'Données projet'!C9=0%),0,AVERAGE(Calculateur!$AC$3:$AC$33)*B6)</f>
        <v>3.9133876128470613</v>
      </c>
      <c r="I6" s="149">
        <f>H6*(100%-'Données projet'!$C$24)*(100%-'Données projet'!$C$25)*(100%-'Données projet'!$C$26)*(100%-'Données projet'!$C$27)</f>
        <v>3.3459464089842372</v>
      </c>
      <c r="J6" s="150">
        <f>IF(OR('Données projet'!B9="",'Données projet'!C9="",'Données projet'!C9=0%),0,SUM(Calculateur!$V$3:$V$33)*VLOOKUP('Données projet'!$B$9,Paramètres!$A$1:$I$89,9,0)*B6)</f>
        <v>45.795000000000002</v>
      </c>
      <c r="K6" s="151">
        <f>J6*(100%-'Données projet'!$C$24)*(100%-'Données projet'!$C$25)*(100%-'Données projet'!$C$26)*(100%-'Données projet'!$C$27)</f>
        <v>39.154725000000006</v>
      </c>
      <c r="L6" s="152">
        <f ca="1">G6+I6+K6</f>
        <v>260.17247922935559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1</v>
      </c>
      <c r="C7" s="147">
        <f ca="1">IF(OR('Données projet'!B10="",'Données projet'!C10="",'Données projet'!C10=0%),0,Calculateur!AN3)</f>
        <v>321.23599968992932</v>
      </c>
      <c r="D7" s="147">
        <f>IF(OR('Données projet'!B10="",'Données projet'!C10="",'Données projet'!C10=0%),0,Calculateur!AO3)</f>
        <v>388.05195847800502</v>
      </c>
      <c r="E7" s="147">
        <f t="shared" ref="E7:E15" ca="1" si="0">MIN(C7,D7)</f>
        <v>321.23599968992932</v>
      </c>
      <c r="F7" s="147">
        <f t="shared" ref="F7:F15" ca="1" si="1">E7*B7</f>
        <v>321.23599968992932</v>
      </c>
      <c r="G7" s="147">
        <f ca="1">F7*(100%-'Données projet'!$C$24)*(100%-'Données projet'!$C$25)*(100%-'Données projet'!$C$26)*(100%-'Données projet'!$C$27)</f>
        <v>274.65677973488954</v>
      </c>
      <c r="H7" s="155">
        <f>IF(OR('Données projet'!B10="",'Données projet'!C10="",'Données projet'!C10=0%),0,AVERAGE(Calculateur!$AX$3:$AX$33)*B7)</f>
        <v>7.7147046509481942</v>
      </c>
      <c r="I7" s="149">
        <f>H7*(100%-'Données projet'!$C$24)*(100%-'Données projet'!$C$25)*(100%-'Données projet'!$C$26)*(100%-'Données projet'!$C$27)</f>
        <v>6.5960724765607059</v>
      </c>
      <c r="J7" s="150">
        <f>IF(OR('Données projet'!B10="",'Données projet'!C10="",'Données projet'!C10=0%),0,SUM(Calculateur!$AQ$3:$AQ$33)*VLOOKUP('Données projet'!$B$10,Paramètres!$A$1:$I$89,9,0)*B7)</f>
        <v>38</v>
      </c>
      <c r="K7" s="151">
        <f>J7*(100%-'Données projet'!$C$24)*(100%-'Données projet'!$C$25)*(100%-'Données projet'!$C$26)*(100%-'Données projet'!$C$27)</f>
        <v>32.49</v>
      </c>
      <c r="L7" s="152">
        <f t="shared" ref="L7:L15" ca="1" si="2">G7+I7+K7</f>
        <v>313.74285221145027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Pin maritime</v>
      </c>
      <c r="B8" s="154">
        <f>'Données projet'!D11</f>
        <v>1</v>
      </c>
      <c r="C8" s="147">
        <f ca="1">IF(OR('Données projet'!B11="",'Données projet'!C11="",'Données projet'!C11=0%),0,Calculateur!BI3)</f>
        <v>258.31845364515124</v>
      </c>
      <c r="D8" s="147">
        <f>IF(OR('Données projet'!B11="",'Données projet'!C11="",'Données projet'!C11=0%),0,Calculateur!BJ3)</f>
        <v>280.26155987300996</v>
      </c>
      <c r="E8" s="147">
        <f t="shared" ca="1" si="0"/>
        <v>258.31845364515124</v>
      </c>
      <c r="F8" s="147">
        <f t="shared" ca="1" si="1"/>
        <v>258.31845364515124</v>
      </c>
      <c r="G8" s="147">
        <f ca="1">F8*(100%-'Données projet'!$C$24)*(100%-'Données projet'!$C$25)*(100%-'Données projet'!$C$26)*(100%-'Données projet'!$C$27)</f>
        <v>220.8622778666043</v>
      </c>
      <c r="H8" s="155">
        <f>IF(OR('Données projet'!B11="",'Données projet'!C11="",'Données projet'!C11=0%),0,AVERAGE(Calculateur!$BS$3:$BS$33)*B8)</f>
        <v>7.3535202541028886</v>
      </c>
      <c r="I8" s="149">
        <f>H8*(100%-'Données projet'!$C$24)*(100%-'Données projet'!$C$25)*(100%-'Données projet'!$C$26)*(100%-'Données projet'!$C$27)</f>
        <v>6.2872598172579695</v>
      </c>
      <c r="J8" s="150">
        <f>IF(OR('Données projet'!B11="",'Données projet'!C11="",'Données projet'!C11=0%),0,SUM(Calculateur!$BL$3:$BL$33)*VLOOKUP('Données projet'!$B$11,Paramètres!$A$1:$I$89,9,0)*B8)</f>
        <v>60.769999999999996</v>
      </c>
      <c r="K8" s="151">
        <f>J8*(100%-'Données projet'!$C$24)*(100%-'Données projet'!$C$25)*(100%-'Données projet'!$C$26)*(100%-'Données projet'!$C$27)</f>
        <v>51.958349999999996</v>
      </c>
      <c r="L8" s="152">
        <f t="shared" ca="1" si="2"/>
        <v>279.10788768386226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Robinier faux-acacia</v>
      </c>
      <c r="B9" s="154">
        <f>'Données projet'!D12</f>
        <v>1</v>
      </c>
      <c r="C9" s="147">
        <f ca="1">IF(OR('Données projet'!B12="",'Données projet'!C12="",'Données projet'!C12=0%),0,Calculateur!CD3)</f>
        <v>366.86025470473652</v>
      </c>
      <c r="D9" s="147">
        <f>IF(OR('Données projet'!B12="",'Données projet'!C12="",'Données projet'!C12=0%),0,Calculateur!CE3)</f>
        <v>513.80016421153414</v>
      </c>
      <c r="E9" s="147">
        <f t="shared" ca="1" si="0"/>
        <v>366.86025470473652</v>
      </c>
      <c r="F9" s="147">
        <f t="shared" ca="1" si="1"/>
        <v>366.86025470473652</v>
      </c>
      <c r="G9" s="147">
        <f ca="1">F9*(100%-'Données projet'!$C$24)*(100%-'Données projet'!$C$25)*(100%-'Données projet'!$C$26)*(100%-'Données projet'!$C$27)</f>
        <v>313.66551777254972</v>
      </c>
      <c r="H9" s="155">
        <f>IF(OR('Données projet'!B12="",'Données projet'!C12="",'Données projet'!C12=0%),0,AVERAGE(Calculateur!$CN$3:$CN$33)*B9)</f>
        <v>3.1397844218869264</v>
      </c>
      <c r="I9" s="149">
        <f>H9*(100%-'Données projet'!$C$24)*(100%-'Données projet'!$C$25)*(100%-'Données projet'!$C$26)*(100%-'Données projet'!$C$27)</f>
        <v>2.6845156807133224</v>
      </c>
      <c r="J9" s="150">
        <f>IF(OR('Données projet'!B12="",'Données projet'!C12="",'Données projet'!C12=0%),0,SUM(Calculateur!$CG$3:$CG$33)*VLOOKUP('Données projet'!$B$12,Paramètres!$A$1:$I$89,9,0)*B9)</f>
        <v>25</v>
      </c>
      <c r="K9" s="151">
        <f>J9*(100%-'Données projet'!$C$24)*(100%-'Données projet'!$C$25)*(100%-'Données projet'!$C$26)*(100%-'Données projet'!$C$27)</f>
        <v>21.375</v>
      </c>
      <c r="L9" s="152">
        <f t="shared" ca="1" si="2"/>
        <v>337.72503345326305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Mélèze hybride</v>
      </c>
      <c r="B10" s="154">
        <f>'Données projet'!D13</f>
        <v>1</v>
      </c>
      <c r="C10" s="147">
        <f ca="1">IF(OR('Données projet'!B13="",'Données projet'!C13="",'Données projet'!C13=0%),0,Calculateur!CY3)</f>
        <v>207.02306964567629</v>
      </c>
      <c r="D10" s="147">
        <f>IF(OR('Données projet'!B13="",'Données projet'!C13="",'Données projet'!C13=0%),0,Calculateur!CZ3)</f>
        <v>342.06887933351783</v>
      </c>
      <c r="E10" s="147">
        <f t="shared" ca="1" si="0"/>
        <v>207.02306964567629</v>
      </c>
      <c r="F10" s="147">
        <f t="shared" ca="1" si="1"/>
        <v>207.02306964567629</v>
      </c>
      <c r="G10" s="147">
        <f ca="1">F10*(100%-'Données projet'!$C$24)*(100%-'Données projet'!$C$25)*(100%-'Données projet'!$C$26)*(100%-'Données projet'!$C$27)</f>
        <v>177.00472454705323</v>
      </c>
      <c r="H10" s="155">
        <f>IF(OR('Données projet'!B13="",'Données projet'!C13="",'Données projet'!C13=0%),0,AVERAGE(Calculateur!$DI$3:$DI$33)*B10)</f>
        <v>15.901997849931021</v>
      </c>
      <c r="I10" s="149">
        <f>H10*(100%-'Données projet'!$C$24)*(100%-'Données projet'!$C$25)*(100%-'Données projet'!$C$26)*(100%-'Données projet'!$C$27)</f>
        <v>13.596208161691022</v>
      </c>
      <c r="J10" s="150">
        <f>IF(OR('Données projet'!B13="",'Données projet'!C13="",'Données projet'!C13=0%),0,SUM(Calculateur!$DB$3:$DB$33)*VLOOKUP('Données projet'!$B$13,Paramètres!$A$1:$I$89,9,0)*B10)</f>
        <v>124.27</v>
      </c>
      <c r="K10" s="151">
        <f>J10*(100%-'Données projet'!$C$24)*(100%-'Données projet'!$C$25)*(100%-'Données projet'!$C$26)*(100%-'Données projet'!$C$27)</f>
        <v>106.25085</v>
      </c>
      <c r="L10" s="152">
        <f t="shared" ca="1" si="2"/>
        <v>296.85178270874422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1408.0246874169218</v>
      </c>
      <c r="G16" s="166">
        <f t="shared" ca="1" si="3"/>
        <v>1203.8611077414682</v>
      </c>
      <c r="H16" s="167">
        <f t="shared" si="3"/>
        <v>38.023394789716093</v>
      </c>
      <c r="I16" s="167">
        <f t="shared" si="3"/>
        <v>32.510002545207257</v>
      </c>
      <c r="J16" s="168">
        <f t="shared" si="3"/>
        <v>293.83499999999998</v>
      </c>
      <c r="K16" s="168">
        <f t="shared" si="3"/>
        <v>251.228925</v>
      </c>
      <c r="L16" s="169">
        <f t="shared" ca="1" si="3"/>
        <v>1487.6000352866754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Cèdre de l'Atlas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Pin maritime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Robinier faux-acacia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Mélèze hybride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80" zoomScaleNormal="80" workbookViewId="0">
      <selection activeCell="L26" sqref="L26:P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Cèdre de l'Atlas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-1479.3571140123506</v>
      </c>
      <c r="U10" s="178">
        <f>'Données projet'!D9</f>
        <v>1</v>
      </c>
      <c r="V10" s="177">
        <f>U10*T10</f>
        <v>-1479.3571140123506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-890.85376384590461</v>
      </c>
      <c r="U11" s="178">
        <f>'Données projet'!D10</f>
        <v>1</v>
      </c>
      <c r="V11" s="177">
        <f t="shared" ref="V11" si="0">U11*T11</f>
        <v>-890.85376384590461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Pin maritime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-1164.5158304753584</v>
      </c>
      <c r="U12" s="178">
        <f>'Données projet'!D11</f>
        <v>1</v>
      </c>
      <c r="V12" s="177">
        <f t="shared" ref="V12:V19" si="1">U12*T12</f>
        <v>-1164.5158304753584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Robinier faux-acacia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-824.23975091267152</v>
      </c>
      <c r="U13" s="178">
        <f>'Données projet'!D12</f>
        <v>1</v>
      </c>
      <c r="V13" s="177">
        <f t="shared" si="1"/>
        <v>-824.23975091267152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Cèdre de l'Atlas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Mélèze hybride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158.40825818938833</v>
      </c>
      <c r="U14" s="178">
        <f>'Données projet'!D13</f>
        <v>1</v>
      </c>
      <c r="V14" s="177">
        <f t="shared" si="1"/>
        <v>158.40825818938833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f>1300*(1+1.54)</f>
        <v>3302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f>(250+6500+962+2496+936+6240+3253-1750)/5</f>
        <v>3777.4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500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500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20</v>
      </c>
      <c r="B23" s="181">
        <f>'Données projet'!D36</f>
        <v>39.5</v>
      </c>
      <c r="C23" s="193">
        <v>2</v>
      </c>
      <c r="D23" s="182">
        <f>B23*C23</f>
        <v>79</v>
      </c>
      <c r="E23" s="193"/>
      <c r="F23" s="230"/>
      <c r="H23" s="190">
        <v>3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-30398.117388922739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30</v>
      </c>
      <c r="B24" s="181">
        <f>'Données projet'!D37</f>
        <v>67</v>
      </c>
      <c r="C24" s="193">
        <v>4</v>
      </c>
      <c r="D24" s="182">
        <f t="shared" ref="D24:D42" si="2">B24*C24</f>
        <v>268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493.08874385384564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40</v>
      </c>
      <c r="B25" s="181">
        <f>'Données projet'!D38</f>
        <v>70</v>
      </c>
      <c r="C25" s="193">
        <v>27</v>
      </c>
      <c r="D25" s="182">
        <f t="shared" si="2"/>
        <v>1890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5</v>
      </c>
      <c r="Q25" s="234"/>
      <c r="R25" s="23"/>
      <c r="S25" s="186" t="s">
        <v>266</v>
      </c>
      <c r="T25" s="303">
        <f ca="1">T23-T24</f>
        <v>-30891.206132776584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50</v>
      </c>
      <c r="B26" s="181">
        <f>'Données projet'!D39</f>
        <v>75</v>
      </c>
      <c r="C26" s="193">
        <v>27</v>
      </c>
      <c r="D26" s="182">
        <f t="shared" si="2"/>
        <v>2025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60</v>
      </c>
      <c r="B27" s="181">
        <f>'Données projet'!D40</f>
        <v>80</v>
      </c>
      <c r="C27" s="193">
        <v>26.7</v>
      </c>
      <c r="D27" s="182">
        <f t="shared" si="2"/>
        <v>2136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70</v>
      </c>
      <c r="B28" s="181">
        <f>'Données projet'!D41</f>
        <v>87</v>
      </c>
      <c r="C28" s="193">
        <v>46</v>
      </c>
      <c r="D28" s="182">
        <f t="shared" si="2"/>
        <v>4002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80</v>
      </c>
      <c r="B29" s="181">
        <f>'Données projet'!D42</f>
        <v>93</v>
      </c>
      <c r="C29" s="193">
        <v>46</v>
      </c>
      <c r="D29" s="182">
        <f t="shared" si="2"/>
        <v>4278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90</v>
      </c>
      <c r="B30" s="181">
        <f>'Données projet'!D43</f>
        <v>98</v>
      </c>
      <c r="C30" s="193">
        <v>46</v>
      </c>
      <c r="D30" s="182">
        <f t="shared" si="2"/>
        <v>4508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98.617748770769126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100</v>
      </c>
      <c r="B31" s="181">
        <f>'Données projet'!D44</f>
        <v>675.5</v>
      </c>
      <c r="C31" s="193">
        <v>75</v>
      </c>
      <c r="D31" s="182">
        <f t="shared" si="2"/>
        <v>50662.5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5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4.7846889952153111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4.5786497561869011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4.3814830202745467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4.1928067179660742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4.0122552325034206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3.8394786913908341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3.674142288412281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3.5159256348442893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3.3645221386069757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3.2196384101502162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3.0809936939236522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2.9483193243288541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2.821358205099382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2.6998643110998879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1300*(0.95+1.54)</f>
        <v>3237.0000000000005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2.5836022115788397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2.4723466139510437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2.3658819272258791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2.2640018442352914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2.1665089418519536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2.0732142984229229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15</v>
      </c>
      <c r="B54" s="181">
        <f>'Données projet'!D62</f>
        <v>21</v>
      </c>
      <c r="C54" s="191">
        <v>2</v>
      </c>
      <c r="D54" s="179">
        <f>B54*C54</f>
        <v>42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1.9839371276774378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20</v>
      </c>
      <c r="B55" s="181">
        <f>'Données projet'!D63</f>
        <v>43</v>
      </c>
      <c r="C55" s="191">
        <v>10</v>
      </c>
      <c r="D55" s="179">
        <f t="shared" ref="D55:D73" si="4">B55*C55</f>
        <v>430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1.8985044283994628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25</v>
      </c>
      <c r="B56" s="181">
        <f>'Données projet'!D64</f>
        <v>44</v>
      </c>
      <c r="C56" s="191">
        <v>10</v>
      </c>
      <c r="D56" s="179">
        <f t="shared" si="4"/>
        <v>440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1.8167506491860885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30</v>
      </c>
      <c r="B57" s="181">
        <f>'Données projet'!D65</f>
        <v>44</v>
      </c>
      <c r="C57" s="191">
        <v>25</v>
      </c>
      <c r="D57" s="179">
        <f t="shared" si="4"/>
        <v>1100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1.7385173676421903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35</v>
      </c>
      <c r="B58" s="181">
        <f>'Données projet'!D66</f>
        <v>42</v>
      </c>
      <c r="C58" s="191">
        <v>25</v>
      </c>
      <c r="D58" s="179">
        <f t="shared" si="4"/>
        <v>1050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1.6636529833896561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40</v>
      </c>
      <c r="B59" s="181">
        <f>'Données projet'!D67</f>
        <v>39</v>
      </c>
      <c r="C59" s="191">
        <v>30</v>
      </c>
      <c r="D59" s="179">
        <f t="shared" si="4"/>
        <v>1170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1.5920124242963221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45</v>
      </c>
      <c r="B60" s="181">
        <f>'Données projet'!D68</f>
        <v>36</v>
      </c>
      <c r="C60" s="191">
        <v>40</v>
      </c>
      <c r="D60" s="179">
        <f t="shared" si="4"/>
        <v>1440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1.523456865355332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50</v>
      </c>
      <c r="B61" s="181">
        <f>'Données projet'!D69</f>
        <v>33</v>
      </c>
      <c r="C61" s="191">
        <v>40</v>
      </c>
      <c r="D61" s="179">
        <f t="shared" si="4"/>
        <v>1320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1.4578534596701744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55</v>
      </c>
      <c r="B62" s="181">
        <f>'Données projet'!D70</f>
        <v>29</v>
      </c>
      <c r="C62" s="191">
        <v>40</v>
      </c>
      <c r="D62" s="179">
        <f t="shared" si="4"/>
        <v>1160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1.3950750810240902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60</v>
      </c>
      <c r="B63" s="181">
        <f>'Données projet'!D71</f>
        <v>26</v>
      </c>
      <c r="C63" s="191">
        <v>40</v>
      </c>
      <c r="D63" s="179">
        <f t="shared" si="4"/>
        <v>1040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1.335000077535015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65</v>
      </c>
      <c r="B64" s="181">
        <f>'Données projet'!D72</f>
        <v>23</v>
      </c>
      <c r="C64" s="191">
        <v>60</v>
      </c>
      <c r="D64" s="179">
        <f t="shared" si="4"/>
        <v>1380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1.2775120359186745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70</v>
      </c>
      <c r="B65" s="181">
        <f>'Données projet'!D73</f>
        <v>249</v>
      </c>
      <c r="C65" s="191">
        <v>75</v>
      </c>
      <c r="D65" s="179">
        <f t="shared" si="4"/>
        <v>18675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1.2224995559030383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1.1698560343569746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1.1194794587148085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1.0712722092964675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1.0251408701401603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0.98099604798101481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0.93875219902489471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0.89832746318171741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0.85964350543705037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0.82262536405459374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0.78720130531540089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Pin maritime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str">
        <f>IF(O75+1&lt;=MIN('Données projet'!$E$9:$E$18),O75+1,"STOP")</f>
        <v>STOP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1300*(0.6+1.54)</f>
        <v>2782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12</v>
      </c>
      <c r="B85" s="181">
        <f>'Données projet'!D88</f>
        <v>0</v>
      </c>
      <c r="C85" s="191">
        <v>0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16</v>
      </c>
      <c r="B86" s="181">
        <f>'Données projet'!D89</f>
        <v>15</v>
      </c>
      <c r="C86" s="191">
        <v>1.95</v>
      </c>
      <c r="D86" s="179">
        <f t="shared" ref="D86:D104" si="6">B86*C86</f>
        <v>29.25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20</v>
      </c>
      <c r="B87" s="181">
        <f>'Données projet'!D90</f>
        <v>22</v>
      </c>
      <c r="C87" s="191">
        <v>1.95</v>
      </c>
      <c r="D87" s="179">
        <f t="shared" si="6"/>
        <v>42.9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24</v>
      </c>
      <c r="B88" s="181">
        <f>'Données projet'!D91</f>
        <v>31</v>
      </c>
      <c r="C88" s="191">
        <v>4.4800000000000004</v>
      </c>
      <c r="D88" s="179">
        <f t="shared" si="6"/>
        <v>138.88000000000002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28</v>
      </c>
      <c r="B89" s="181">
        <f>'Données projet'!D92</f>
        <v>35</v>
      </c>
      <c r="C89" s="191">
        <v>4.4800000000000004</v>
      </c>
      <c r="D89" s="179">
        <f t="shared" si="6"/>
        <v>156.80000000000001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34</v>
      </c>
      <c r="B90" s="181">
        <f>'Données projet'!D93</f>
        <v>46</v>
      </c>
      <c r="C90" s="191">
        <v>4.8</v>
      </c>
      <c r="D90" s="179">
        <f t="shared" si="6"/>
        <v>220.79999999999998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40</v>
      </c>
      <c r="B91" s="181">
        <f>'Données projet'!D94</f>
        <v>41</v>
      </c>
      <c r="C91" s="191">
        <v>4.8</v>
      </c>
      <c r="D91" s="179">
        <f t="shared" si="6"/>
        <v>196.79999999999998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46</v>
      </c>
      <c r="B92" s="181">
        <f>'Données projet'!D95</f>
        <v>29</v>
      </c>
      <c r="C92" s="191">
        <v>27</v>
      </c>
      <c r="D92" s="179">
        <f t="shared" si="6"/>
        <v>783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54</v>
      </c>
      <c r="B93" s="181">
        <f>'Données projet'!D96</f>
        <v>16</v>
      </c>
      <c r="C93" s="191">
        <v>45</v>
      </c>
      <c r="D93" s="179">
        <f t="shared" si="6"/>
        <v>720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62</v>
      </c>
      <c r="B94" s="181">
        <f>'Données projet'!D97</f>
        <v>316</v>
      </c>
      <c r="C94" s="191">
        <v>60</v>
      </c>
      <c r="D94" s="179">
        <f t="shared" si="6"/>
        <v>18960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Robinier faux-acacia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1100*(0.7+1.54)</f>
        <v>2464.0000000000005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5</v>
      </c>
      <c r="B116" s="181">
        <f>'Données projet'!D114</f>
        <v>6</v>
      </c>
      <c r="C116" s="191">
        <v>2</v>
      </c>
      <c r="D116" s="179">
        <f>B116*C116</f>
        <v>12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10</v>
      </c>
      <c r="B117" s="181">
        <f>'Données projet'!D115</f>
        <v>28</v>
      </c>
      <c r="C117" s="191">
        <v>2</v>
      </c>
      <c r="D117" s="179">
        <f t="shared" ref="D117:D135" si="8">B117*C117</f>
        <v>56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15</v>
      </c>
      <c r="B118" s="181">
        <f>'Données projet'!D116</f>
        <v>23</v>
      </c>
      <c r="C118" s="191">
        <v>2</v>
      </c>
      <c r="D118" s="179">
        <f t="shared" si="8"/>
        <v>46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20</v>
      </c>
      <c r="B119" s="181">
        <f>'Données projet'!D117</f>
        <v>18</v>
      </c>
      <c r="C119" s="191">
        <v>10</v>
      </c>
      <c r="D119" s="179">
        <f t="shared" si="8"/>
        <v>180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25</v>
      </c>
      <c r="B120" s="181">
        <f>'Données projet'!D118</f>
        <v>14</v>
      </c>
      <c r="C120" s="191">
        <v>10</v>
      </c>
      <c r="D120" s="179">
        <f t="shared" si="8"/>
        <v>140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30</v>
      </c>
      <c r="B121" s="181">
        <f>'Données projet'!D119</f>
        <v>11</v>
      </c>
      <c r="C121" s="191">
        <v>25</v>
      </c>
      <c r="D121" s="179">
        <f t="shared" si="8"/>
        <v>275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35</v>
      </c>
      <c r="B122" s="181">
        <f>'Données projet'!D120</f>
        <v>9</v>
      </c>
      <c r="C122" s="191">
        <v>25</v>
      </c>
      <c r="D122" s="179">
        <f t="shared" si="8"/>
        <v>225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40</v>
      </c>
      <c r="B123" s="181">
        <f>'Données projet'!D121</f>
        <v>7</v>
      </c>
      <c r="C123" s="191">
        <v>30</v>
      </c>
      <c r="D123" s="179">
        <f t="shared" si="8"/>
        <v>210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45</v>
      </c>
      <c r="B124" s="181">
        <f>'Données projet'!D122</f>
        <v>312</v>
      </c>
      <c r="C124" s="191">
        <v>30</v>
      </c>
      <c r="D124" s="179">
        <f t="shared" si="8"/>
        <v>9360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Mélèze hybride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1300*(1+1.54)</f>
        <v>3302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12</v>
      </c>
      <c r="B147" s="175">
        <f>'Données projet'!D140</f>
        <v>21</v>
      </c>
      <c r="C147" s="191">
        <v>2</v>
      </c>
      <c r="D147" s="182">
        <f>B147*C147</f>
        <v>42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15</v>
      </c>
      <c r="B148" s="175">
        <f>'Données projet'!D141</f>
        <v>47</v>
      </c>
      <c r="C148" s="191">
        <v>2</v>
      </c>
      <c r="D148" s="182">
        <f t="shared" ref="D148:D166" si="10">B148*C148</f>
        <v>94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18</v>
      </c>
      <c r="B149" s="175">
        <f>'Données projet'!D142</f>
        <v>61</v>
      </c>
      <c r="C149" s="191">
        <v>2</v>
      </c>
      <c r="D149" s="182">
        <f t="shared" si="10"/>
        <v>122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24</v>
      </c>
      <c r="B150" s="175">
        <f>'Données projet'!D143</f>
        <v>84</v>
      </c>
      <c r="C150" s="191">
        <v>4.4800000000000004</v>
      </c>
      <c r="D150" s="182">
        <f t="shared" si="10"/>
        <v>376.32000000000005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30</v>
      </c>
      <c r="B151" s="175">
        <f>'Données projet'!D144</f>
        <v>76</v>
      </c>
      <c r="C151" s="191">
        <v>26.7</v>
      </c>
      <c r="D151" s="182">
        <f t="shared" si="10"/>
        <v>2029.2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36</v>
      </c>
      <c r="B152" s="175">
        <f>'Données projet'!D145</f>
        <v>75</v>
      </c>
      <c r="C152" s="191">
        <v>42</v>
      </c>
      <c r="D152" s="182">
        <f t="shared" si="10"/>
        <v>3150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42</v>
      </c>
      <c r="B153" s="175">
        <f>'Données projet'!D146</f>
        <v>278</v>
      </c>
      <c r="C153" s="191">
        <v>46</v>
      </c>
      <c r="D153" s="182">
        <f t="shared" si="10"/>
        <v>12788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Vianney FALCONNET</cp:lastModifiedBy>
  <dcterms:created xsi:type="dcterms:W3CDTF">2021-02-01T08:22:39Z</dcterms:created>
  <dcterms:modified xsi:type="dcterms:W3CDTF">2025-04-30T07:17:36Z</dcterms:modified>
</cp:coreProperties>
</file>