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1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SUD ABIES/Sophie PITHON/43_Fontannes_4,ha_RIVIERE/2.Dossier_LBC_déposé/"/>
    </mc:Choice>
  </mc:AlternateContent>
  <xr:revisionPtr revIDLastSave="50" documentId="8_{621E2AF1-F5FE-4546-B875-E4E46A5AD06F}" xr6:coauthVersionLast="47" xr6:coauthVersionMax="47" xr10:uidLastSave="{DFF0F283-CC81-4338-870A-70B3F15C95BB}"/>
  <bookViews>
    <workbookView xWindow="-110" yWindow="-110" windowWidth="19420" windowHeight="11500" tabRatio="866" firstSheet="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3" i="6" l="1"/>
  <c r="E52" i="6"/>
  <c r="E51" i="6"/>
  <c r="E50" i="6"/>
  <c r="E49" i="6"/>
  <c r="E19" i="6"/>
  <c r="E20" i="6"/>
  <c r="E21" i="6"/>
  <c r="E22" i="6"/>
  <c r="E18" i="6"/>
  <c r="E48" i="6"/>
  <c r="E17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FQ4" i="2"/>
  <c r="EC4" i="2"/>
  <c r="FR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B21" i="2"/>
  <c r="HH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HG28" i="2"/>
  <c r="EC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FQ35" i="2"/>
  <c r="CM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HH38" i="2"/>
  <c r="HG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G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EW60" i="2"/>
  <c r="HG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G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HG75" i="2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HI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H114" i="2"/>
  <c r="HG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H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FS122" i="2"/>
  <c r="HH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H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S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H150" i="2"/>
  <c r="EC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X155" i="2"/>
  <c r="HH155" i="2"/>
  <c r="EA155" i="2"/>
  <c r="ED155" i="2" s="1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AB156" i="2" l="1"/>
  <c r="EX156" i="2"/>
  <c r="HH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A157" i="2"/>
  <c r="EB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I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FS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X161" i="2"/>
  <c r="A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EC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FR164" i="2"/>
  <c r="DH164" i="2"/>
  <c r="EA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HH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DG167" i="2"/>
  <c r="EA167" i="2"/>
  <c r="EC167" i="2"/>
  <c r="HI167" i="2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W168" i="2"/>
  <c r="HH168" i="2"/>
  <c r="EV168" i="2"/>
  <c r="EY168" i="2" s="1"/>
  <c r="EC168" i="2"/>
  <c r="DG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FS175" i="2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Q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FS181" i="2" l="1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HI185" i="2" l="1"/>
  <c r="EB185" i="2"/>
  <c r="EW185" i="2"/>
  <c r="HH185" i="2"/>
  <c r="HG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H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W192" i="2"/>
  <c r="EC192" i="2"/>
  <c r="EV192" i="2"/>
  <c r="EY192" i="2" s="1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AX190" i="2"/>
  <c r="FQ193" i="2" l="1"/>
  <c r="EX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B195" i="2"/>
  <c r="FQ195" i="2"/>
  <c r="HG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FS197" i="2" l="1"/>
  <c r="AA197" i="2"/>
  <c r="EC197" i="2"/>
  <c r="HH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Y200" i="2"/>
  <c r="ED200" i="2"/>
  <c r="FS201" i="2" l="1"/>
  <c r="HH201" i="2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Z6" i="2" l="1"/>
  <c r="EX202" i="2"/>
  <c r="HH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18" i="2" a="1"/>
  <c r="FY18" i="2" s="1"/>
  <c r="FY186" i="2" a="1"/>
  <c r="FY186" i="2" s="1"/>
  <c r="FY55" i="2" a="1"/>
  <c r="FY55" i="2" s="1"/>
  <c r="FY104" i="2" a="1"/>
  <c r="FY10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CS77" i="2" a="1"/>
  <c r="CS77" i="2" s="1"/>
  <c r="CS38" i="2" a="1"/>
  <c r="CS38" i="2" s="1"/>
  <c r="FY182" i="2" a="1"/>
  <c r="FY182" i="2" s="1"/>
  <c r="FD60" i="2" a="1"/>
  <c r="FD60" i="2" s="1"/>
  <c r="FD188" i="2" a="1"/>
  <c r="FD188" i="2" s="1"/>
  <c r="FD44" i="2" a="1"/>
  <c r="FD44" i="2" s="1"/>
  <c r="FD48" i="2" a="1"/>
  <c r="FD48" i="2" s="1"/>
  <c r="FD43" i="2" a="1"/>
  <c r="FD43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AH90" i="2" l="1" a="1"/>
  <c r="AH90" i="2" s="1"/>
  <c r="AH151" i="2" a="1"/>
  <c r="AH151" i="2" s="1"/>
  <c r="FY126" i="2" a="1"/>
  <c r="FY126" i="2" s="1"/>
  <c r="FY188" i="2" a="1"/>
  <c r="FY188" i="2" s="1"/>
  <c r="FY140" i="2" a="1"/>
  <c r="FY140" i="2" s="1"/>
  <c r="FY143" i="2" a="1"/>
  <c r="FY143" i="2" s="1"/>
  <c r="FY121" i="2" a="1"/>
  <c r="FY121" i="2" s="1"/>
  <c r="FY35" i="2" a="1"/>
  <c r="FY35" i="2" s="1"/>
  <c r="FY167" i="2" a="1"/>
  <c r="FY167" i="2" s="1"/>
  <c r="CS129" i="2" a="1"/>
  <c r="CS129" i="2" s="1"/>
  <c r="FY124" i="2" a="1"/>
  <c r="FY124" i="2" s="1"/>
  <c r="CS52" i="2" a="1"/>
  <c r="CS52" i="2" s="1"/>
  <c r="FY169" i="2" a="1"/>
  <c r="FY169" i="2" s="1"/>
  <c r="FY99" i="2" a="1"/>
  <c r="FY99" i="2" s="1"/>
  <c r="FY153" i="2" a="1"/>
  <c r="FY153" i="2" s="1"/>
  <c r="FY146" i="2" a="1"/>
  <c r="FY146" i="2" s="1"/>
  <c r="BX107" i="2" a="1"/>
  <c r="BX107" i="2" s="1"/>
  <c r="CS114" i="2" a="1"/>
  <c r="CS114" i="2" s="1"/>
  <c r="CS120" i="2" a="1"/>
  <c r="CS120" i="2" s="1"/>
  <c r="FD131" i="2" a="1"/>
  <c r="FD131" i="2" s="1"/>
  <c r="FY80" i="2" a="1"/>
  <c r="FY80" i="2" s="1"/>
  <c r="AH163" i="2" a="1"/>
  <c r="AH163" i="2" s="1"/>
  <c r="FY62" i="2" a="1"/>
  <c r="FY62" i="2" s="1"/>
  <c r="FY116" i="2" a="1"/>
  <c r="FY116" i="2" s="1"/>
  <c r="FY102" i="2" a="1"/>
  <c r="FY102" i="2" s="1"/>
  <c r="FY32" i="2" a="1"/>
  <c r="FY32" i="2" s="1"/>
  <c r="FS203" i="2"/>
  <c r="FY115" i="2" a="1"/>
  <c r="FY115" i="2" s="1"/>
  <c r="FY173" i="2" a="1"/>
  <c r="FY173" i="2" s="1"/>
  <c r="FY133" i="2" a="1"/>
  <c r="FY133" i="2" s="1"/>
  <c r="FY79" i="2" a="1"/>
  <c r="FY79" i="2" s="1"/>
  <c r="FY24" i="2" a="1"/>
  <c r="FY24" i="2" s="1"/>
  <c r="CS105" i="2" a="1"/>
  <c r="CS105" i="2" s="1"/>
  <c r="FY165" i="2" a="1"/>
  <c r="FY165" i="2" s="1"/>
  <c r="CS161" i="2" a="1"/>
  <c r="CS161" i="2" s="1"/>
  <c r="CS72" i="2" a="1"/>
  <c r="CS72" i="2" s="1"/>
  <c r="CS116" i="2" a="1"/>
  <c r="CS116" i="2" s="1"/>
  <c r="CS66" i="2" a="1"/>
  <c r="CS66" i="2" s="1"/>
  <c r="FY69" i="2" a="1"/>
  <c r="FY69" i="2" s="1"/>
  <c r="FD64" i="2" a="1"/>
  <c r="FD64" i="2" s="1"/>
  <c r="FY42" i="2" a="1"/>
  <c r="FY42" i="2" s="1"/>
  <c r="AH199" i="2" a="1"/>
  <c r="AH199" i="2" s="1"/>
  <c r="FD144" i="2" a="1"/>
  <c r="FD144" i="2" s="1"/>
  <c r="FY72" i="2" a="1"/>
  <c r="FY72" i="2" s="1"/>
  <c r="FY111" i="2" a="1"/>
  <c r="FY111" i="2" s="1"/>
  <c r="FY66" i="2" a="1"/>
  <c r="FY66" i="2" s="1"/>
  <c r="FY90" i="2" a="1"/>
  <c r="FY90" i="2" s="1"/>
  <c r="FY28" i="2" a="1"/>
  <c r="FY28" i="2" s="1"/>
  <c r="FY47" i="2" a="1"/>
  <c r="FY47" i="2" s="1"/>
  <c r="FY78" i="2" a="1"/>
  <c r="FY78" i="2" s="1"/>
  <c r="FY110" i="2" a="1"/>
  <c r="FY110" i="2" s="1"/>
  <c r="AH62" i="2" a="1"/>
  <c r="AH62" i="2" s="1"/>
  <c r="FY190" i="2" a="1"/>
  <c r="FY190" i="2" s="1"/>
  <c r="FY22" i="2" a="1"/>
  <c r="FY22" i="2" s="1"/>
  <c r="CS134" i="2" a="1"/>
  <c r="CS134" i="2" s="1"/>
  <c r="CS185" i="2" a="1"/>
  <c r="CS185" i="2" s="1"/>
  <c r="FD189" i="2" a="1"/>
  <c r="FD189" i="2" s="1"/>
  <c r="FY196" i="2" a="1"/>
  <c r="FY196" i="2" s="1"/>
  <c r="AH166" i="2" a="1"/>
  <c r="AH166" i="2" s="1"/>
  <c r="FD21" i="2" a="1"/>
  <c r="FD21" i="2" s="1"/>
  <c r="AH92" i="2" a="1"/>
  <c r="AH92" i="2" s="1"/>
  <c r="FY73" i="2" a="1"/>
  <c r="FY73" i="2" s="1"/>
  <c r="FY120" i="2" a="1"/>
  <c r="FY120" i="2" s="1"/>
  <c r="FY57" i="2" a="1"/>
  <c r="FY57" i="2" s="1"/>
  <c r="FY34" i="2" a="1"/>
  <c r="FY34" i="2" s="1"/>
  <c r="FY109" i="2" a="1"/>
  <c r="FY109" i="2" s="1"/>
  <c r="FY86" i="2" a="1"/>
  <c r="FY86" i="2" s="1"/>
  <c r="FY164" i="2" a="1"/>
  <c r="FY164" i="2" s="1"/>
  <c r="FY159" i="2" a="1"/>
  <c r="FY159" i="2" s="1"/>
  <c r="FY58" i="2" a="1"/>
  <c r="FY58" i="2" s="1"/>
  <c r="FY149" i="2" a="1"/>
  <c r="FY149" i="2" s="1"/>
  <c r="FY29" i="2" a="1"/>
  <c r="FY29" i="2" s="1"/>
  <c r="FY191" i="2" a="1"/>
  <c r="FY191" i="2" s="1"/>
  <c r="CS137" i="2" a="1"/>
  <c r="CS137" i="2" s="1"/>
  <c r="FY174" i="2" a="1"/>
  <c r="FY174" i="2" s="1"/>
  <c r="FY142" i="2" a="1"/>
  <c r="FY142" i="2" s="1"/>
  <c r="CS56" i="2" a="1"/>
  <c r="CS56" i="2" s="1"/>
  <c r="FY30" i="2" a="1"/>
  <c r="FY30" i="2" s="1"/>
  <c r="FY92" i="2" a="1"/>
  <c r="FY92" i="2" s="1"/>
  <c r="CS24" i="2" a="1"/>
  <c r="CS24" i="2" s="1"/>
  <c r="FD187" i="2" a="1"/>
  <c r="FD187" i="2" s="1"/>
  <c r="FD14" i="2" a="1"/>
  <c r="FD14" i="2" s="1"/>
  <c r="FY82" i="2" a="1"/>
  <c r="FY82" i="2" s="1"/>
  <c r="AH19" i="2" a="1"/>
  <c r="AH19" i="2" s="1"/>
  <c r="FY172" i="2" a="1"/>
  <c r="FY172" i="2" s="1"/>
  <c r="FY178" i="2" a="1"/>
  <c r="FY178" i="2" s="1"/>
  <c r="FY152" i="2" a="1"/>
  <c r="FY152" i="2" s="1"/>
  <c r="FY71" i="2" a="1"/>
  <c r="FY71" i="2" s="1"/>
  <c r="FY54" i="2" a="1"/>
  <c r="FY54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<sst xmlns="http://schemas.openxmlformats.org/spreadsheetml/2006/main" count="1172" uniqueCount="325">
  <si>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</si>
  <si>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</si>
  <si>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</si>
  <si>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</si>
  <si>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</si>
  <si>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</si>
  <si>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</si>
  <si>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</si>
  <si>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</si>
  <si>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</si>
  <si>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</si>
  <si>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</si>
  <si>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</si>
  <si>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</si>
  <si>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</si>
  <si>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</si>
  <si>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maritime</t>
  </si>
  <si>
    <t>NB : La durée de révolution doit être identique à la dernière année indiquée dans la table de production renseignée en dessous</t>
  </si>
  <si>
    <t>Essence 2</t>
  </si>
  <si>
    <t>Pin laricio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</si>
  <si>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</si>
  <si>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</si>
  <si>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</si>
  <si>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</si>
  <si>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</si>
  <si>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</si>
  <si>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</si>
  <si>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</si>
  <si>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</si>
  <si>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</si>
  <si>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</si>
  <si>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</si>
  <si>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</si>
  <si>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</si>
  <si>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</si>
  <si>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</si>
  <si>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</si>
  <si>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</si>
  <si>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</si>
  <si>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</si>
  <si>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</si>
  <si>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</si>
  <si>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</si>
  <si>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</si>
  <si>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</si>
  <si>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</si>
  <si>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</si>
  <si>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</si>
  <si>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</si>
  <si>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</si>
  <si>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</si>
  <si>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</si>
  <si>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</si>
  <si>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</si>
  <si>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</si>
  <si>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na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</si>
  <si>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</si>
  <si>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</si>
  <si>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</si>
  <si>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</si>
  <si>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</si>
  <si>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</si>
  <si>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</si>
  <si>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</si>
  <si>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</si>
  <si>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</si>
  <si>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</si>
  <si>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</si>
  <si>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</si>
  <si>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</si>
  <si>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Douglas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</si>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</sst>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2.1308141159990979</c:v>
                </c:pt>
                <c:pt idx="2">
                  <c:v>2.9281438920569403</c:v>
                </c:pt>
                <c:pt idx="3">
                  <c:v>4.0251008301171156</c:v>
                </c:pt>
                <c:pt idx="4">
                  <c:v>5.5347320133681039</c:v>
                </c:pt>
                <c:pt idx="5">
                  <c:v>7.6128950978985666</c:v>
                </c:pt>
                <c:pt idx="6">
                  <c:v>10.474526236664085</c:v>
                </c:pt>
                <c:pt idx="7">
                  <c:v>14.416109245825893</c:v>
                </c:pt>
                <c:pt idx="8">
                  <c:v>19.846716673503781</c:v>
                </c:pt>
                <c:pt idx="9">
                  <c:v>27.330902060221728</c:v>
                </c:pt>
                <c:pt idx="10">
                  <c:v>37.647980385231108</c:v>
                </c:pt>
                <c:pt idx="11">
                  <c:v>51.873974862320885</c:v>
                </c:pt>
                <c:pt idx="12">
                  <c:v>71.4949191061866</c:v>
                </c:pt>
                <c:pt idx="13">
                  <c:v>98.563542320451802</c:v>
                </c:pt>
                <c:pt idx="14">
                  <c:v>135.91598928147849</c:v>
                </c:pt>
                <c:pt idx="15">
                  <c:v>187.47163239017053</c:v>
                </c:pt>
                <c:pt idx="16">
                  <c:v>146.81136547798749</c:v>
                </c:pt>
                <c:pt idx="17">
                  <c:v>170.80742954677157</c:v>
                </c:pt>
                <c:pt idx="18">
                  <c:v>194.72403964150703</c:v>
                </c:pt>
                <c:pt idx="19">
                  <c:v>218.57233487459663</c:v>
                </c:pt>
                <c:pt idx="20">
                  <c:v>242.36081901854183</c:v>
                </c:pt>
                <c:pt idx="21">
                  <c:v>204.12844580912656</c:v>
                </c:pt>
                <c:pt idx="22">
                  <c:v>228.73672473315909</c:v>
                </c:pt>
                <c:pt idx="23">
                  <c:v>253.28442353945601</c:v>
                </c:pt>
                <c:pt idx="24">
                  <c:v>277.77823776243309</c:v>
                </c:pt>
                <c:pt idx="25">
                  <c:v>302.22358480953159</c:v>
                </c:pt>
                <c:pt idx="26">
                  <c:v>326.62493385865372</c:v>
                </c:pt>
                <c:pt idx="27">
                  <c:v>291.44362414058196</c:v>
                </c:pt>
                <c:pt idx="28">
                  <c:v>316.40922168115691</c:v>
                </c:pt>
                <c:pt idx="29">
                  <c:v>341.33118577652465</c:v>
                </c:pt>
                <c:pt idx="30">
                  <c:v>366.2131477730768</c:v>
                </c:pt>
                <c:pt idx="31">
                  <c:v>390.65906037894007</c:v>
                </c:pt>
                <c:pt idx="32">
                  <c:v>415.07179480856433</c:v>
                </c:pt>
                <c:pt idx="33">
                  <c:v>355.88364575491551</c:v>
                </c:pt>
                <c:pt idx="34">
                  <c:v>378.90598373659327</c:v>
                </c:pt>
                <c:pt idx="35">
                  <c:v>401.89789012628256</c:v>
                </c:pt>
                <c:pt idx="36">
                  <c:v>424.8613493114824</c:v>
                </c:pt>
                <c:pt idx="37">
                  <c:v>447.79811380133168</c:v>
                </c:pt>
                <c:pt idx="38">
                  <c:v>470.70974205309909</c:v>
                </c:pt>
                <c:pt idx="39">
                  <c:v>493.59762855037974</c:v>
                </c:pt>
                <c:pt idx="40">
                  <c:v>516.46302801285572</c:v>
                </c:pt>
                <c:pt idx="41">
                  <c:v>418.21652921659637</c:v>
                </c:pt>
                <c:pt idx="42">
                  <c:v>437.54828979657401</c:v>
                </c:pt>
                <c:pt idx="43">
                  <c:v>456.86173367611201</c:v>
                </c:pt>
                <c:pt idx="44">
                  <c:v>476.15774366224099</c:v>
                </c:pt>
                <c:pt idx="45">
                  <c:v>495.43712521859487</c:v>
                </c:pt>
                <c:pt idx="46">
                  <c:v>514.70061604899377</c:v>
                </c:pt>
                <c:pt idx="47">
                  <c:v>533.94889417211482</c:v>
                </c:pt>
                <c:pt idx="48">
                  <c:v>553.18258477172765</c:v>
                </c:pt>
                <c:pt idx="49">
                  <c:v>463.11224037370857</c:v>
                </c:pt>
                <c:pt idx="50">
                  <c:v>479.3932375320328</c:v>
                </c:pt>
                <c:pt idx="51">
                  <c:v>495.66248405140635</c:v>
                </c:pt>
                <c:pt idx="52">
                  <c:v>511.92041976382592</c:v>
                </c:pt>
                <c:pt idx="53">
                  <c:v>528.16745429901346</c:v>
                </c:pt>
                <c:pt idx="54">
                  <c:v>544.40397004275667</c:v>
                </c:pt>
                <c:pt idx="55">
                  <c:v>560.63032472410339</c:v>
                </c:pt>
                <c:pt idx="56">
                  <c:v>576.84685368758073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1.9830898414103215</c:v>
                </c:pt>
                <c:pt idx="2">
                  <c:v>2.5358897943469625</c:v>
                </c:pt>
                <c:pt idx="3">
                  <c:v>3.2434053902640243</c:v>
                </c:pt>
                <c:pt idx="4">
                  <c:v>4.1491013676910162</c:v>
                </c:pt>
                <c:pt idx="5">
                  <c:v>5.3086961638054051</c:v>
                </c:pt>
                <c:pt idx="6">
                  <c:v>6.7936277869358754</c:v>
                </c:pt>
                <c:pt idx="7">
                  <c:v>8.6955029321760176</c:v>
                </c:pt>
                <c:pt idx="8">
                  <c:v>11.131809045990428</c:v>
                </c:pt>
                <c:pt idx="9">
                  <c:v>14.253248813468183</c:v>
                </c:pt>
                <c:pt idx="10">
                  <c:v>18.25315910971409</c:v>
                </c:pt>
                <c:pt idx="11">
                  <c:v>23.379608355026718</c:v>
                </c:pt>
                <c:pt idx="12">
                  <c:v>29.950935846041833</c:v>
                </c:pt>
                <c:pt idx="13">
                  <c:v>38.375714818299656</c:v>
                </c:pt>
                <c:pt idx="14">
                  <c:v>49.178401651990221</c:v>
                </c:pt>
                <c:pt idx="15">
                  <c:v>63.032294683329155</c:v>
                </c:pt>
                <c:pt idx="16">
                  <c:v>80.801890600111236</c:v>
                </c:pt>
                <c:pt idx="17">
                  <c:v>103.59732408398916</c:v>
                </c:pt>
                <c:pt idx="18">
                  <c:v>132.84434545688146</c:v>
                </c:pt>
                <c:pt idx="19">
                  <c:v>170.37428083713976</c:v>
                </c:pt>
                <c:pt idx="20">
                  <c:v>130.23960136812613</c:v>
                </c:pt>
                <c:pt idx="21">
                  <c:v>150.70436577575032</c:v>
                </c:pt>
                <c:pt idx="22">
                  <c:v>171.10283409899691</c:v>
                </c:pt>
                <c:pt idx="23">
                  <c:v>191.44402986530886</c:v>
                </c:pt>
                <c:pt idx="24">
                  <c:v>211.73489744686097</c:v>
                </c:pt>
                <c:pt idx="25">
                  <c:v>180.18542436067958</c:v>
                </c:pt>
                <c:pt idx="26">
                  <c:v>200.91767589861334</c:v>
                </c:pt>
                <c:pt idx="27">
                  <c:v>221.60034952388301</c:v>
                </c:pt>
                <c:pt idx="28">
                  <c:v>242.23872370500536</c:v>
                </c:pt>
                <c:pt idx="29">
                  <c:v>262.83710312637839</c:v>
                </c:pt>
                <c:pt idx="30">
                  <c:v>283.39906225257022</c:v>
                </c:pt>
                <c:pt idx="31">
                  <c:v>231.49394879910827</c:v>
                </c:pt>
                <c:pt idx="32">
                  <c:v>251.42218658177271</c:v>
                </c:pt>
                <c:pt idx="33">
                  <c:v>271.31463054978218</c:v>
                </c:pt>
                <c:pt idx="34">
                  <c:v>291.17427356157549</c:v>
                </c:pt>
                <c:pt idx="35">
                  <c:v>311.00366679642457</c:v>
                </c:pt>
                <c:pt idx="36">
                  <c:v>330.80500953824486</c:v>
                </c:pt>
                <c:pt idx="37">
                  <c:v>350.58021631475617</c:v>
                </c:pt>
                <c:pt idx="38">
                  <c:v>314.46887739606865</c:v>
                </c:pt>
                <c:pt idx="39">
                  <c:v>334.11294094960175</c:v>
                </c:pt>
                <c:pt idx="40">
                  <c:v>353.73156195241717</c:v>
                </c:pt>
                <c:pt idx="41">
                  <c:v>373.32634935906952</c:v>
                </c:pt>
                <c:pt idx="42">
                  <c:v>392.89872949433806</c:v>
                </c:pt>
                <c:pt idx="43">
                  <c:v>412.44997503614445</c:v>
                </c:pt>
                <c:pt idx="44">
                  <c:v>431.98122821530256</c:v>
                </c:pt>
                <c:pt idx="45">
                  <c:v>451.49351960053679</c:v>
                </c:pt>
                <c:pt idx="46">
                  <c:v>470.98778346710793</c:v>
                </c:pt>
                <c:pt idx="47">
                  <c:v>396.32168925579339</c:v>
                </c:pt>
                <c:pt idx="48">
                  <c:v>413.87245457205836</c:v>
                </c:pt>
                <c:pt idx="49">
                  <c:v>431.40717003189997</c:v>
                </c:pt>
                <c:pt idx="50">
                  <c:v>448.92657952752438</c:v>
                </c:pt>
                <c:pt idx="51">
                  <c:v>466.43136417869431</c:v>
                </c:pt>
                <c:pt idx="52">
                  <c:v>483.92214983519551</c:v>
                </c:pt>
                <c:pt idx="53">
                  <c:v>501.39951343839198</c:v>
                </c:pt>
                <c:pt idx="54">
                  <c:v>518.86398844987571</c:v>
                </c:pt>
                <c:pt idx="55">
                  <c:v>536.3160695114376</c:v>
                </c:pt>
                <c:pt idx="56">
                  <c:v>553.75621646716343</c:v>
                </c:pt>
                <c:pt idx="57">
                  <c:v>492.9675371004887</c:v>
                </c:pt>
                <c:pt idx="58">
                  <c:v>508.23604628992302</c:v>
                </c:pt>
                <c:pt idx="59">
                  <c:v>523.49486391950961</c:v>
                </c:pt>
                <c:pt idx="60">
                  <c:v>538.7443121486084</c:v>
                </c:pt>
                <c:pt idx="61">
                  <c:v>553.98469341960538</c:v>
                </c:pt>
                <c:pt idx="62">
                  <c:v>569.21629218509656</c:v>
                </c:pt>
                <c:pt idx="63">
                  <c:v>584.43937644066193</c:v>
                </c:pt>
                <c:pt idx="64">
                  <c:v>599.65419908970955</c:v>
                </c:pt>
                <c:pt idx="65">
                  <c:v>614.86099916266949</c:v>
                </c:pt>
                <c:pt idx="66">
                  <c:v>630.06000290936356</c:v>
                </c:pt>
                <c:pt idx="67">
                  <c:v>556.63682628095387</c:v>
                </c:pt>
                <c:pt idx="68">
                  <c:v>569.23572590689196</c:v>
                </c:pt>
                <c:pt idx="69">
                  <c:v>581.8287999403052</c:v>
                </c:pt>
                <c:pt idx="70">
                  <c:v>594.41619219958932</c:v>
                </c:pt>
                <c:pt idx="71">
                  <c:v>606.99803991747683</c:v>
                </c:pt>
                <c:pt idx="72">
                  <c:v>619.57447417572041</c:v>
                </c:pt>
                <c:pt idx="73">
                  <c:v>632.14562030266472</c:v>
                </c:pt>
                <c:pt idx="74">
                  <c:v>644.71159823756022</c:v>
                </c:pt>
                <c:pt idx="75">
                  <c:v>657.27252286501243</c:v>
                </c:pt>
                <c:pt idx="76">
                  <c:v>669.82850432254793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defaultColWidth="11.42578125" defaultRowHeight="14.45"/>
  <cols>
    <col min="1" max="1" width="6.7109375" customWidth="1"/>
    <col min="2" max="13" width="15.85546875" customWidth="1"/>
  </cols>
  <sheetData>
    <row r="12" spans="2:13" ht="15" customHeight="1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F22" sqref="F22"/>
    </sheetView>
  </sheetViews>
  <sheetFormatPr defaultColWidth="11.42578125" defaultRowHeight="14.4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>
      <c r="A1" s="4"/>
      <c r="B1" s="4"/>
      <c r="C1" s="258" t="s">
        <v>2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5" thickBot="1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1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1">
      <c r="A5" s="268" t="s">
        <v>7</v>
      </c>
      <c r="B5" s="268"/>
      <c r="C5" s="24">
        <v>4.3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1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>
      <c r="A9" s="30" t="s">
        <v>15</v>
      </c>
      <c r="B9" s="31" t="s">
        <v>16</v>
      </c>
      <c r="C9" s="32">
        <v>0.86</v>
      </c>
      <c r="D9" s="33">
        <f t="shared" ref="D9:D18" si="0">C9*$C$5</f>
        <v>3.698</v>
      </c>
      <c r="E9" s="34">
        <v>56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>
      <c r="A10" s="30" t="s">
        <v>18</v>
      </c>
      <c r="B10" s="31" t="s">
        <v>19</v>
      </c>
      <c r="C10" s="32">
        <v>0.14000000000000001</v>
      </c>
      <c r="D10" s="33">
        <f t="shared" si="0"/>
        <v>0.60199999999999998</v>
      </c>
      <c r="E10" s="34">
        <v>76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>
      <c r="A11" s="30" t="s">
        <v>20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>
      <c r="A12" s="30" t="s">
        <v>21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>
      <c r="A13" s="30" t="s">
        <v>22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>
      <c r="A14" s="30" t="s">
        <v>23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>
      <c r="A15" s="30" t="s">
        <v>24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>
      <c r="A16" s="30" t="s">
        <v>25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>
      <c r="A17" s="30" t="s">
        <v>26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>
      <c r="A18" s="30" t="s">
        <v>27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>
      <c r="A19" s="78"/>
      <c r="B19" s="36" t="s">
        <v>28</v>
      </c>
      <c r="C19" s="37">
        <f>SUM(C9:C18)</f>
        <v>1</v>
      </c>
      <c r="D19" s="38">
        <f>SUM(D9:D18)</f>
        <v>4.3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>
      <c r="A22" s="266" t="s">
        <v>29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>
      <c r="A24" s="41" t="s">
        <v>30</v>
      </c>
      <c r="B24" s="42" t="s">
        <v>31</v>
      </c>
      <c r="C24" s="43">
        <v>0</v>
      </c>
      <c r="D24" s="44" t="s">
        <v>32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>
      <c r="A25" s="41" t="s">
        <v>33</v>
      </c>
      <c r="B25" s="42" t="s">
        <v>34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>
      <c r="A26" s="41" t="s">
        <v>35</v>
      </c>
      <c r="B26" s="42" t="s">
        <v>36</v>
      </c>
      <c r="C26" s="43">
        <v>0</v>
      </c>
      <c r="D26" s="44" t="s">
        <v>37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>
      <c r="A27" s="41" t="s">
        <v>38</v>
      </c>
      <c r="B27" s="42" t="s">
        <v>39</v>
      </c>
      <c r="C27" s="43">
        <v>0</v>
      </c>
      <c r="D27" s="44" t="s">
        <v>40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>
      <c r="A30" s="267" t="s">
        <v>41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>
      <c r="A32" s="46" t="s">
        <v>15</v>
      </c>
      <c r="B32" s="47" t="str">
        <f>IF(B9="","",B9)</f>
        <v>Pin maritime</v>
      </c>
      <c r="D32" s="229" t="s">
        <v>42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>
      <c r="A34" s="4"/>
      <c r="B34" s="85" t="s">
        <v>43</v>
      </c>
      <c r="C34" s="259" t="s">
        <v>44</v>
      </c>
      <c r="D34" s="259"/>
      <c r="E34" s="260" t="s">
        <v>45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>
      <c r="A35" s="36" t="s">
        <v>46</v>
      </c>
      <c r="B35" s="36" t="s">
        <v>47</v>
      </c>
      <c r="C35" s="48" t="s">
        <v>48</v>
      </c>
      <c r="D35" s="48" t="s">
        <v>49</v>
      </c>
      <c r="E35" s="36" t="s">
        <v>50</v>
      </c>
      <c r="F35" s="36" t="s">
        <v>51</v>
      </c>
      <c r="G35" s="36" t="s">
        <v>52</v>
      </c>
      <c r="H35" s="36" t="s">
        <v>53</v>
      </c>
      <c r="I35" s="48" t="s">
        <v>54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>
      <c r="A36" s="50">
        <v>15</v>
      </c>
      <c r="B36" s="60">
        <v>141.17692307692306</v>
      </c>
      <c r="C36" s="60">
        <v>1</v>
      </c>
      <c r="D36" s="60">
        <v>49.784615384615385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9.4117948717948714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>
      <c r="A37" s="50">
        <v>20</v>
      </c>
      <c r="B37" s="60">
        <v>183.7076923076923</v>
      </c>
      <c r="C37" s="60">
        <v>2</v>
      </c>
      <c r="D37" s="60">
        <v>48.723076923076924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18.463076923076926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>
      <c r="A38" s="50">
        <v>26</v>
      </c>
      <c r="B38" s="60">
        <v>249.41538461538462</v>
      </c>
      <c r="C38" s="60">
        <v>3</v>
      </c>
      <c r="D38" s="60">
        <v>46.984615384615381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19.071794871794875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>
      <c r="A39" s="50">
        <v>30</v>
      </c>
      <c r="B39" s="60">
        <v>280.42307692307691</v>
      </c>
      <c r="C39" s="60" t="s">
        <v>55</v>
      </c>
      <c r="D39" s="60">
        <v>0</v>
      </c>
      <c r="E39" s="51">
        <v>0</v>
      </c>
      <c r="F39" s="51">
        <v>0</v>
      </c>
      <c r="G39" s="51">
        <v>0</v>
      </c>
      <c r="H39" s="51">
        <v>0</v>
      </c>
      <c r="I39" s="49">
        <f t="shared" si="1"/>
        <v>19.498076923076916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>
      <c r="A40" s="50">
        <v>32</v>
      </c>
      <c r="B40" s="60">
        <v>318.7923076923077</v>
      </c>
      <c r="C40" s="60">
        <v>4</v>
      </c>
      <c r="D40" s="60">
        <v>64.523076923076914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19.184615384615398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>
      <c r="A41" s="50">
        <v>40</v>
      </c>
      <c r="B41" s="60">
        <v>398.71538461538461</v>
      </c>
      <c r="C41" s="60">
        <v>5</v>
      </c>
      <c r="D41" s="60">
        <v>92.661538461538456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18.055769230769229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>
      <c r="A42" s="50">
        <v>48</v>
      </c>
      <c r="B42" s="60">
        <v>427.74615384615385</v>
      </c>
      <c r="C42" s="60">
        <v>6</v>
      </c>
      <c r="D42" s="60">
        <v>83.969230769230762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15.21153846153846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>
      <c r="A43" s="50">
        <v>56</v>
      </c>
      <c r="B43" s="60">
        <v>446.47692307692301</v>
      </c>
      <c r="C43" s="60">
        <v>7</v>
      </c>
      <c r="D43" s="60">
        <v>446.47692307692301</v>
      </c>
      <c r="E43" s="51">
        <v>0.7</v>
      </c>
      <c r="F43" s="51">
        <v>0.16800000000000001</v>
      </c>
      <c r="G43" s="51">
        <v>0.13200000000000001</v>
      </c>
      <c r="H43" s="51">
        <v>0</v>
      </c>
      <c r="I43" s="49">
        <f t="shared" si="1"/>
        <v>12.837499999999991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>
      <c r="A58" s="46" t="s">
        <v>18</v>
      </c>
      <c r="B58" s="52" t="str">
        <f>IF(B10="","",B10)</f>
        <v>Pin laricio</v>
      </c>
      <c r="D58" s="229" t="s">
        <v>42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>
      <c r="A60" s="4"/>
      <c r="B60" s="85" t="s">
        <v>43</v>
      </c>
      <c r="C60" s="259" t="s">
        <v>44</v>
      </c>
      <c r="D60" s="259"/>
      <c r="E60" s="260" t="s">
        <v>45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>
      <c r="A61" s="36" t="s">
        <v>46</v>
      </c>
      <c r="B61" s="36" t="s">
        <v>47</v>
      </c>
      <c r="C61" s="48" t="s">
        <v>48</v>
      </c>
      <c r="D61" s="48" t="s">
        <v>49</v>
      </c>
      <c r="E61" s="36" t="s">
        <v>50</v>
      </c>
      <c r="F61" s="36" t="s">
        <v>51</v>
      </c>
      <c r="G61" s="36" t="s">
        <v>52</v>
      </c>
      <c r="H61" s="36" t="s">
        <v>53</v>
      </c>
      <c r="I61" s="48" t="s">
        <v>54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>
      <c r="A62" s="50">
        <v>19</v>
      </c>
      <c r="B62" s="60">
        <v>127.98461538461538</v>
      </c>
      <c r="C62" s="60">
        <v>1</v>
      </c>
      <c r="D62" s="60">
        <v>46.53846153846154</v>
      </c>
      <c r="E62" s="51">
        <v>0</v>
      </c>
      <c r="F62" s="51">
        <v>0.56000000000000005</v>
      </c>
      <c r="G62" s="51">
        <v>0.44</v>
      </c>
      <c r="H62" s="51">
        <v>0</v>
      </c>
      <c r="I62" s="53">
        <f>IFERROR(B62/A62,"")</f>
        <v>6.7360323886639675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>
      <c r="A63" s="50">
        <v>24</v>
      </c>
      <c r="B63" s="60">
        <v>159.94615384615383</v>
      </c>
      <c r="C63" s="60">
        <v>2</v>
      </c>
      <c r="D63" s="60">
        <v>40.41538461538461</v>
      </c>
      <c r="E63" s="51">
        <v>0.7</v>
      </c>
      <c r="F63" s="51">
        <v>0.16800000000000001</v>
      </c>
      <c r="G63" s="51">
        <v>0.13200000000000001</v>
      </c>
      <c r="H63" s="51">
        <v>0</v>
      </c>
      <c r="I63" s="49">
        <f>IF(A63&lt;&gt;0,(B63-(B62-D62))/(A63-A62),"")</f>
        <v>15.7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>
      <c r="A64" s="50">
        <v>30</v>
      </c>
      <c r="B64" s="60">
        <v>215.65384615384616</v>
      </c>
      <c r="C64" s="60">
        <v>3</v>
      </c>
      <c r="D64" s="60">
        <v>55.869230769230761</v>
      </c>
      <c r="E64" s="51">
        <v>0.7</v>
      </c>
      <c r="F64" s="51">
        <v>0.16800000000000001</v>
      </c>
      <c r="G64" s="51">
        <v>0.13200000000000001</v>
      </c>
      <c r="H64" s="51">
        <v>0</v>
      </c>
      <c r="I64" s="49">
        <f>IF(A64&lt;&gt;0,(B64-(B63-D63))/(A64-A63),"")</f>
        <v>16.020512820512824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>
      <c r="A65" s="50">
        <v>37</v>
      </c>
      <c r="B65" s="60">
        <v>268.16923076923075</v>
      </c>
      <c r="C65" s="60">
        <v>4</v>
      </c>
      <c r="D65" s="60">
        <v>43.623076923076923</v>
      </c>
      <c r="E65" s="51">
        <v>0.7</v>
      </c>
      <c r="F65" s="51">
        <v>0.16800000000000001</v>
      </c>
      <c r="G65" s="51">
        <v>0.13200000000000001</v>
      </c>
      <c r="H65" s="51">
        <v>0</v>
      </c>
      <c r="I65" s="49">
        <f>IF(A65&lt;&gt;0,(B65-(B64-D64))/(A65-A64),"")</f>
        <v>15.48351648351648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>
      <c r="A66" s="50">
        <v>46</v>
      </c>
      <c r="B66" s="60">
        <v>362.82307692307688</v>
      </c>
      <c r="C66" s="60">
        <v>5</v>
      </c>
      <c r="D66" s="60">
        <v>72.561538461538461</v>
      </c>
      <c r="E66" s="51">
        <v>0.7</v>
      </c>
      <c r="F66" s="51">
        <v>0.16800000000000001</v>
      </c>
      <c r="G66" s="51">
        <v>0.13200000000000001</v>
      </c>
      <c r="H66" s="51">
        <v>0</v>
      </c>
      <c r="I66" s="49">
        <f t="shared" ref="I66:I81" si="2">IF(A66&lt;&gt;0,(B66-(B65-D65))/(A66-A65),"")</f>
        <v>15.364102564102561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>
      <c r="A67" s="50">
        <v>56</v>
      </c>
      <c r="B67" s="60">
        <v>428.20000000000005</v>
      </c>
      <c r="C67" s="60">
        <v>6</v>
      </c>
      <c r="D67" s="60">
        <v>60.092307692307692</v>
      </c>
      <c r="E67" s="51">
        <v>0.7</v>
      </c>
      <c r="F67" s="51">
        <v>0.16800000000000001</v>
      </c>
      <c r="G67" s="51">
        <v>0.13200000000000001</v>
      </c>
      <c r="H67" s="51">
        <v>0</v>
      </c>
      <c r="I67" s="49">
        <f t="shared" si="2"/>
        <v>13.793846153846165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>
      <c r="A68" s="50">
        <v>66</v>
      </c>
      <c r="B68" s="60">
        <v>488.65384615384613</v>
      </c>
      <c r="C68" s="60">
        <v>7</v>
      </c>
      <c r="D68" s="60">
        <v>68.146153846153851</v>
      </c>
      <c r="E68" s="51">
        <v>0.7</v>
      </c>
      <c r="F68" s="51">
        <v>0.16800000000000001</v>
      </c>
      <c r="G68" s="51">
        <v>0.13200000000000001</v>
      </c>
      <c r="H68" s="51">
        <v>0</v>
      </c>
      <c r="I68" s="49">
        <f t="shared" si="2"/>
        <v>12.05461538461538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>
      <c r="A69" s="50">
        <v>76</v>
      </c>
      <c r="B69" s="50">
        <v>520.22307692307686</v>
      </c>
      <c r="C69" s="50">
        <v>8</v>
      </c>
      <c r="D69" s="50">
        <v>520.22307692307686</v>
      </c>
      <c r="E69" s="51">
        <v>0.7</v>
      </c>
      <c r="F69" s="51">
        <v>0.16800000000000001</v>
      </c>
      <c r="G69" s="51">
        <v>0.13200000000000001</v>
      </c>
      <c r="H69" s="51">
        <v>0</v>
      </c>
      <c r="I69" s="49">
        <f t="shared" si="2"/>
        <v>9.9715384615384544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>
      <c r="A84" s="46" t="s">
        <v>20</v>
      </c>
      <c r="B84" s="52" t="str">
        <f>IF(B11="","",B11)</f>
        <v/>
      </c>
      <c r="D84" s="229" t="s">
        <v>42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>
      <c r="A86" s="4"/>
      <c r="B86" s="85" t="s">
        <v>43</v>
      </c>
      <c r="C86" s="259" t="s">
        <v>44</v>
      </c>
      <c r="D86" s="259"/>
      <c r="E86" s="260" t="s">
        <v>45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>
      <c r="A87" s="36" t="s">
        <v>46</v>
      </c>
      <c r="B87" s="36" t="s">
        <v>47</v>
      </c>
      <c r="C87" s="48" t="s">
        <v>48</v>
      </c>
      <c r="D87" s="48" t="s">
        <v>49</v>
      </c>
      <c r="E87" s="36" t="s">
        <v>50</v>
      </c>
      <c r="F87" s="36" t="s">
        <v>51</v>
      </c>
      <c r="G87" s="36" t="s">
        <v>52</v>
      </c>
      <c r="H87" s="36" t="s">
        <v>53</v>
      </c>
      <c r="I87" s="48" t="s">
        <v>54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>
      <c r="A110" s="46" t="s">
        <v>21</v>
      </c>
      <c r="B110" s="52" t="str">
        <f>IF(B12="","",B12)</f>
        <v/>
      </c>
      <c r="D110" s="229" t="s">
        <v>42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>
      <c r="A112" s="4"/>
      <c r="B112" s="85" t="s">
        <v>43</v>
      </c>
      <c r="C112" s="259" t="s">
        <v>44</v>
      </c>
      <c r="D112" s="259"/>
      <c r="E112" s="260" t="s">
        <v>45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>
      <c r="A113" s="36" t="s">
        <v>46</v>
      </c>
      <c r="B113" s="36" t="s">
        <v>47</v>
      </c>
      <c r="C113" s="48" t="s">
        <v>48</v>
      </c>
      <c r="D113" s="48" t="s">
        <v>49</v>
      </c>
      <c r="E113" s="36" t="s">
        <v>50</v>
      </c>
      <c r="F113" s="36" t="s">
        <v>51</v>
      </c>
      <c r="G113" s="36" t="s">
        <v>52</v>
      </c>
      <c r="H113" s="36" t="s">
        <v>53</v>
      </c>
      <c r="I113" s="48" t="s">
        <v>54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>
      <c r="A136" s="46" t="s">
        <v>22</v>
      </c>
      <c r="B136" s="52" t="str">
        <f>IF(B13="","",B13)</f>
        <v/>
      </c>
      <c r="D136" s="229" t="s">
        <v>42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>
      <c r="A138" s="4"/>
      <c r="B138" s="85" t="s">
        <v>43</v>
      </c>
      <c r="C138" s="259" t="s">
        <v>44</v>
      </c>
      <c r="D138" s="259"/>
      <c r="E138" s="260" t="s">
        <v>45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>
      <c r="A139" s="36" t="s">
        <v>46</v>
      </c>
      <c r="B139" s="36" t="s">
        <v>47</v>
      </c>
      <c r="C139" s="48" t="s">
        <v>48</v>
      </c>
      <c r="D139" s="48" t="s">
        <v>49</v>
      </c>
      <c r="E139" s="36" t="s">
        <v>50</v>
      </c>
      <c r="F139" s="36" t="s">
        <v>51</v>
      </c>
      <c r="G139" s="36" t="s">
        <v>52</v>
      </c>
      <c r="H139" s="36" t="s">
        <v>53</v>
      </c>
      <c r="I139" s="48" t="s">
        <v>54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>
      <c r="A162" s="46" t="s">
        <v>23</v>
      </c>
      <c r="B162" s="52" t="str">
        <f>IF(B14="","",B14)</f>
        <v/>
      </c>
      <c r="D162" s="229" t="s">
        <v>42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>
      <c r="A164" s="4"/>
      <c r="B164" s="85" t="s">
        <v>43</v>
      </c>
      <c r="C164" s="259" t="s">
        <v>44</v>
      </c>
      <c r="D164" s="259"/>
      <c r="E164" s="260" t="s">
        <v>45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>
      <c r="A165" s="36" t="s">
        <v>46</v>
      </c>
      <c r="B165" s="36" t="s">
        <v>47</v>
      </c>
      <c r="C165" s="48" t="s">
        <v>48</v>
      </c>
      <c r="D165" s="48" t="s">
        <v>49</v>
      </c>
      <c r="E165" s="36" t="s">
        <v>50</v>
      </c>
      <c r="F165" s="36" t="s">
        <v>51</v>
      </c>
      <c r="G165" s="36" t="s">
        <v>52</v>
      </c>
      <c r="H165" s="36" t="s">
        <v>53</v>
      </c>
      <c r="I165" s="48" t="s">
        <v>54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>
      <c r="A188" s="46" t="s">
        <v>24</v>
      </c>
      <c r="B188" s="52" t="str">
        <f>IF(B15="","",B15)</f>
        <v/>
      </c>
      <c r="D188" s="229" t="s">
        <v>42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>
      <c r="A190" s="4"/>
      <c r="B190" s="85" t="s">
        <v>43</v>
      </c>
      <c r="C190" s="259" t="s">
        <v>44</v>
      </c>
      <c r="D190" s="259"/>
      <c r="E190" s="260" t="s">
        <v>45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>
      <c r="A191" s="36" t="s">
        <v>46</v>
      </c>
      <c r="B191" s="36" t="s">
        <v>47</v>
      </c>
      <c r="C191" s="48" t="s">
        <v>48</v>
      </c>
      <c r="D191" s="48" t="s">
        <v>49</v>
      </c>
      <c r="E191" s="36" t="s">
        <v>50</v>
      </c>
      <c r="F191" s="36" t="s">
        <v>51</v>
      </c>
      <c r="G191" s="36" t="s">
        <v>52</v>
      </c>
      <c r="H191" s="36" t="s">
        <v>53</v>
      </c>
      <c r="I191" s="48" t="s">
        <v>54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>
      <c r="A214" s="46" t="s">
        <v>25</v>
      </c>
      <c r="B214" s="52" t="str">
        <f>IF(B16="","",B16)</f>
        <v/>
      </c>
      <c r="D214" s="229" t="s">
        <v>42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>
      <c r="A216" s="4"/>
      <c r="B216" s="85" t="s">
        <v>43</v>
      </c>
      <c r="C216" s="259" t="s">
        <v>44</v>
      </c>
      <c r="D216" s="259"/>
      <c r="E216" s="260" t="s">
        <v>45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>
      <c r="A217" s="36" t="s">
        <v>46</v>
      </c>
      <c r="B217" s="36" t="s">
        <v>47</v>
      </c>
      <c r="C217" s="48" t="s">
        <v>48</v>
      </c>
      <c r="D217" s="48" t="s">
        <v>49</v>
      </c>
      <c r="E217" s="36" t="s">
        <v>50</v>
      </c>
      <c r="F217" s="36" t="s">
        <v>51</v>
      </c>
      <c r="G217" s="36" t="s">
        <v>52</v>
      </c>
      <c r="H217" s="36" t="s">
        <v>53</v>
      </c>
      <c r="I217" s="48" t="s">
        <v>54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>
      <c r="A240" s="46" t="s">
        <v>26</v>
      </c>
      <c r="B240" s="52" t="str">
        <f>IF(B17="","",B17)</f>
        <v/>
      </c>
      <c r="D240" s="229" t="s">
        <v>42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>
      <c r="A242" s="4"/>
      <c r="B242" s="85" t="s">
        <v>43</v>
      </c>
      <c r="C242" s="259" t="s">
        <v>44</v>
      </c>
      <c r="D242" s="259"/>
      <c r="E242" s="260" t="s">
        <v>45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>
      <c r="A243" s="36" t="s">
        <v>46</v>
      </c>
      <c r="B243" s="36" t="s">
        <v>47</v>
      </c>
      <c r="C243" s="48" t="s">
        <v>48</v>
      </c>
      <c r="D243" s="48" t="s">
        <v>49</v>
      </c>
      <c r="E243" s="36" t="s">
        <v>50</v>
      </c>
      <c r="F243" s="36" t="s">
        <v>51</v>
      </c>
      <c r="G243" s="36" t="s">
        <v>52</v>
      </c>
      <c r="H243" s="36" t="s">
        <v>53</v>
      </c>
      <c r="I243" s="48" t="s">
        <v>54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>
      <c r="A266" s="46" t="s">
        <v>27</v>
      </c>
      <c r="B266" s="52" t="str">
        <f>IF(B18="","",B18)</f>
        <v/>
      </c>
      <c r="D266" s="229" t="s">
        <v>42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>
      <c r="A268" s="4"/>
      <c r="B268" s="85" t="s">
        <v>43</v>
      </c>
      <c r="C268" s="259" t="s">
        <v>44</v>
      </c>
      <c r="D268" s="259"/>
      <c r="E268" s="260" t="s">
        <v>45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>
      <c r="A269" s="36" t="s">
        <v>46</v>
      </c>
      <c r="B269" s="36" t="s">
        <v>47</v>
      </c>
      <c r="C269" s="48" t="s">
        <v>48</v>
      </c>
      <c r="D269" s="48" t="s">
        <v>49</v>
      </c>
      <c r="E269" s="36" t="s">
        <v>50</v>
      </c>
      <c r="F269" s="36" t="s">
        <v>51</v>
      </c>
      <c r="G269" s="36" t="s">
        <v>52</v>
      </c>
      <c r="H269" s="36" t="s">
        <v>53</v>
      </c>
      <c r="I269" s="48" t="s">
        <v>54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defaultColWidth="11.42578125" defaultRowHeight="14.4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" thickBot="1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5" thickBot="1">
      <c r="A2" s="4"/>
      <c r="B2" s="272" t="s">
        <v>56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>
      <c r="A5" s="4"/>
      <c r="B5" s="98" t="s">
        <v>57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>
      <c r="A7" s="99"/>
      <c r="B7" s="26" t="s">
        <v>58</v>
      </c>
      <c r="C7" s="100" t="s">
        <v>59</v>
      </c>
      <c r="D7" s="215"/>
      <c r="E7" s="101"/>
      <c r="F7" s="26" t="s">
        <v>58</v>
      </c>
      <c r="G7" s="100" t="s">
        <v>60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>
      <c r="A8" s="105">
        <v>1</v>
      </c>
      <c r="B8" s="61">
        <v>0</v>
      </c>
      <c r="C8" s="49" t="s">
        <v>61</v>
      </c>
      <c r="D8" s="23"/>
      <c r="E8" s="105">
        <v>4</v>
      </c>
      <c r="F8" s="61">
        <v>1</v>
      </c>
      <c r="G8" s="102" t="s">
        <v>62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>
      <c r="A9" s="105">
        <v>2</v>
      </c>
      <c r="B9" s="61">
        <v>0</v>
      </c>
      <c r="C9" s="108" t="s">
        <v>63</v>
      </c>
      <c r="D9" s="23"/>
      <c r="E9" s="105">
        <v>5</v>
      </c>
      <c r="F9" s="61">
        <v>0</v>
      </c>
      <c r="G9" s="103" t="s">
        <v>64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>
      <c r="A10" s="105">
        <v>3</v>
      </c>
      <c r="B10" s="61">
        <v>0</v>
      </c>
      <c r="C10" s="109" t="s">
        <v>65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>
      <c r="A13" s="216"/>
      <c r="B13" s="107"/>
      <c r="C13" s="98" t="s">
        <v>66</v>
      </c>
      <c r="D13" s="216"/>
      <c r="E13" s="99"/>
      <c r="F13" s="107"/>
      <c r="G13" s="98" t="s">
        <v>67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>
      <c r="A14" s="216"/>
      <c r="B14" s="107"/>
      <c r="C14" s="98" t="s">
        <v>68</v>
      </c>
      <c r="D14" s="216"/>
      <c r="E14" s="99"/>
      <c r="F14" s="107"/>
      <c r="G14" s="98" t="s">
        <v>69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>
      <c r="A15" s="23"/>
      <c r="B15" s="26" t="s">
        <v>58</v>
      </c>
      <c r="C15" s="4"/>
      <c r="D15" s="23"/>
      <c r="E15" s="4"/>
      <c r="F15" s="4"/>
      <c r="G15" s="2" t="s">
        <v>70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>
      <c r="A16" s="23"/>
      <c r="B16" s="61">
        <v>0</v>
      </c>
      <c r="C16" s="110" t="s">
        <v>71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>
      <c r="A17" s="23"/>
      <c r="B17" s="61">
        <v>0</v>
      </c>
      <c r="C17" s="110" t="s">
        <v>72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>
      <c r="A18" s="23"/>
      <c r="B18" s="61">
        <v>0</v>
      </c>
      <c r="C18" s="110" t="s">
        <v>73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>
      <c r="C104" s="4"/>
      <c r="F104" s="4"/>
    </row>
    <row r="105" spans="3:35">
      <c r="C105" s="4"/>
      <c r="F105" s="4"/>
    </row>
    <row r="106" spans="3:35">
      <c r="C106" s="4"/>
      <c r="F106" s="4"/>
    </row>
    <row r="107" spans="3:35">
      <c r="C107" s="4"/>
      <c r="F107" s="4"/>
    </row>
    <row r="108" spans="3:35">
      <c r="C108" s="4"/>
      <c r="F108" s="4"/>
    </row>
    <row r="109" spans="3:35">
      <c r="C109" s="4"/>
      <c r="F109" s="4"/>
    </row>
    <row r="110" spans="3:35">
      <c r="C110" s="4"/>
      <c r="F110" s="4"/>
    </row>
    <row r="111" spans="3:35">
      <c r="C111" s="4"/>
      <c r="F111" s="4"/>
    </row>
    <row r="112" spans="3:35">
      <c r="C112" s="4"/>
      <c r="F112" s="4"/>
    </row>
    <row r="113" spans="3:6">
      <c r="C113" s="4"/>
      <c r="F113" s="4"/>
    </row>
    <row r="114" spans="3:6">
      <c r="C114" s="4"/>
      <c r="F114" s="4"/>
    </row>
    <row r="115" spans="3:6">
      <c r="C115" s="4"/>
      <c r="F115" s="4"/>
    </row>
    <row r="116" spans="3:6">
      <c r="C116" s="4"/>
      <c r="F116" s="4"/>
    </row>
    <row r="117" spans="3:6">
      <c r="C117" s="4"/>
      <c r="F117" s="4"/>
    </row>
    <row r="118" spans="3:6">
      <c r="C118" s="4"/>
      <c r="F118" s="4"/>
    </row>
    <row r="119" spans="3:6">
      <c r="C119" s="4"/>
      <c r="F119" s="4"/>
    </row>
    <row r="120" spans="3:6">
      <c r="C120" s="4"/>
      <c r="F120" s="4"/>
    </row>
    <row r="121" spans="3:6">
      <c r="C121" s="4"/>
      <c r="F121" s="4"/>
    </row>
    <row r="122" spans="3:6">
      <c r="C122" s="4"/>
      <c r="F122" s="4"/>
    </row>
    <row r="123" spans="3:6">
      <c r="C123" s="4"/>
      <c r="F123" s="4"/>
    </row>
    <row r="124" spans="3:6">
      <c r="C124" s="4"/>
      <c r="F124" s="4"/>
    </row>
    <row r="125" spans="3:6">
      <c r="C125" s="4"/>
      <c r="F125" s="4"/>
    </row>
    <row r="126" spans="3:6">
      <c r="C126" s="4"/>
      <c r="F126" s="4"/>
    </row>
    <row r="127" spans="3:6">
      <c r="C127" s="4"/>
      <c r="F127" s="4"/>
    </row>
    <row r="128" spans="3:6">
      <c r="C128" s="4"/>
      <c r="F128" s="4"/>
    </row>
    <row r="129" spans="3:6">
      <c r="C129" s="4"/>
      <c r="F129" s="4"/>
    </row>
    <row r="130" spans="3:6">
      <c r="C130" s="4"/>
      <c r="F130" s="4"/>
    </row>
    <row r="131" spans="3:6">
      <c r="C131" s="4"/>
      <c r="F131" s="4"/>
    </row>
    <row r="132" spans="3:6">
      <c r="F132" s="4"/>
    </row>
    <row r="133" spans="3:6">
      <c r="F133" s="4"/>
    </row>
    <row r="134" spans="3:6">
      <c r="F134" s="4"/>
    </row>
    <row r="135" spans="3:6">
      <c r="F135" s="4"/>
    </row>
    <row r="136" spans="3:6">
      <c r="F136" s="4"/>
    </row>
    <row r="137" spans="3:6">
      <c r="F137" s="4"/>
    </row>
    <row r="138" spans="3:6">
      <c r="F138" s="4"/>
    </row>
    <row r="139" spans="3:6">
      <c r="F139" s="4"/>
    </row>
    <row r="140" spans="3:6">
      <c r="F140" s="4"/>
    </row>
    <row r="141" spans="3:6">
      <c r="F141" s="4"/>
    </row>
    <row r="142" spans="3:6">
      <c r="F142" s="4"/>
    </row>
    <row r="143" spans="3:6">
      <c r="F143" s="4"/>
    </row>
    <row r="144" spans="3:6">
      <c r="F144" s="4"/>
    </row>
    <row r="145" spans="6:6">
      <c r="F145" s="4"/>
    </row>
    <row r="146" spans="6:6">
      <c r="F146" s="4"/>
    </row>
    <row r="147" spans="6:6">
      <c r="F147" s="4"/>
    </row>
    <row r="148" spans="6:6">
      <c r="F148" s="4"/>
    </row>
    <row r="149" spans="6:6">
      <c r="F149" s="4"/>
    </row>
    <row r="150" spans="6:6">
      <c r="F150" s="4"/>
    </row>
    <row r="151" spans="6:6">
      <c r="F151" s="4"/>
    </row>
    <row r="152" spans="6:6">
      <c r="F152" s="4"/>
    </row>
    <row r="153" spans="6:6">
      <c r="F153" s="4"/>
    </row>
    <row r="154" spans="6:6">
      <c r="F154" s="4"/>
    </row>
    <row r="155" spans="6:6">
      <c r="F155" s="4"/>
    </row>
    <row r="156" spans="6:6">
      <c r="F156" s="4"/>
    </row>
    <row r="157" spans="6:6">
      <c r="F157" s="4"/>
    </row>
    <row r="158" spans="6:6">
      <c r="F158" s="4"/>
    </row>
    <row r="159" spans="6:6">
      <c r="F159" s="4"/>
    </row>
    <row r="160" spans="6:6">
      <c r="F160" s="4"/>
    </row>
    <row r="161" spans="6:6">
      <c r="F161" s="4"/>
    </row>
    <row r="162" spans="6:6">
      <c r="F162" s="4"/>
    </row>
    <row r="163" spans="6:6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defaultColWidth="11.42578125" defaultRowHeight="14.4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6.45" thickBot="1">
      <c r="B1" s="278" t="s">
        <v>74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laricio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>
      <c r="A2" s="71" t="s">
        <v>75</v>
      </c>
      <c r="B2" s="72" t="s">
        <v>76</v>
      </c>
      <c r="C2" s="5" t="s">
        <v>77</v>
      </c>
      <c r="D2" s="5" t="s">
        <v>78</v>
      </c>
      <c r="E2" s="5" t="s">
        <v>79</v>
      </c>
      <c r="F2" s="5" t="s">
        <v>80</v>
      </c>
      <c r="G2" s="5" t="s">
        <v>81</v>
      </c>
      <c r="H2" s="66" t="s">
        <v>82</v>
      </c>
      <c r="I2" s="68" t="s">
        <v>79</v>
      </c>
      <c r="J2" s="69" t="s">
        <v>80</v>
      </c>
      <c r="K2" s="6" t="s">
        <v>83</v>
      </c>
      <c r="L2" s="6" t="s">
        <v>84</v>
      </c>
      <c r="M2" s="6" t="s">
        <v>84</v>
      </c>
      <c r="N2" s="6" t="s">
        <v>85</v>
      </c>
      <c r="O2" s="6" t="s">
        <v>86</v>
      </c>
      <c r="P2" s="6" t="s">
        <v>87</v>
      </c>
      <c r="Q2" s="6" t="s">
        <v>81</v>
      </c>
      <c r="R2" s="6" t="s">
        <v>88</v>
      </c>
      <c r="S2" s="6" t="s">
        <v>89</v>
      </c>
      <c r="T2" s="6" t="s">
        <v>90</v>
      </c>
      <c r="U2" s="7" t="s">
        <v>91</v>
      </c>
      <c r="V2" s="8" t="s">
        <v>92</v>
      </c>
      <c r="W2" s="7" t="s">
        <v>50</v>
      </c>
      <c r="X2" s="7" t="s">
        <v>51</v>
      </c>
      <c r="Y2" s="7" t="s">
        <v>93</v>
      </c>
      <c r="Z2" s="8" t="s">
        <v>94</v>
      </c>
      <c r="AA2" s="8" t="s">
        <v>95</v>
      </c>
      <c r="AB2" s="8" t="s">
        <v>96</v>
      </c>
      <c r="AC2" s="9" t="s">
        <v>97</v>
      </c>
      <c r="AD2" s="69" t="s">
        <v>79</v>
      </c>
      <c r="AE2" s="69" t="s">
        <v>80</v>
      </c>
      <c r="AF2" s="6" t="s">
        <v>83</v>
      </c>
      <c r="AG2" s="6" t="s">
        <v>84</v>
      </c>
      <c r="AH2" s="6" t="s">
        <v>84</v>
      </c>
      <c r="AI2" s="6" t="s">
        <v>85</v>
      </c>
      <c r="AJ2" s="6" t="s">
        <v>86</v>
      </c>
      <c r="AK2" s="6" t="s">
        <v>87</v>
      </c>
      <c r="AL2" s="6" t="s">
        <v>81</v>
      </c>
      <c r="AM2" s="6" t="s">
        <v>88</v>
      </c>
      <c r="AN2" s="6" t="s">
        <v>89</v>
      </c>
      <c r="AO2" s="6" t="s">
        <v>90</v>
      </c>
      <c r="AP2" s="7" t="s">
        <v>91</v>
      </c>
      <c r="AQ2" s="8" t="s">
        <v>92</v>
      </c>
      <c r="AR2" s="7" t="s">
        <v>50</v>
      </c>
      <c r="AS2" s="7" t="s">
        <v>51</v>
      </c>
      <c r="AT2" s="8" t="s">
        <v>98</v>
      </c>
      <c r="AU2" s="8" t="s">
        <v>94</v>
      </c>
      <c r="AV2" s="8" t="s">
        <v>95</v>
      </c>
      <c r="AW2" s="8" t="s">
        <v>96</v>
      </c>
      <c r="AX2" s="8" t="s">
        <v>97</v>
      </c>
      <c r="AY2" s="68" t="s">
        <v>79</v>
      </c>
      <c r="AZ2" s="69" t="s">
        <v>80</v>
      </c>
      <c r="BA2" s="6" t="s">
        <v>83</v>
      </c>
      <c r="BB2" s="6" t="s">
        <v>84</v>
      </c>
      <c r="BC2" s="6" t="s">
        <v>84</v>
      </c>
      <c r="BD2" s="6" t="s">
        <v>85</v>
      </c>
      <c r="BE2" s="6" t="s">
        <v>86</v>
      </c>
      <c r="BF2" s="6" t="s">
        <v>87</v>
      </c>
      <c r="BG2" s="6" t="s">
        <v>81</v>
      </c>
      <c r="BH2" s="6" t="s">
        <v>88</v>
      </c>
      <c r="BI2" s="6" t="s">
        <v>89</v>
      </c>
      <c r="BJ2" s="6" t="s">
        <v>90</v>
      </c>
      <c r="BK2" s="7" t="s">
        <v>91</v>
      </c>
      <c r="BL2" s="8" t="s">
        <v>92</v>
      </c>
      <c r="BM2" s="7" t="s">
        <v>50</v>
      </c>
      <c r="BN2" s="7" t="s">
        <v>51</v>
      </c>
      <c r="BO2" s="8" t="s">
        <v>98</v>
      </c>
      <c r="BP2" s="8" t="s">
        <v>94</v>
      </c>
      <c r="BQ2" s="8" t="s">
        <v>95</v>
      </c>
      <c r="BR2" s="8" t="s">
        <v>96</v>
      </c>
      <c r="BS2" s="9" t="s">
        <v>97</v>
      </c>
      <c r="BT2" s="68" t="s">
        <v>79</v>
      </c>
      <c r="BU2" s="69" t="s">
        <v>80</v>
      </c>
      <c r="BV2" s="6" t="s">
        <v>83</v>
      </c>
      <c r="BW2" s="6" t="s">
        <v>84</v>
      </c>
      <c r="BX2" s="6" t="s">
        <v>84</v>
      </c>
      <c r="BY2" s="6" t="s">
        <v>85</v>
      </c>
      <c r="BZ2" s="6" t="s">
        <v>86</v>
      </c>
      <c r="CA2" s="6" t="s">
        <v>87</v>
      </c>
      <c r="CB2" s="6" t="s">
        <v>81</v>
      </c>
      <c r="CC2" s="6" t="s">
        <v>88</v>
      </c>
      <c r="CD2" s="6" t="s">
        <v>89</v>
      </c>
      <c r="CE2" s="6" t="s">
        <v>90</v>
      </c>
      <c r="CF2" s="7" t="s">
        <v>91</v>
      </c>
      <c r="CG2" s="8" t="s">
        <v>92</v>
      </c>
      <c r="CH2" s="7" t="s">
        <v>50</v>
      </c>
      <c r="CI2" s="7" t="s">
        <v>51</v>
      </c>
      <c r="CJ2" s="8" t="s">
        <v>98</v>
      </c>
      <c r="CK2" s="8" t="s">
        <v>94</v>
      </c>
      <c r="CL2" s="8" t="s">
        <v>95</v>
      </c>
      <c r="CM2" s="8" t="s">
        <v>96</v>
      </c>
      <c r="CN2" s="9" t="s">
        <v>97</v>
      </c>
      <c r="CO2" s="68" t="s">
        <v>79</v>
      </c>
      <c r="CP2" s="69" t="s">
        <v>80</v>
      </c>
      <c r="CQ2" s="6" t="s">
        <v>83</v>
      </c>
      <c r="CR2" s="6" t="s">
        <v>84</v>
      </c>
      <c r="CS2" s="6" t="s">
        <v>84</v>
      </c>
      <c r="CT2" s="6" t="s">
        <v>85</v>
      </c>
      <c r="CU2" s="6" t="s">
        <v>86</v>
      </c>
      <c r="CV2" s="6" t="s">
        <v>87</v>
      </c>
      <c r="CW2" s="6" t="s">
        <v>81</v>
      </c>
      <c r="CX2" s="6" t="s">
        <v>88</v>
      </c>
      <c r="CY2" s="6" t="s">
        <v>89</v>
      </c>
      <c r="CZ2" s="6" t="s">
        <v>90</v>
      </c>
      <c r="DA2" s="7" t="s">
        <v>91</v>
      </c>
      <c r="DB2" s="8" t="s">
        <v>92</v>
      </c>
      <c r="DC2" s="7" t="s">
        <v>50</v>
      </c>
      <c r="DD2" s="7" t="s">
        <v>51</v>
      </c>
      <c r="DE2" s="8" t="s">
        <v>98</v>
      </c>
      <c r="DF2" s="8" t="s">
        <v>94</v>
      </c>
      <c r="DG2" s="8" t="s">
        <v>95</v>
      </c>
      <c r="DH2" s="8" t="s">
        <v>96</v>
      </c>
      <c r="DI2" s="9" t="s">
        <v>97</v>
      </c>
      <c r="DJ2" s="68" t="s">
        <v>79</v>
      </c>
      <c r="DK2" s="69" t="s">
        <v>80</v>
      </c>
      <c r="DL2" s="6" t="s">
        <v>83</v>
      </c>
      <c r="DM2" s="6" t="s">
        <v>84</v>
      </c>
      <c r="DN2" s="6" t="s">
        <v>84</v>
      </c>
      <c r="DO2" s="6" t="s">
        <v>85</v>
      </c>
      <c r="DP2" s="6" t="s">
        <v>86</v>
      </c>
      <c r="DQ2" s="6" t="s">
        <v>87</v>
      </c>
      <c r="DR2" s="6" t="s">
        <v>81</v>
      </c>
      <c r="DS2" s="6" t="s">
        <v>88</v>
      </c>
      <c r="DT2" s="6" t="s">
        <v>89</v>
      </c>
      <c r="DU2" s="6" t="s">
        <v>90</v>
      </c>
      <c r="DV2" s="7" t="s">
        <v>91</v>
      </c>
      <c r="DW2" s="8" t="s">
        <v>92</v>
      </c>
      <c r="DX2" s="7" t="s">
        <v>50</v>
      </c>
      <c r="DY2" s="7" t="s">
        <v>51</v>
      </c>
      <c r="DZ2" s="8" t="s">
        <v>98</v>
      </c>
      <c r="EA2" s="8" t="s">
        <v>94</v>
      </c>
      <c r="EB2" s="8" t="s">
        <v>95</v>
      </c>
      <c r="EC2" s="8" t="s">
        <v>96</v>
      </c>
      <c r="ED2" s="9" t="s">
        <v>97</v>
      </c>
      <c r="EE2" s="68" t="s">
        <v>79</v>
      </c>
      <c r="EF2" s="69" t="s">
        <v>80</v>
      </c>
      <c r="EG2" s="6" t="s">
        <v>83</v>
      </c>
      <c r="EH2" s="6" t="s">
        <v>84</v>
      </c>
      <c r="EI2" s="6" t="s">
        <v>84</v>
      </c>
      <c r="EJ2" s="6" t="s">
        <v>85</v>
      </c>
      <c r="EK2" s="6" t="s">
        <v>86</v>
      </c>
      <c r="EL2" s="6" t="s">
        <v>87</v>
      </c>
      <c r="EM2" s="6" t="s">
        <v>81</v>
      </c>
      <c r="EN2" s="6" t="s">
        <v>88</v>
      </c>
      <c r="EO2" s="6" t="s">
        <v>89</v>
      </c>
      <c r="EP2" s="6" t="s">
        <v>90</v>
      </c>
      <c r="EQ2" s="7" t="s">
        <v>91</v>
      </c>
      <c r="ER2" s="8" t="s">
        <v>92</v>
      </c>
      <c r="ES2" s="7" t="s">
        <v>50</v>
      </c>
      <c r="ET2" s="7" t="s">
        <v>51</v>
      </c>
      <c r="EU2" s="8" t="s">
        <v>98</v>
      </c>
      <c r="EV2" s="8" t="s">
        <v>94</v>
      </c>
      <c r="EW2" s="8" t="s">
        <v>95</v>
      </c>
      <c r="EX2" s="8" t="s">
        <v>96</v>
      </c>
      <c r="EY2" s="9" t="s">
        <v>97</v>
      </c>
      <c r="EZ2" s="68" t="s">
        <v>79</v>
      </c>
      <c r="FA2" s="69" t="s">
        <v>80</v>
      </c>
      <c r="FB2" s="6" t="s">
        <v>83</v>
      </c>
      <c r="FC2" s="6" t="s">
        <v>84</v>
      </c>
      <c r="FD2" s="6" t="s">
        <v>84</v>
      </c>
      <c r="FE2" s="6" t="s">
        <v>85</v>
      </c>
      <c r="FF2" s="6" t="s">
        <v>86</v>
      </c>
      <c r="FG2" s="6" t="s">
        <v>87</v>
      </c>
      <c r="FH2" s="6" t="s">
        <v>81</v>
      </c>
      <c r="FI2" s="6" t="s">
        <v>88</v>
      </c>
      <c r="FJ2" s="6" t="s">
        <v>89</v>
      </c>
      <c r="FK2" s="6" t="s">
        <v>90</v>
      </c>
      <c r="FL2" s="7" t="s">
        <v>91</v>
      </c>
      <c r="FM2" s="8" t="s">
        <v>92</v>
      </c>
      <c r="FN2" s="7" t="s">
        <v>50</v>
      </c>
      <c r="FO2" s="7" t="s">
        <v>51</v>
      </c>
      <c r="FP2" s="8" t="s">
        <v>99</v>
      </c>
      <c r="FQ2" s="8" t="s">
        <v>94</v>
      </c>
      <c r="FR2" s="8" t="s">
        <v>95</v>
      </c>
      <c r="FS2" s="8" t="s">
        <v>96</v>
      </c>
      <c r="FT2" s="9" t="s">
        <v>97</v>
      </c>
      <c r="FU2" s="68" t="s">
        <v>79</v>
      </c>
      <c r="FV2" s="69" t="s">
        <v>80</v>
      </c>
      <c r="FW2" s="6" t="s">
        <v>83</v>
      </c>
      <c r="FX2" s="6" t="s">
        <v>84</v>
      </c>
      <c r="FY2" s="6" t="s">
        <v>84</v>
      </c>
      <c r="FZ2" s="6" t="s">
        <v>85</v>
      </c>
      <c r="GA2" s="6" t="s">
        <v>86</v>
      </c>
      <c r="GB2" s="6" t="s">
        <v>87</v>
      </c>
      <c r="GC2" s="6" t="s">
        <v>81</v>
      </c>
      <c r="GD2" s="6" t="s">
        <v>88</v>
      </c>
      <c r="GE2" s="6" t="s">
        <v>89</v>
      </c>
      <c r="GF2" s="6" t="s">
        <v>90</v>
      </c>
      <c r="GG2" s="7" t="s">
        <v>91</v>
      </c>
      <c r="GH2" s="8" t="s">
        <v>92</v>
      </c>
      <c r="GI2" s="7" t="s">
        <v>50</v>
      </c>
      <c r="GJ2" s="7" t="s">
        <v>51</v>
      </c>
      <c r="GK2" s="8" t="s">
        <v>98</v>
      </c>
      <c r="GL2" s="8" t="s">
        <v>94</v>
      </c>
      <c r="GM2" s="8" t="s">
        <v>95</v>
      </c>
      <c r="GN2" s="8" t="s">
        <v>96</v>
      </c>
      <c r="GO2" s="8" t="s">
        <v>97</v>
      </c>
      <c r="GP2" s="68" t="s">
        <v>79</v>
      </c>
      <c r="GQ2" s="69" t="s">
        <v>80</v>
      </c>
      <c r="GR2" s="6" t="s">
        <v>83</v>
      </c>
      <c r="GS2" s="6" t="s">
        <v>84</v>
      </c>
      <c r="GT2" s="6" t="s">
        <v>84</v>
      </c>
      <c r="GU2" s="6" t="s">
        <v>85</v>
      </c>
      <c r="GV2" s="6" t="s">
        <v>86</v>
      </c>
      <c r="GW2" s="6" t="s">
        <v>87</v>
      </c>
      <c r="GX2" s="6" t="s">
        <v>81</v>
      </c>
      <c r="GY2" s="6" t="s">
        <v>88</v>
      </c>
      <c r="GZ2" s="6" t="s">
        <v>89</v>
      </c>
      <c r="HA2" s="6" t="s">
        <v>90</v>
      </c>
      <c r="HB2" s="7" t="s">
        <v>91</v>
      </c>
      <c r="HC2" s="8" t="s">
        <v>92</v>
      </c>
      <c r="HD2" s="7" t="s">
        <v>50</v>
      </c>
      <c r="HE2" s="7" t="s">
        <v>51</v>
      </c>
      <c r="HF2" s="8" t="s">
        <v>98</v>
      </c>
      <c r="HG2" s="8" t="s">
        <v>94</v>
      </c>
      <c r="HH2" s="8" t="s">
        <v>95</v>
      </c>
      <c r="HI2" s="8" t="s">
        <v>96</v>
      </c>
      <c r="HJ2" s="9" t="s">
        <v>97</v>
      </c>
    </row>
    <row r="3" spans="1:218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260.31965507630525</v>
      </c>
      <c r="T3" s="59">
        <f>IF('Données projet'!E9&gt;30,$R$33-$H$33,LOOKUP('Données projet'!$E$9,$A$3:$A$203,R3:R203)-LOOKUP('Données projet'!$E$9,$A$3:$A$203,$H$3:$H$203))</f>
        <v>327.31114099338032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277.11749933885778</v>
      </c>
      <c r="AO3" s="59">
        <f>IF('Données projet'!E10&gt;30,$AM$33-$H$33,LOOKUP('Données projet'!$E$10,$A$3:$A$203,AM3:AM203)-LOOKUP('Données projet'!$E$10,$A$3:$A$203,$H$3:$H$203))</f>
        <v>244.4970554728738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0.55900000000000005</v>
      </c>
      <c r="D4" s="11">
        <f>IFERROR(EXP(-1.0587+0.8836*LN(C4)+0.284),0)</f>
        <v>0.2756545328031752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6.4429472707613522</v>
      </c>
      <c r="H4" s="67">
        <f t="shared" ref="H4:H67" si="1">(B4+E4+F4)*44/12+(C4+D4)*0.475*44/12</f>
        <v>294.78702331129887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9.4117948717948714</v>
      </c>
      <c r="N4" s="13">
        <f>IF('Données projet'!$A$36&gt;35,N3+M4-V3,IF(A4&lt;'Données projet'!$A$36,$K$205^A4,IF(A4='Données projet'!$A$36,'Données projet'!$B$36,N3+M4-V3)))</f>
        <v>1.3909694153327172</v>
      </c>
      <c r="O4" s="13">
        <f>N4*VLOOKUP('Données projet'!$B$9,Paramètres!$A$1:$I$89,3,0)*VLOOKUP('Données projet'!$B$9,Paramètres!$A$1:$I$89,5,0)</f>
        <v>0.83179971036896505</v>
      </c>
      <c r="P4" s="13">
        <f>EXP(-1.0587+0.8836*LN(O4)+0.284)</f>
        <v>0.39163423183147406</v>
      </c>
      <c r="Q4" s="20">
        <f t="shared" ref="Q4:Q34" si="2">(O4+P4)*0.475*44/12</f>
        <v>2.1308141159990979</v>
      </c>
      <c r="R4" s="59">
        <f t="shared" si="0"/>
        <v>295.46414744933242</v>
      </c>
      <c r="S4" s="59">
        <f ca="1">AVERAGE(OFFSET($R$3,0,0,'Données projet'!$E$9+1,1))-AVERAGE(OFFSET($H$3,0,0,'Données projet'!$E$9+1,1))</f>
        <v>260.31965507630525</v>
      </c>
      <c r="T4" s="59">
        <f>$T$3</f>
        <v>327.31114099338032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6.7360323886639675</v>
      </c>
      <c r="AI4" s="13">
        <f>IF('Données projet'!$A$62&gt;35,AI3+AH4-AQ3,IF(A4&lt;'Données projet'!$A$62,$AF$205^A4,IF(A4='Données projet'!$A$62,'Données projet'!$B$62,AI3+AH4-AQ3)))</f>
        <v>1.2909310311160476</v>
      </c>
      <c r="AJ4" s="13">
        <f>AI4*VLOOKUP('Données projet'!$B$10,Paramètres!$A$1:$I$89,3,0)*VLOOKUP('Données projet'!$B$10,Paramètres!$A$1:$I$89,5,0)</f>
        <v>0.77197675660739651</v>
      </c>
      <c r="AK4" s="13">
        <f>EXP(-1.0587+0.8836*LN(AJ4)+0.284)</f>
        <v>0.36663942027891244</v>
      </c>
      <c r="AL4" s="20">
        <f t="shared" ref="AL4:AL67" si="4">(AJ4+AK4)*0.475*44/12</f>
        <v>1.9830898414103215</v>
      </c>
      <c r="AM4" s="59">
        <f t="shared" ref="AM4:AM67" si="5">AL4+(AD4+AE4)*44/12</f>
        <v>295.31642317474365</v>
      </c>
      <c r="AN4" s="59">
        <f ca="1">AVERAGE(OFFSET($AM$3,0,0,'Données projet'!$E$10+1,1))-AVERAGE(OFFSET($H$3,0,0,'Données projet'!$E$10+1,1))</f>
        <v>277.11749933885778</v>
      </c>
      <c r="AO4" s="59">
        <f>$AO$3</f>
        <v>244.4970554728738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1.1180000000000001</v>
      </c>
      <c r="D5" s="11">
        <f t="shared" ref="D5:D68" si="32">IFERROR(EXP(-1.0587+0.8836*LN(C5)+0.284),0)</f>
        <v>0.50857527486356202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12.556019665613462</v>
      </c>
      <c r="H5" s="67">
        <f t="shared" si="1"/>
        <v>296.16628527038733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9.4117948717948714</v>
      </c>
      <c r="N5" s="13">
        <f>IF('Données projet'!$A$36&gt;35,N4+M5-V4,IF(A5&lt;'Données projet'!$A$36,$K$205^A5,IF(A5='Données projet'!$A$36,'Données projet'!$B$36,N4+M5-V4)))</f>
        <v>1.9347959143910411</v>
      </c>
      <c r="O5" s="13">
        <f>N5*VLOOKUP('Données projet'!$B$9,Paramètres!$A$1:$I$89,3,0)*VLOOKUP('Données projet'!$B$9,Paramètres!$A$1:$I$89,5,0)</f>
        <v>1.1570079568058427</v>
      </c>
      <c r="P5" s="13">
        <f t="shared" ref="P5:P68" si="33">EXP(-1.0587+0.8836*LN(O5)+0.284)</f>
        <v>0.52422298600197004</v>
      </c>
      <c r="Q5" s="20">
        <f t="shared" si="2"/>
        <v>2.9281438920569403</v>
      </c>
      <c r="R5" s="59">
        <f t="shared" si="0"/>
        <v>296.26147722539025</v>
      </c>
      <c r="S5" s="59">
        <f ca="1">AVERAGE(OFFSET($R$3,0,0,'Données projet'!$E$9+1,1))-AVERAGE(OFFSET($H$3,0,0,'Données projet'!$E$9+1,1))</f>
        <v>260.31965507630525</v>
      </c>
      <c r="T5" s="59">
        <f t="shared" ref="T5:T68" si="34">$T$3</f>
        <v>327.31114099338032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6.7360323886639675</v>
      </c>
      <c r="AI5" s="13">
        <f>IF('Données projet'!$A$62&gt;35,AI4+AH5-AQ4,IF(A5&lt;'Données projet'!$A$62,$AF$205^A5,IF(A5='Données projet'!$A$62,'Données projet'!$B$62,AI4+AH5-AQ4)))</f>
        <v>1.6665029270983418</v>
      </c>
      <c r="AJ5" s="13">
        <f>AI5*VLOOKUP('Données projet'!$B$10,Paramètres!$A$1:$I$89,3,0)*VLOOKUP('Données projet'!$B$10,Paramètres!$A$1:$I$89,5,0)</f>
        <v>0.99656875040480852</v>
      </c>
      <c r="AK5" s="13">
        <f t="shared" ref="AK5:AK68" si="35">EXP(-1.0587+0.8836*LN(AJ5)+0.284)</f>
        <v>0.45944452864607926</v>
      </c>
      <c r="AL5" s="20">
        <f t="shared" si="4"/>
        <v>2.5358897943469625</v>
      </c>
      <c r="AM5" s="59">
        <f t="shared" si="5"/>
        <v>295.8692231276803</v>
      </c>
      <c r="AN5" s="59">
        <f ca="1">AVERAGE(OFFSET($AM$3,0,0,'Données projet'!$E$10+1,1))-AVERAGE(OFFSET($H$3,0,0,'Données projet'!$E$10+1,1))</f>
        <v>277.11749933885778</v>
      </c>
      <c r="AO5" s="59">
        <f t="shared" ref="AO5:AO68" si="36">$AO$3</f>
        <v>244.4970554728738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1.677</v>
      </c>
      <c r="D6" s="11">
        <f t="shared" si="32"/>
        <v>0.72769514761613419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18.56255903422981</v>
      </c>
      <c r="H6" s="67">
        <f t="shared" si="1"/>
        <v>297.52151071543142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9.4117948717948714</v>
      </c>
      <c r="N6" s="13">
        <f>IF('Données projet'!$A$36&gt;35,N5+M6-V5,IF(A6&lt;'Données projet'!$A$36,$K$205^A6,IF(A6='Données projet'!$A$36,'Données projet'!$B$36,N5+M6-V5)))</f>
        <v>2.6912419418286366</v>
      </c>
      <c r="O6" s="13">
        <f>N6*VLOOKUP('Données projet'!$B$9,Paramètres!$A$1:$I$89,3,0)*VLOOKUP('Données projet'!$B$9,Paramètres!$A$1:$I$89,5,0)</f>
        <v>1.6093626812135247</v>
      </c>
      <c r="P6" s="13">
        <f t="shared" si="33"/>
        <v>0.70169999636568137</v>
      </c>
      <c r="Q6" s="20">
        <f t="shared" si="2"/>
        <v>4.0251008301171156</v>
      </c>
      <c r="R6" s="59">
        <f t="shared" si="0"/>
        <v>297.35843416345045</v>
      </c>
      <c r="S6" s="59">
        <f ca="1">AVERAGE(OFFSET($R$3,0,0,'Données projet'!$E$9+1,1))-AVERAGE(OFFSET($H$3,0,0,'Données projet'!$E$9+1,1))</f>
        <v>260.31965507630525</v>
      </c>
      <c r="T6" s="59">
        <f t="shared" si="34"/>
        <v>327.31114099338032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6.7360323886639675</v>
      </c>
      <c r="AI6" s="13">
        <f>IF('Données projet'!$A$62&gt;35,AI5+AH6-AQ5,IF(A6&lt;'Données projet'!$A$62,$AF$205^A6,IF(A6='Données projet'!$A$62,'Données projet'!$B$62,AI5+AH6-AQ5)))</f>
        <v>2.1513403420369737</v>
      </c>
      <c r="AJ6" s="13">
        <f>AI6*VLOOKUP('Données projet'!$B$10,Paramètres!$A$1:$I$89,3,0)*VLOOKUP('Données projet'!$B$10,Paramètres!$A$1:$I$89,5,0)</f>
        <v>1.2865015245381104</v>
      </c>
      <c r="AK6" s="13">
        <f t="shared" si="35"/>
        <v>0.57574080480008571</v>
      </c>
      <c r="AL6" s="20">
        <f t="shared" si="4"/>
        <v>3.2434053902640243</v>
      </c>
      <c r="AM6" s="59">
        <f t="shared" si="5"/>
        <v>296.57673872359732</v>
      </c>
      <c r="AN6" s="59">
        <f ca="1">AVERAGE(OFFSET($AM$3,0,0,'Données projet'!$E$10+1,1))-AVERAGE(OFFSET($H$3,0,0,'Données projet'!$E$10+1,1))</f>
        <v>277.11749933885778</v>
      </c>
      <c r="AO6" s="59">
        <f t="shared" si="36"/>
        <v>244.4970554728738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2.2360000000000002</v>
      </c>
      <c r="D7" s="11">
        <f t="shared" si="32"/>
        <v>0.93830784341656304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24.503428966724346</v>
      </c>
      <c r="H7" s="67">
        <f t="shared" si="1"/>
        <v>298.8619194939505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9.4117948717948714</v>
      </c>
      <c r="N7" s="13">
        <f>IF('Données projet'!$A$36&gt;35,N6+M7-V6,IF(A7&lt;'Données projet'!$A$36,$K$205^A7,IF(A7='Données projet'!$A$36,'Données projet'!$B$36,N6+M7-V6)))</f>
        <v>3.7434352303442648</v>
      </c>
      <c r="O7" s="13">
        <f>N7*VLOOKUP('Données projet'!$B$9,Paramètres!$A$1:$I$89,3,0)*VLOOKUP('Données projet'!$B$9,Paramètres!$A$1:$I$89,5,0)</f>
        <v>2.2385742677458706</v>
      </c>
      <c r="P7" s="13">
        <f t="shared" si="33"/>
        <v>0.93926229495351976</v>
      </c>
      <c r="Q7" s="20">
        <f t="shared" si="2"/>
        <v>5.5347320133681039</v>
      </c>
      <c r="R7" s="59">
        <f t="shared" si="0"/>
        <v>298.86806534670143</v>
      </c>
      <c r="S7" s="59">
        <f ca="1">AVERAGE(OFFSET($R$3,0,0,'Données projet'!$E$9+1,1))-AVERAGE(OFFSET($H$3,0,0,'Données projet'!$E$9+1,1))</f>
        <v>260.31965507630525</v>
      </c>
      <c r="T7" s="59">
        <f t="shared" si="34"/>
        <v>327.31114099338032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6.7360323886639675</v>
      </c>
      <c r="AI7" s="13">
        <f>IF('Données projet'!$A$62&gt;35,AI6+AH7-AQ6,IF(A7&lt;'Données projet'!$A$62,$AF$205^A7,IF(A7='Données projet'!$A$62,'Données projet'!$B$62,AI6+AH7-AQ6)))</f>
        <v>2.777232006027341</v>
      </c>
      <c r="AJ7" s="13">
        <f>AI7*VLOOKUP('Données projet'!$B$10,Paramètres!$A$1:$I$89,3,0)*VLOOKUP('Données projet'!$B$10,Paramètres!$A$1:$I$89,5,0)</f>
        <v>1.66078473960435</v>
      </c>
      <c r="AK7" s="13">
        <f t="shared" si="35"/>
        <v>0.7214744188785307</v>
      </c>
      <c r="AL7" s="20">
        <f t="shared" si="4"/>
        <v>4.1491013676910162</v>
      </c>
      <c r="AM7" s="59">
        <f t="shared" si="5"/>
        <v>297.48243470102432</v>
      </c>
      <c r="AN7" s="59">
        <f ca="1">AVERAGE(OFFSET($AM$3,0,0,'Données projet'!$E$10+1,1))-AVERAGE(OFFSET($H$3,0,0,'Données projet'!$E$10+1,1))</f>
        <v>277.11749933885778</v>
      </c>
      <c r="AO7" s="59">
        <f t="shared" si="36"/>
        <v>244.4970554728738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2.7950000000000004</v>
      </c>
      <c r="D8" s="11">
        <f t="shared" si="32"/>
        <v>1.1428126371791492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30.397150181733792</v>
      </c>
      <c r="H8" s="67">
        <f t="shared" si="1"/>
        <v>300.19169034308698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9.4117948717948714</v>
      </c>
      <c r="N8" s="13">
        <f>IF('Données projet'!$A$36&gt;35,N7+M8-V7,IF(A8&lt;'Données projet'!$A$36,$K$205^A8,IF(A8='Données projet'!$A$36,'Données projet'!$B$36,N7+M8-V7)))</f>
        <v>5.2070039136878581</v>
      </c>
      <c r="O8" s="13">
        <f>N8*VLOOKUP('Données projet'!$B$9,Paramètres!$A$1:$I$89,3,0)*VLOOKUP('Données projet'!$B$9,Paramètres!$A$1:$I$89,5,0)</f>
        <v>3.1137883403853395</v>
      </c>
      <c r="P8" s="13">
        <f t="shared" si="33"/>
        <v>1.2572519072119237</v>
      </c>
      <c r="Q8" s="20">
        <f t="shared" si="2"/>
        <v>7.6128950978985666</v>
      </c>
      <c r="R8" s="59">
        <f t="shared" si="0"/>
        <v>300.94622843123187</v>
      </c>
      <c r="S8" s="59">
        <f ca="1">AVERAGE(OFFSET($R$3,0,0,'Données projet'!$E$9+1,1))-AVERAGE(OFFSET($H$3,0,0,'Données projet'!$E$9+1,1))</f>
        <v>260.31965507630525</v>
      </c>
      <c r="T8" s="59">
        <f t="shared" si="34"/>
        <v>327.31114099338032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6.7360323886639675</v>
      </c>
      <c r="AI8" s="13">
        <f>IF('Données projet'!$A$62&gt;35,AI7+AH8-AQ7,IF(A8&lt;'Données projet'!$A$62,$AF$205^A8,IF(A8='Données projet'!$A$62,'Données projet'!$B$62,AI7+AH8-AQ7)))</f>
        <v>3.5852149771893647</v>
      </c>
      <c r="AJ8" s="13">
        <f>AI8*VLOOKUP('Données projet'!$B$10,Paramètres!$A$1:$I$89,3,0)*VLOOKUP('Données projet'!$B$10,Paramètres!$A$1:$I$89,5,0)</f>
        <v>2.1439585563592405</v>
      </c>
      <c r="AK8" s="13">
        <f t="shared" si="35"/>
        <v>0.90409665730893507</v>
      </c>
      <c r="AL8" s="20">
        <f t="shared" si="4"/>
        <v>5.3086961638054051</v>
      </c>
      <c r="AM8" s="59">
        <f t="shared" si="5"/>
        <v>298.64202949713871</v>
      </c>
      <c r="AN8" s="59">
        <f ca="1">AVERAGE(OFFSET($AM$3,0,0,'Données projet'!$E$10+1,1))-AVERAGE(OFFSET($H$3,0,0,'Données projet'!$E$10+1,1))</f>
        <v>277.11749933885778</v>
      </c>
      <c r="AO8" s="59">
        <f t="shared" si="36"/>
        <v>244.4970554728738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3.3540000000000005</v>
      </c>
      <c r="D9" s="11">
        <f t="shared" si="32"/>
        <v>1.3425781754875348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36.254287670430102</v>
      </c>
      <c r="H9" s="67">
        <f t="shared" si="1"/>
        <v>301.5132069889741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9.4117948717948714</v>
      </c>
      <c r="N9" s="13">
        <f>IF('Données projet'!$A$36&gt;35,N8+M9-V8,IF(A9&lt;'Données projet'!$A$36,$K$205^A9,IF(A9='Données projet'!$A$36,'Données projet'!$B$36,N8+M9-V8)))</f>
        <v>7.2427831894575698</v>
      </c>
      <c r="O9" s="13">
        <f>N9*VLOOKUP('Données projet'!$B$9,Paramètres!$A$1:$I$89,3,0)*VLOOKUP('Données projet'!$B$9,Paramètres!$A$1:$I$89,5,0)</f>
        <v>4.3311843472956273</v>
      </c>
      <c r="P9" s="13">
        <f t="shared" si="33"/>
        <v>1.6828977024636564</v>
      </c>
      <c r="Q9" s="20">
        <f t="shared" si="2"/>
        <v>10.474526236664085</v>
      </c>
      <c r="R9" s="59">
        <f t="shared" si="0"/>
        <v>303.80785956999739</v>
      </c>
      <c r="S9" s="59">
        <f ca="1">AVERAGE(OFFSET($R$3,0,0,'Données projet'!$E$9+1,1))-AVERAGE(OFFSET($H$3,0,0,'Données projet'!$E$9+1,1))</f>
        <v>260.31965507630525</v>
      </c>
      <c r="T9" s="59">
        <f t="shared" si="34"/>
        <v>327.31114099338032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6.7360323886639675</v>
      </c>
      <c r="AI9" s="13">
        <f>IF('Données projet'!$A$62&gt;35,AI8+AH9-AQ8,IF(A9&lt;'Données projet'!$A$62,$AF$205^A9,IF(A9='Données projet'!$A$62,'Données projet'!$B$62,AI8+AH9-AQ8)))</f>
        <v>4.6282652672757632</v>
      </c>
      <c r="AJ9" s="13">
        <f>AI9*VLOOKUP('Données projet'!$B$10,Paramètres!$A$1:$I$89,3,0)*VLOOKUP('Données projet'!$B$10,Paramètres!$A$1:$I$89,5,0)</f>
        <v>2.7677026298309064</v>
      </c>
      <c r="AK9" s="13">
        <f t="shared" si="35"/>
        <v>1.1329449033380179</v>
      </c>
      <c r="AL9" s="20">
        <f t="shared" si="4"/>
        <v>6.7936277869358754</v>
      </c>
      <c r="AM9" s="59">
        <f t="shared" si="5"/>
        <v>300.12696112026919</v>
      </c>
      <c r="AN9" s="59">
        <f ca="1">AVERAGE(OFFSET($AM$3,0,0,'Données projet'!$E$10+1,1))-AVERAGE(OFFSET($H$3,0,0,'Données projet'!$E$10+1,1))</f>
        <v>277.11749933885778</v>
      </c>
      <c r="AO9" s="59">
        <f t="shared" si="36"/>
        <v>244.4970554728738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3.9130000000000007</v>
      </c>
      <c r="D10" s="11">
        <f t="shared" si="32"/>
        <v>1.5384867718747026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42.081652274120522</v>
      </c>
      <c r="H10" s="67">
        <f t="shared" si="1"/>
        <v>302.82800612768176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9.4117948717948714</v>
      </c>
      <c r="N10" s="13">
        <f>IF('Données projet'!$A$36&gt;35,N9+M10-V9,IF(A10&lt;'Données projet'!$A$36,$K$205^A10,IF(A10='Données projet'!$A$36,'Données projet'!$B$36,N9+M10-V9)))</f>
        <v>10.07448989842143</v>
      </c>
      <c r="O10" s="13">
        <f>N10*VLOOKUP('Données projet'!$B$9,Paramètres!$A$1:$I$89,3,0)*VLOOKUP('Données projet'!$B$9,Paramètres!$A$1:$I$89,5,0)</f>
        <v>6.0245449592560147</v>
      </c>
      <c r="P10" s="13">
        <f t="shared" si="33"/>
        <v>2.2526469522229675</v>
      </c>
      <c r="Q10" s="20">
        <f t="shared" si="2"/>
        <v>14.416109245825893</v>
      </c>
      <c r="R10" s="59">
        <f t="shared" si="0"/>
        <v>307.74944257915922</v>
      </c>
      <c r="S10" s="59">
        <f ca="1">AVERAGE(OFFSET($R$3,0,0,'Données projet'!$E$9+1,1))-AVERAGE(OFFSET($H$3,0,0,'Données projet'!$E$9+1,1))</f>
        <v>260.31965507630525</v>
      </c>
      <c r="T10" s="59">
        <f t="shared" si="34"/>
        <v>327.31114099338032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6.7360323886639675</v>
      </c>
      <c r="AI10" s="13">
        <f>IF('Données projet'!$A$62&gt;35,AI9+AH10-AQ9,IF(A10&lt;'Données projet'!$A$62,$AF$205^A10,IF(A10='Données projet'!$A$62,'Données projet'!$B$62,AI9+AH10-AQ9)))</f>
        <v>5.9747712537628903</v>
      </c>
      <c r="AJ10" s="13">
        <f>AI10*VLOOKUP('Données projet'!$B$10,Paramètres!$A$1:$I$89,3,0)*VLOOKUP('Données projet'!$B$10,Paramètres!$A$1:$I$89,5,0)</f>
        <v>3.5729132097502085</v>
      </c>
      <c r="AK10" s="13">
        <f t="shared" si="35"/>
        <v>1.4197200527431988</v>
      </c>
      <c r="AL10" s="20">
        <f t="shared" si="4"/>
        <v>8.6955029321760176</v>
      </c>
      <c r="AM10" s="59">
        <f t="shared" si="5"/>
        <v>302.02883626550931</v>
      </c>
      <c r="AN10" s="59">
        <f ca="1">AVERAGE(OFFSET($AM$3,0,0,'Données projet'!$E$10+1,1))-AVERAGE(OFFSET($H$3,0,0,'Données projet'!$E$10+1,1))</f>
        <v>277.11749933885778</v>
      </c>
      <c r="AO10" s="59">
        <f t="shared" si="36"/>
        <v>244.4970554728738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4.4720000000000004</v>
      </c>
      <c r="D11" s="11">
        <f t="shared" si="32"/>
        <v>1.7311529925500933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47.883988012667395</v>
      </c>
      <c r="H11" s="67">
        <f t="shared" si="1"/>
        <v>304.1371581286914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9.4117948717948714</v>
      </c>
      <c r="N11" s="13">
        <f>IF('Données projet'!$A$36&gt;35,N10+M11-V10,IF(A11&lt;'Données projet'!$A$36,$K$205^A11,IF(A11='Données projet'!$A$36,'Données projet'!$B$36,N10+M11-V10)))</f>
        <v>14.01330732378262</v>
      </c>
      <c r="O11" s="13">
        <f>N11*VLOOKUP('Données projet'!$B$9,Paramètres!$A$1:$I$89,3,0)*VLOOKUP('Données projet'!$B$9,Paramètres!$A$1:$I$89,5,0)</f>
        <v>8.3799577796220071</v>
      </c>
      <c r="P11" s="13">
        <f t="shared" si="33"/>
        <v>3.0152862434423646</v>
      </c>
      <c r="Q11" s="20">
        <f t="shared" si="2"/>
        <v>19.846716673503781</v>
      </c>
      <c r="R11" s="59">
        <f t="shared" si="0"/>
        <v>313.18005000683712</v>
      </c>
      <c r="S11" s="59">
        <f ca="1">AVERAGE(OFFSET($R$3,0,0,'Données projet'!$E$9+1,1))-AVERAGE(OFFSET($H$3,0,0,'Données projet'!$E$9+1,1))</f>
        <v>260.31965507630525</v>
      </c>
      <c r="T11" s="59">
        <f t="shared" si="34"/>
        <v>327.31114099338032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6.7360323886639675</v>
      </c>
      <c r="AI11" s="13">
        <f>IF('Données projet'!$A$62&gt;35,AI10+AH11-AQ10,IF(A11&lt;'Données projet'!$A$62,$AF$205^A11,IF(A11='Données projet'!$A$62,'Données projet'!$B$62,AI10+AH11-AQ10)))</f>
        <v>7.7130176153026486</v>
      </c>
      <c r="AJ11" s="13">
        <f>AI11*VLOOKUP('Données projet'!$B$10,Paramètres!$A$1:$I$89,3,0)*VLOOKUP('Données projet'!$B$10,Paramètres!$A$1:$I$89,5,0)</f>
        <v>4.6123845339509844</v>
      </c>
      <c r="AK11" s="13">
        <f t="shared" si="35"/>
        <v>1.7790847747516541</v>
      </c>
      <c r="AL11" s="20">
        <f t="shared" si="4"/>
        <v>11.131809045990428</v>
      </c>
      <c r="AM11" s="59">
        <f t="shared" si="5"/>
        <v>304.46514237932377</v>
      </c>
      <c r="AN11" s="59">
        <f ca="1">AVERAGE(OFFSET($AM$3,0,0,'Données projet'!$E$10+1,1))-AVERAGE(OFFSET($H$3,0,0,'Données projet'!$E$10+1,1))</f>
        <v>277.11749933885778</v>
      </c>
      <c r="AO11" s="59">
        <f t="shared" si="36"/>
        <v>244.4970554728738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5.0310000000000006</v>
      </c>
      <c r="D12" s="11">
        <f t="shared" si="32"/>
        <v>1.9210285514955543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53.664781801018329</v>
      </c>
      <c r="H12" s="67">
        <f t="shared" si="1"/>
        <v>305.44144972718806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9.4117948717948714</v>
      </c>
      <c r="N12" s="13">
        <f>IF('Données projet'!$A$36&gt;35,N11+M12-V11,IF(A12&lt;'Données projet'!$A$36,$K$205^A12,IF(A12='Données projet'!$A$36,'Données projet'!$B$36,N11+M12-V11)))</f>
        <v>19.492081895039593</v>
      </c>
      <c r="O12" s="13">
        <f>N12*VLOOKUP('Données projet'!$B$9,Paramètres!$A$1:$I$89,3,0)*VLOOKUP('Données projet'!$B$9,Paramètres!$A$1:$I$89,5,0)</f>
        <v>11.656264973233679</v>
      </c>
      <c r="P12" s="13">
        <f t="shared" si="33"/>
        <v>4.0361189847883647</v>
      </c>
      <c r="Q12" s="20">
        <f t="shared" si="2"/>
        <v>27.330902060221728</v>
      </c>
      <c r="R12" s="59">
        <f t="shared" si="0"/>
        <v>320.66423539355503</v>
      </c>
      <c r="S12" s="59">
        <f ca="1">AVERAGE(OFFSET($R$3,0,0,'Données projet'!$E$9+1,1))-AVERAGE(OFFSET($H$3,0,0,'Données projet'!$E$9+1,1))</f>
        <v>260.31965507630525</v>
      </c>
      <c r="T12" s="59">
        <f t="shared" si="34"/>
        <v>327.31114099338032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6.7360323886639675</v>
      </c>
      <c r="AI12" s="13">
        <f>IF('Données projet'!$A$62&gt;35,AI11+AH12-AQ11,IF(A12&lt;'Données projet'!$A$62,$AF$205^A12,IF(A12='Données projet'!$A$62,'Données projet'!$B$62,AI11+AH12-AQ11)))</f>
        <v>9.9569737831388867</v>
      </c>
      <c r="AJ12" s="13">
        <f>AI12*VLOOKUP('Données projet'!$B$10,Paramètres!$A$1:$I$89,3,0)*VLOOKUP('Données projet'!$B$10,Paramètres!$A$1:$I$89,5,0)</f>
        <v>5.9542703223170541</v>
      </c>
      <c r="AK12" s="13">
        <f t="shared" si="35"/>
        <v>2.2294132069469743</v>
      </c>
      <c r="AL12" s="20">
        <f t="shared" si="4"/>
        <v>14.253248813468183</v>
      </c>
      <c r="AM12" s="59">
        <f t="shared" si="5"/>
        <v>307.5865821468015</v>
      </c>
      <c r="AN12" s="59">
        <f ca="1">AVERAGE(OFFSET($AM$3,0,0,'Données projet'!$E$10+1,1))-AVERAGE(OFFSET($H$3,0,0,'Données projet'!$E$10+1,1))</f>
        <v>277.11749933885778</v>
      </c>
      <c r="AO12" s="59">
        <f t="shared" si="36"/>
        <v>244.4970554728738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5.5900000000000007</v>
      </c>
      <c r="D13" s="11">
        <f t="shared" si="32"/>
        <v>2.1084588929503836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59.426700226283664</v>
      </c>
      <c r="H13" s="67">
        <f t="shared" si="1"/>
        <v>306.74148257188858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9.4117948717948714</v>
      </c>
      <c r="N13" s="13">
        <f>IF('Données projet'!$A$36&gt;35,N12+M13-V12,IF(A13&lt;'Données projet'!$A$36,$K$205^A13,IF(A13='Données projet'!$A$36,'Données projet'!$B$36,N12+M13-V12)))</f>
        <v>27.112889757160666</v>
      </c>
      <c r="O13" s="13">
        <f>N13*VLOOKUP('Données projet'!$B$9,Paramètres!$A$1:$I$89,3,0)*VLOOKUP('Données projet'!$B$9,Paramètres!$A$1:$I$89,5,0)</f>
        <v>16.21350807478208</v>
      </c>
      <c r="P13" s="13">
        <f t="shared" si="33"/>
        <v>5.4025572181735821</v>
      </c>
      <c r="Q13" s="20">
        <f t="shared" si="2"/>
        <v>37.647980385231108</v>
      </c>
      <c r="R13" s="59">
        <f t="shared" si="0"/>
        <v>330.98131371856442</v>
      </c>
      <c r="S13" s="59">
        <f ca="1">AVERAGE(OFFSET($R$3,0,0,'Données projet'!$E$9+1,1))-AVERAGE(OFFSET($H$3,0,0,'Données projet'!$E$9+1,1))</f>
        <v>260.31965507630525</v>
      </c>
      <c r="T13" s="59">
        <f t="shared" si="34"/>
        <v>327.31114099338032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6.7360323886639675</v>
      </c>
      <c r="AI13" s="13">
        <f>IF('Données projet'!$A$62&gt;35,AI12+AH13-AQ12,IF(A13&lt;'Données projet'!$A$62,$AF$205^A13,IF(A13='Données projet'!$A$62,'Données projet'!$B$62,AI12+AH13-AQ12)))</f>
        <v>12.853766432662937</v>
      </c>
      <c r="AJ13" s="13">
        <f>AI13*VLOOKUP('Données projet'!$B$10,Paramètres!$A$1:$I$89,3,0)*VLOOKUP('Données projet'!$B$10,Paramètres!$A$1:$I$89,5,0)</f>
        <v>7.6865523267324365</v>
      </c>
      <c r="AK13" s="13">
        <f t="shared" si="35"/>
        <v>2.7937304156871372</v>
      </c>
      <c r="AL13" s="20">
        <f t="shared" si="4"/>
        <v>18.25315910971409</v>
      </c>
      <c r="AM13" s="59">
        <f t="shared" si="5"/>
        <v>311.5864924430474</v>
      </c>
      <c r="AN13" s="59">
        <f ca="1">AVERAGE(OFFSET($AM$3,0,0,'Données projet'!$E$10+1,1))-AVERAGE(OFFSET($H$3,0,0,'Données projet'!$E$10+1,1))</f>
        <v>277.11749933885778</v>
      </c>
      <c r="AO13" s="59">
        <f t="shared" si="36"/>
        <v>244.4970554728738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6.1490000000000009</v>
      </c>
      <c r="D14" s="11">
        <f t="shared" si="32"/>
        <v>2.293716374319045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65.171845696497897</v>
      </c>
      <c r="H14" s="67">
        <f t="shared" si="1"/>
        <v>308.03773101860565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9.4117948717948714</v>
      </c>
      <c r="N14" s="13">
        <f>IF('Données projet'!$A$36&gt;35,N13+M14-V13,IF(A14&lt;'Données projet'!$A$36,$K$205^A14,IF(A14='Données projet'!$A$36,'Données projet'!$B$36,N13+M14-V13)))</f>
        <v>37.713200413498193</v>
      </c>
      <c r="O14" s="13">
        <f>N14*VLOOKUP('Données projet'!$B$9,Paramètres!$A$1:$I$89,3,0)*VLOOKUP('Données projet'!$B$9,Paramètres!$A$1:$I$89,5,0)</f>
        <v>22.552493847271922</v>
      </c>
      <c r="P14" s="13">
        <f t="shared" si="33"/>
        <v>7.2316065521467667</v>
      </c>
      <c r="Q14" s="20">
        <f t="shared" si="2"/>
        <v>51.873974862320885</v>
      </c>
      <c r="R14" s="59">
        <f t="shared" si="0"/>
        <v>345.20730819565421</v>
      </c>
      <c r="S14" s="59">
        <f ca="1">AVERAGE(OFFSET($R$3,0,0,'Données projet'!$E$9+1,1))-AVERAGE(OFFSET($H$3,0,0,'Données projet'!$E$9+1,1))</f>
        <v>260.31965507630525</v>
      </c>
      <c r="T14" s="59">
        <f t="shared" si="34"/>
        <v>327.31114099338032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6.7360323886639675</v>
      </c>
      <c r="AI14" s="13">
        <f>IF('Données projet'!$A$62&gt;35,AI13+AH14-AQ13,IF(A14&lt;'Données projet'!$A$62,$AF$205^A14,IF(A14='Données projet'!$A$62,'Données projet'!$B$62,AI13+AH14-AQ13)))</f>
        <v>16.593325954642403</v>
      </c>
      <c r="AJ14" s="13">
        <f>AI14*VLOOKUP('Données projet'!$B$10,Paramètres!$A$1:$I$89,3,0)*VLOOKUP('Données projet'!$B$10,Paramètres!$A$1:$I$89,5,0)</f>
        <v>9.9228089208761574</v>
      </c>
      <c r="AK14" s="13">
        <f t="shared" si="35"/>
        <v>3.5008896561726774</v>
      </c>
      <c r="AL14" s="20">
        <f t="shared" si="4"/>
        <v>23.379608355026718</v>
      </c>
      <c r="AM14" s="59">
        <f t="shared" si="5"/>
        <v>316.71294168836005</v>
      </c>
      <c r="AN14" s="59">
        <f ca="1">AVERAGE(OFFSET($AM$3,0,0,'Données projet'!$E$10+1,1))-AVERAGE(OFFSET($H$3,0,0,'Données projet'!$E$10+1,1))</f>
        <v>277.11749933885778</v>
      </c>
      <c r="AO14" s="59">
        <f t="shared" si="36"/>
        <v>244.4970554728738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6.7080000000000011</v>
      </c>
      <c r="D15" s="11">
        <f t="shared" si="32"/>
        <v>2.4770209932006879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70.901916438742163</v>
      </c>
      <c r="H15" s="67">
        <f t="shared" si="1"/>
        <v>309.33057822982454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9.4117948717948714</v>
      </c>
      <c r="N15" s="13">
        <f>IF('Données projet'!$A$36&gt;35,N14+M15-V14,IF(A15&lt;'Données projet'!$A$36,$K$205^A15,IF(A15='Données projet'!$A$36,'Données projet'!$B$36,N14+M15-V14)))</f>
        <v>52.457908329489165</v>
      </c>
      <c r="O15" s="13">
        <f>N15*VLOOKUP('Données projet'!$B$9,Paramètres!$A$1:$I$89,3,0)*VLOOKUP('Données projet'!$B$9,Paramètres!$A$1:$I$89,5,0)</f>
        <v>31.369829181034525</v>
      </c>
      <c r="P15" s="13">
        <f t="shared" si="33"/>
        <v>9.6798851383070676</v>
      </c>
      <c r="Q15" s="20">
        <f t="shared" si="2"/>
        <v>71.4949191061866</v>
      </c>
      <c r="R15" s="59">
        <f t="shared" si="0"/>
        <v>364.82825243951993</v>
      </c>
      <c r="S15" s="59">
        <f ca="1">AVERAGE(OFFSET($R$3,0,0,'Données projet'!$E$9+1,1))-AVERAGE(OFFSET($H$3,0,0,'Données projet'!$E$9+1,1))</f>
        <v>260.31965507630525</v>
      </c>
      <c r="T15" s="59">
        <f t="shared" si="34"/>
        <v>327.31114099338032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6.7360323886639675</v>
      </c>
      <c r="AI15" s="13">
        <f>IF('Données projet'!$A$62&gt;35,AI14+AH15-AQ14,IF(A15&lt;'Données projet'!$A$62,$AF$205^A15,IF(A15='Données projet'!$A$62,'Données projet'!$B$62,AI14+AH15-AQ14)))</f>
        <v>21.420839384271193</v>
      </c>
      <c r="AJ15" s="13">
        <f>AI15*VLOOKUP('Données projet'!$B$10,Paramètres!$A$1:$I$89,3,0)*VLOOKUP('Données projet'!$B$10,Paramètres!$A$1:$I$89,5,0)</f>
        <v>12.809661951794174</v>
      </c>
      <c r="AK15" s="13">
        <f t="shared" si="35"/>
        <v>4.3870476248805641</v>
      </c>
      <c r="AL15" s="20">
        <f t="shared" si="4"/>
        <v>29.950935846041833</v>
      </c>
      <c r="AM15" s="59">
        <f t="shared" si="5"/>
        <v>323.28426917937514</v>
      </c>
      <c r="AN15" s="59">
        <f ca="1">AVERAGE(OFFSET($AM$3,0,0,'Données projet'!$E$10+1,1))-AVERAGE(OFFSET($H$3,0,0,'Données projet'!$E$10+1,1))</f>
        <v>277.11749933885778</v>
      </c>
      <c r="AO15" s="59">
        <f t="shared" si="36"/>
        <v>244.4970554728738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7.2670000000000012</v>
      </c>
      <c r="D16" s="11">
        <f t="shared" si="32"/>
        <v>2.6585539900627135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76.618311502238512</v>
      </c>
      <c r="H16" s="67">
        <f t="shared" si="1"/>
        <v>310.62033986602586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9.4117948717948714</v>
      </c>
      <c r="N16" s="13">
        <f>IF('Données projet'!$A$36&gt;35,N15+M16-V15,IF(A16&lt;'Données projet'!$A$36,$K$205^A16,IF(A16='Données projet'!$A$36,'Données projet'!$B$36,N15+M16-V15)))</f>
        <v>72.967346078646827</v>
      </c>
      <c r="O16" s="13">
        <f>N16*VLOOKUP('Données projet'!$B$9,Paramètres!$A$1:$I$89,3,0)*VLOOKUP('Données projet'!$B$9,Paramètres!$A$1:$I$89,5,0)</f>
        <v>43.634472955030802</v>
      </c>
      <c r="P16" s="13">
        <f t="shared" si="33"/>
        <v>12.957034597381723</v>
      </c>
      <c r="Q16" s="20">
        <f t="shared" si="2"/>
        <v>98.563542320451802</v>
      </c>
      <c r="R16" s="59">
        <f t="shared" si="0"/>
        <v>391.89687565378512</v>
      </c>
      <c r="S16" s="59">
        <f ca="1">AVERAGE(OFFSET($R$3,0,0,'Données projet'!$E$9+1,1))-AVERAGE(OFFSET($H$3,0,0,'Données projet'!$E$9+1,1))</f>
        <v>260.31965507630525</v>
      </c>
      <c r="T16" s="59">
        <f t="shared" si="34"/>
        <v>327.31114099338032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6.7360323886639675</v>
      </c>
      <c r="AI16" s="13">
        <f>IF('Données projet'!$A$62&gt;35,AI15+AH16-AQ15,IF(A16&lt;'Données projet'!$A$62,$AF$205^A16,IF(A16='Données projet'!$A$62,'Données projet'!$B$62,AI15+AH16-AQ15)))</f>
        <v>27.652826273708452</v>
      </c>
      <c r="AJ16" s="13">
        <f>AI16*VLOOKUP('Données projet'!$B$10,Paramètres!$A$1:$I$89,3,0)*VLOOKUP('Données projet'!$B$10,Paramètres!$A$1:$I$89,5,0)</f>
        <v>16.536390111677655</v>
      </c>
      <c r="AK16" s="13">
        <f t="shared" si="35"/>
        <v>5.4975131332790896</v>
      </c>
      <c r="AL16" s="20">
        <f t="shared" si="4"/>
        <v>38.375714818299656</v>
      </c>
      <c r="AM16" s="59">
        <f t="shared" si="5"/>
        <v>331.70904815163294</v>
      </c>
      <c r="AN16" s="59">
        <f ca="1">AVERAGE(OFFSET($AM$3,0,0,'Données projet'!$E$10+1,1))-AVERAGE(OFFSET($H$3,0,0,'Données projet'!$E$10+1,1))</f>
        <v>277.11749933885778</v>
      </c>
      <c r="AO16" s="59">
        <f t="shared" si="36"/>
        <v>244.4970554728738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7.8260000000000014</v>
      </c>
      <c r="D17" s="11">
        <f t="shared" si="32"/>
        <v>2.8384671382814215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82.322202470944333</v>
      </c>
      <c r="H17" s="67">
        <f t="shared" si="1"/>
        <v>311.90728026584014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9.4117948717948714</v>
      </c>
      <c r="N17" s="13">
        <f>IF('Données projet'!$A$36&gt;35,N16+M17-V16,IF(A17&lt;'Données projet'!$A$36,$K$205^A17,IF(A17='Données projet'!$A$36,'Données projet'!$B$36,N16+M17-V16)))</f>
        <v>101.49534671339541</v>
      </c>
      <c r="O17" s="13">
        <f>N17*VLOOKUP('Données projet'!$B$9,Paramètres!$A$1:$I$89,3,0)*VLOOKUP('Données projet'!$B$9,Paramètres!$A$1:$I$89,5,0)</f>
        <v>60.694217334610457</v>
      </c>
      <c r="P17" s="13">
        <f t="shared" si="33"/>
        <v>17.343671248056637</v>
      </c>
      <c r="Q17" s="20">
        <f t="shared" si="2"/>
        <v>135.91598928147849</v>
      </c>
      <c r="R17" s="59">
        <f t="shared" si="0"/>
        <v>429.24932261481183</v>
      </c>
      <c r="S17" s="59">
        <f ca="1">AVERAGE(OFFSET($R$3,0,0,'Données projet'!$E$9+1,1))-AVERAGE(OFFSET($H$3,0,0,'Données projet'!$E$9+1,1))</f>
        <v>260.31965507630525</v>
      </c>
      <c r="T17" s="59">
        <f t="shared" si="34"/>
        <v>327.31114099338032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6.7360323886639675</v>
      </c>
      <c r="AI17" s="13">
        <f>IF('Données projet'!$A$62&gt;35,AI16+AH17-AQ16,IF(A17&lt;'Données projet'!$A$62,$AF$205^A17,IF(A17='Données projet'!$A$62,'Données projet'!$B$62,AI16+AH17-AQ16)))</f>
        <v>35.697891534791381</v>
      </c>
      <c r="AJ17" s="13">
        <f>AI17*VLOOKUP('Données projet'!$B$10,Paramètres!$A$1:$I$89,3,0)*VLOOKUP('Données projet'!$B$10,Paramètres!$A$1:$I$89,5,0)</f>
        <v>21.347339137805246</v>
      </c>
      <c r="AK17" s="13">
        <f t="shared" si="35"/>
        <v>6.8890637245814856</v>
      </c>
      <c r="AL17" s="20">
        <f t="shared" si="4"/>
        <v>49.178401651990221</v>
      </c>
      <c r="AM17" s="59">
        <f t="shared" si="5"/>
        <v>342.51173498532353</v>
      </c>
      <c r="AN17" s="59">
        <f ca="1">AVERAGE(OFFSET($AM$3,0,0,'Données projet'!$E$10+1,1))-AVERAGE(OFFSET($H$3,0,0,'Données projet'!$E$10+1,1))</f>
        <v>277.11749933885778</v>
      </c>
      <c r="AO17" s="59">
        <f t="shared" si="36"/>
        <v>244.4970554728738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8.3850000000000016</v>
      </c>
      <c r="D18" s="11">
        <f t="shared" si="32"/>
        <v>3.0168893007228847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88.014584075755593</v>
      </c>
      <c r="H18" s="67">
        <f t="shared" si="1"/>
        <v>313.1916238654257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141.17692307692306</v>
      </c>
      <c r="L18" s="12">
        <f>VLOOKUP(A18,'Données projet'!$A$35:$I$55,9,0)</f>
        <v>9.4117948717948714</v>
      </c>
      <c r="M18" s="12">
        <f t="array" ref="M18">INDEX(L:L,MIN(IF(ISNUMBER(L18:L214),ROW(L18:L214),"")))</f>
        <v>9.4117948717948714</v>
      </c>
      <c r="N18" s="13">
        <f>IF('Données projet'!$A$36&gt;35,N17+M18-V17,IF(A18&lt;'Données projet'!$A$36,$K$205^A18,IF(A18='Données projet'!$A$36,'Données projet'!$B$36,N17+M18-V17)))</f>
        <v>141.17692307692306</v>
      </c>
      <c r="O18" s="13">
        <f>N18*VLOOKUP('Données projet'!$B$9,Paramètres!$A$1:$I$89,3,0)*VLOOKUP('Données projet'!$B$9,Paramètres!$A$1:$I$89,5,0)</f>
        <v>84.423799999999986</v>
      </c>
      <c r="P18" s="13">
        <f t="shared" si="33"/>
        <v>23.215414769475935</v>
      </c>
      <c r="Q18" s="20">
        <f t="shared" si="2"/>
        <v>187.47163239017053</v>
      </c>
      <c r="R18" s="59">
        <f t="shared" si="0"/>
        <v>480.80496572350387</v>
      </c>
      <c r="S18" s="59">
        <f ca="1">AVERAGE(OFFSET($R$3,0,0,'Données projet'!$E$9+1,1))-AVERAGE(OFFSET($H$3,0,0,'Données projet'!$E$9+1,1))</f>
        <v>260.31965507630525</v>
      </c>
      <c r="T18" s="59">
        <f t="shared" si="34"/>
        <v>327.31114099338032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49.784615384615385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0.25200000000000006</v>
      </c>
      <c r="Y18" s="16">
        <f>IF(ISNA(VLOOKUP(A18,'Données projet'!$A$35:$I$55,7,0)),0%,VLOOKUP(A18,'Données projet'!$A$35:$I$55,7,0))</f>
        <v>0.44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9.9131546026642408</v>
      </c>
      <c r="AB18" s="21">
        <f>EXP(-LN(2)/2)*AB17+(1-EXP(-LN(2)/2))/(LN(2)/2)*V18*Y18*VLOOKUP('Données projet'!$B$9,Paramètres!$A$1:$I$89,3,0)*0.475*44/12</f>
        <v>14.831482237492764</v>
      </c>
      <c r="AC18" s="22">
        <f t="shared" si="3"/>
        <v>24.744636840157007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6.7360323886639675</v>
      </c>
      <c r="AI18" s="13">
        <f>IF('Données projet'!$A$62&gt;35,AI17+AH18-AQ17,IF(A18&lt;'Données projet'!$A$62,$AF$205^A18,IF(A18='Données projet'!$A$62,'Données projet'!$B$62,AI17+AH18-AQ17)))</f>
        <v>46.083515927677063</v>
      </c>
      <c r="AJ18" s="13">
        <f>AI18*VLOOKUP('Données projet'!$B$10,Paramètres!$A$1:$I$89,3,0)*VLOOKUP('Données projet'!$B$10,Paramètres!$A$1:$I$89,5,0)</f>
        <v>27.557942524750885</v>
      </c>
      <c r="AK18" s="13">
        <f t="shared" si="35"/>
        <v>8.6328486809883493</v>
      </c>
      <c r="AL18" s="20">
        <f t="shared" si="4"/>
        <v>63.032294683329155</v>
      </c>
      <c r="AM18" s="59">
        <f t="shared" si="5"/>
        <v>356.36562801666247</v>
      </c>
      <c r="AN18" s="59">
        <f ca="1">AVERAGE(OFFSET($AM$3,0,0,'Données projet'!$E$10+1,1))-AVERAGE(OFFSET($H$3,0,0,'Données projet'!$E$10+1,1))</f>
        <v>277.11749933885778</v>
      </c>
      <c r="AO18" s="59">
        <f t="shared" si="36"/>
        <v>244.4970554728738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8.9440000000000008</v>
      </c>
      <c r="D19" s="11">
        <f t="shared" si="32"/>
        <v>3.193931186488729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93.69631091324635</v>
      </c>
      <c r="H19" s="67">
        <f t="shared" si="1"/>
        <v>314.47356348313451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18.463076923076926</v>
      </c>
      <c r="N19" s="13">
        <f>IF('Données projet'!$A$36&gt;35,N18+M19-V18,IF(A19&lt;'Données projet'!$A$36,$K$205^A19,IF(A19='Données projet'!$A$36,'Données projet'!$B$36,N18+M19-V18)))</f>
        <v>109.85538461538459</v>
      </c>
      <c r="O19" s="13">
        <f>N19*VLOOKUP('Données projet'!$B$9,Paramètres!$A$1:$I$89,3,0)*VLOOKUP('Données projet'!$B$9,Paramètres!$A$1:$I$89,5,0)</f>
        <v>65.693519999999992</v>
      </c>
      <c r="P19" s="13">
        <f t="shared" si="33"/>
        <v>18.600086973007183</v>
      </c>
      <c r="Q19" s="20">
        <f t="shared" si="2"/>
        <v>146.81136547798749</v>
      </c>
      <c r="R19" s="59">
        <f t="shared" si="0"/>
        <v>440.14469881132084</v>
      </c>
      <c r="S19" s="59">
        <f ca="1">AVERAGE(OFFSET($R$3,0,0,'Données projet'!$E$9+1,1))-AVERAGE(OFFSET($H$3,0,0,'Données projet'!$E$9+1,1))</f>
        <v>260.31965507630525</v>
      </c>
      <c r="T19" s="59">
        <f t="shared" si="34"/>
        <v>327.31114099338032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9.6420788687442442</v>
      </c>
      <c r="AB19" s="21">
        <f>EXP(-LN(2)/2)*AB18+(1-EXP(-LN(2)/2))/(LN(2)/2)*V19*Y19*VLOOKUP('Données projet'!$B$9,Paramètres!$A$1:$I$89,3,0)*0.475*44/12</f>
        <v>10.487441665178963</v>
      </c>
      <c r="AC19" s="22">
        <f t="shared" si="3"/>
        <v>20.129520533923206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6.7360323886639675</v>
      </c>
      <c r="AI19" s="13">
        <f>IF('Données projet'!$A$62&gt;35,AI18+AH19-AQ18,IF(A19&lt;'Données projet'!$A$62,$AF$205^A19,IF(A19='Données projet'!$A$62,'Données projet'!$B$62,AI18+AH19-AQ18)))</f>
        <v>59.490640733968959</v>
      </c>
      <c r="AJ19" s="13">
        <f>AI19*VLOOKUP('Données projet'!$B$10,Paramètres!$A$1:$I$89,3,0)*VLOOKUP('Données projet'!$B$10,Paramètres!$A$1:$I$89,5,0)</f>
        <v>35.575403158913439</v>
      </c>
      <c r="AK19" s="13">
        <f t="shared" si="35"/>
        <v>10.818026850719807</v>
      </c>
      <c r="AL19" s="20">
        <f t="shared" si="4"/>
        <v>80.801890600111236</v>
      </c>
      <c r="AM19" s="59">
        <f t="shared" si="5"/>
        <v>374.13522393344454</v>
      </c>
      <c r="AN19" s="59">
        <f ca="1">AVERAGE(OFFSET($AM$3,0,0,'Données projet'!$E$10+1,1))-AVERAGE(OFFSET($H$3,0,0,'Données projet'!$E$10+1,1))</f>
        <v>277.11749933885778</v>
      </c>
      <c r="AO19" s="59">
        <f t="shared" si="36"/>
        <v>244.4970554728738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9.5030000000000001</v>
      </c>
      <c r="D20" s="11">
        <f t="shared" si="32"/>
        <v>3.369688883880555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99.368124717674462</v>
      </c>
      <c r="H20" s="67">
        <f t="shared" si="1"/>
        <v>315.75326647275864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18.463076923076926</v>
      </c>
      <c r="N20" s="13">
        <f>IF('Données projet'!$A$36&gt;35,N19+M20-V19,IF(A20&lt;'Données projet'!$A$36,$K$205^A20,IF(A20='Données projet'!$A$36,'Données projet'!$B$36,N19+M20-V19)))</f>
        <v>128.31846153846152</v>
      </c>
      <c r="O20" s="13">
        <f>N20*VLOOKUP('Données projet'!$B$9,Paramètres!$A$1:$I$89,3,0)*VLOOKUP('Données projet'!$B$9,Paramètres!$A$1:$I$89,5,0)</f>
        <v>76.734439999999992</v>
      </c>
      <c r="P20" s="13">
        <f t="shared" si="33"/>
        <v>21.336811414414317</v>
      </c>
      <c r="Q20" s="20">
        <f t="shared" si="2"/>
        <v>170.80742954677157</v>
      </c>
      <c r="R20" s="59">
        <f t="shared" si="0"/>
        <v>464.14076288010489</v>
      </c>
      <c r="S20" s="59">
        <f ca="1">AVERAGE(OFFSET($R$3,0,0,'Données projet'!$E$9+1,1))-AVERAGE(OFFSET($H$3,0,0,'Données projet'!$E$9+1,1))</f>
        <v>260.31965507630525</v>
      </c>
      <c r="T20" s="59">
        <f t="shared" si="34"/>
        <v>327.31114099338032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9.378415715023543</v>
      </c>
      <c r="AB20" s="21">
        <f>EXP(-LN(2)/2)*AB19+(1-EXP(-LN(2)/2))/(LN(2)/2)*V20*Y20*VLOOKUP('Données projet'!$B$9,Paramètres!$A$1:$I$89,3,0)*0.475*44/12</f>
        <v>7.4157411187463831</v>
      </c>
      <c r="AC20" s="22">
        <f t="shared" si="3"/>
        <v>16.794156833769925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6.7360323886639675</v>
      </c>
      <c r="AI20" s="13">
        <f>IF('Données projet'!$A$62&gt;35,AI19+AH20-AQ19,IF(A20&lt;'Données projet'!$A$62,$AF$205^A20,IF(A20='Données projet'!$A$62,'Données projet'!$B$62,AI19+AH20-AQ19)))</f>
        <v>76.798314184456885</v>
      </c>
      <c r="AJ20" s="13">
        <f>AI20*VLOOKUP('Données projet'!$B$10,Paramètres!$A$1:$I$89,3,0)*VLOOKUP('Données projet'!$B$10,Paramètres!$A$1:$I$89,5,0)</f>
        <v>45.92539188230522</v>
      </c>
      <c r="AK20" s="13">
        <f t="shared" si="35"/>
        <v>13.556325295104831</v>
      </c>
      <c r="AL20" s="20">
        <f t="shared" si="4"/>
        <v>103.59732408398916</v>
      </c>
      <c r="AM20" s="59">
        <f t="shared" si="5"/>
        <v>396.93065741732249</v>
      </c>
      <c r="AN20" s="59">
        <f ca="1">AVERAGE(OFFSET($AM$3,0,0,'Données projet'!$E$10+1,1))-AVERAGE(OFFSET($H$3,0,0,'Données projet'!$E$10+1,1))</f>
        <v>277.11749933885778</v>
      </c>
      <c r="AO20" s="59">
        <f t="shared" si="36"/>
        <v>244.4970554728738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10.061999999999999</v>
      </c>
      <c r="D21" s="11">
        <f t="shared" si="32"/>
        <v>3.5442465380941046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105.03067503090188</v>
      </c>
      <c r="H21" s="67">
        <f t="shared" si="1"/>
        <v>317.03087938718056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18.463076923076926</v>
      </c>
      <c r="N21" s="13">
        <f>IF('Données projet'!$A$36&gt;35,N20+M21-V20,IF(A21&lt;'Données projet'!$A$36,$K$205^A21,IF(A21='Données projet'!$A$36,'Données projet'!$B$36,N20+M21-V20)))</f>
        <v>146.78153846153845</v>
      </c>
      <c r="O21" s="13">
        <f>N21*VLOOKUP('Données projet'!$B$9,Paramètres!$A$1:$I$89,3,0)*VLOOKUP('Données projet'!$B$9,Paramètres!$A$1:$I$89,5,0)</f>
        <v>87.775359999999992</v>
      </c>
      <c r="P21" s="13">
        <f t="shared" si="33"/>
        <v>24.02791634919064</v>
      </c>
      <c r="Q21" s="20">
        <f t="shared" si="2"/>
        <v>194.72403964150703</v>
      </c>
      <c r="R21" s="59">
        <f t="shared" si="0"/>
        <v>488.05737297484035</v>
      </c>
      <c r="S21" s="59">
        <f ca="1">AVERAGE(OFFSET($R$3,0,0,'Données projet'!$E$9+1,1))-AVERAGE(OFFSET($H$3,0,0,'Données projet'!$E$9+1,1))</f>
        <v>260.31965507630525</v>
      </c>
      <c r="T21" s="59">
        <f t="shared" si="34"/>
        <v>327.31114099338032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9.1219624441067761</v>
      </c>
      <c r="AB21" s="21">
        <f>EXP(-LN(2)/2)*AB20+(1-EXP(-LN(2)/2))/(LN(2)/2)*V21*Y21*VLOOKUP('Données projet'!$B$9,Paramètres!$A$1:$I$89,3,0)*0.475*44/12</f>
        <v>5.2437208325894824</v>
      </c>
      <c r="AC21" s="22">
        <f t="shared" si="3"/>
        <v>14.365683276696259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6.7360323886639675</v>
      </c>
      <c r="AI21" s="13">
        <f>IF('Données projet'!$A$62&gt;35,AI20+AH21-AQ20,IF(A21&lt;'Données projet'!$A$62,$AF$205^A21,IF(A21='Données projet'!$A$62,'Données projet'!$B$62,AI20+AH21-AQ20)))</f>
        <v>99.141326918115112</v>
      </c>
      <c r="AJ21" s="13">
        <f>AI21*VLOOKUP('Données projet'!$B$10,Paramètres!$A$1:$I$89,3,0)*VLOOKUP('Données projet'!$B$10,Paramètres!$A$1:$I$89,5,0)</f>
        <v>59.286513497032843</v>
      </c>
      <c r="AK21" s="13">
        <f t="shared" si="35"/>
        <v>16.987751837061783</v>
      </c>
      <c r="AL21" s="20">
        <f t="shared" si="4"/>
        <v>132.84434545688146</v>
      </c>
      <c r="AM21" s="59">
        <f t="shared" si="5"/>
        <v>426.17767879021477</v>
      </c>
      <c r="AN21" s="59">
        <f ca="1">AVERAGE(OFFSET($AM$3,0,0,'Données projet'!$E$10+1,1))-AVERAGE(OFFSET($H$3,0,0,'Données projet'!$E$10+1,1))</f>
        <v>277.11749933885778</v>
      </c>
      <c r="AO21" s="59">
        <f t="shared" si="36"/>
        <v>244.4970554728738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10.620999999999999</v>
      </c>
      <c r="D22" s="11">
        <f t="shared" si="32"/>
        <v>3.7176784168109291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110.68453514731243</v>
      </c>
      <c r="H22" s="67">
        <f t="shared" si="1"/>
        <v>318.30653157594566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18.463076923076926</v>
      </c>
      <c r="N22" s="13">
        <f>IF('Données projet'!$A$36&gt;35,N21+M22-V21,IF(A22&lt;'Données projet'!$A$36,$K$205^A22,IF(A22='Données projet'!$A$36,'Données projet'!$B$36,N21+M22-V21)))</f>
        <v>165.24461538461537</v>
      </c>
      <c r="O22" s="13">
        <f>N22*VLOOKUP('Données projet'!$B$9,Paramètres!$A$1:$I$89,3,0)*VLOOKUP('Données projet'!$B$9,Paramètres!$A$1:$I$89,5,0)</f>
        <v>98.816280000000006</v>
      </c>
      <c r="P22" s="13">
        <f t="shared" si="33"/>
        <v>26.679797439959771</v>
      </c>
      <c r="Q22" s="20">
        <f t="shared" si="2"/>
        <v>218.57233487459663</v>
      </c>
      <c r="R22" s="59">
        <f t="shared" si="0"/>
        <v>511.90566820792992</v>
      </c>
      <c r="S22" s="59">
        <f ca="1">AVERAGE(OFFSET($R$3,0,0,'Données projet'!$E$9+1,1))-AVERAGE(OFFSET($H$3,0,0,'Données projet'!$E$9+1,1))</f>
        <v>260.31965507630525</v>
      </c>
      <c r="T22" s="59">
        <f t="shared" si="34"/>
        <v>327.31114099338032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8.8725219013695202</v>
      </c>
      <c r="AB22" s="21">
        <f>EXP(-LN(2)/2)*AB21+(1-EXP(-LN(2)/2))/(LN(2)/2)*V22*Y22*VLOOKUP('Données projet'!$B$9,Paramètres!$A$1:$I$89,3,0)*0.475*44/12</f>
        <v>3.707870559373192</v>
      </c>
      <c r="AC22" s="22">
        <f t="shared" si="3"/>
        <v>12.580392460742711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>
        <f>VLOOKUP(A22,'Données projet'!$A$61:$I$81,2,0)</f>
        <v>127.98461538461538</v>
      </c>
      <c r="AG22" s="12">
        <f>VLOOKUP(A22,'Données projet'!$A$61:$I$81,9,0)</f>
        <v>6.7360323886639675</v>
      </c>
      <c r="AH22" s="12">
        <f t="array" ref="AH22">INDEX(AG:AG,MIN(IF(ISNUMBER(AG22:AG218),ROW(AG22:AG218),"")))</f>
        <v>6.7360323886639675</v>
      </c>
      <c r="AI22" s="13">
        <f>IF('Données projet'!$A$62&gt;35,AI21+AH22-AQ21,IF(A22&lt;'Données projet'!$A$62,$AF$205^A22,IF(A22='Données projet'!$A$62,'Données projet'!$B$62,AI21+AH22-AQ21)))</f>
        <v>127.98461538461538</v>
      </c>
      <c r="AJ22" s="13">
        <f>AI22*VLOOKUP('Données projet'!$B$10,Paramètres!$A$1:$I$89,3,0)*VLOOKUP('Données projet'!$B$10,Paramètres!$A$1:$I$89,5,0)</f>
        <v>76.534800000000004</v>
      </c>
      <c r="AK22" s="13">
        <f t="shared" si="35"/>
        <v>21.287753590702248</v>
      </c>
      <c r="AL22" s="20">
        <f t="shared" si="4"/>
        <v>170.37428083713976</v>
      </c>
      <c r="AM22" s="59">
        <f t="shared" si="5"/>
        <v>463.70761417047311</v>
      </c>
      <c r="AN22" s="59">
        <f ca="1">AVERAGE(OFFSET($AM$3,0,0,'Données projet'!$E$10+1,1))-AVERAGE(OFFSET($H$3,0,0,'Données projet'!$E$10+1,1))</f>
        <v>277.11749933885778</v>
      </c>
      <c r="AO22" s="59">
        <f t="shared" si="36"/>
        <v>244.4970554728738</v>
      </c>
      <c r="AP22" s="15">
        <f>IF(ISNA(VLOOKUP(A22,'Données projet'!$A$61:$I$81,3,0)),0,VLOOKUP(A22,'Données projet'!$A$61:$I$81,3,0))</f>
        <v>1</v>
      </c>
      <c r="AQ22" s="15">
        <f>IF(ISNA(VLOOKUP(A22,'Données projet'!$A$61:$I$81,4,0)),0,VLOOKUP(A22,'Données projet'!$A$61:$I$81,4,0))</f>
        <v>46.53846153846154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0.25200000000000006</v>
      </c>
      <c r="AT22" s="16">
        <f>IF(ISNA(VLOOKUP(A22,'Données projet'!$A$61:$I$81,7,0)),0%,VLOOKUP(A22,'Données projet'!$A$61:$I$81,7,0))</f>
        <v>0.44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9.2667777110813798</v>
      </c>
      <c r="AW22" s="21">
        <f>EXP(-LN(2)/2)*AW21+(1-EXP(-LN(2)/2))/(LN(2)/2)*AQ22*AT22*VLOOKUP('Données projet'!$B$10,Paramètres!$A$1:$I$89,3,0)*0.475*44/12</f>
        <v>13.864410929671079</v>
      </c>
      <c r="AX22" s="21">
        <f t="shared" si="6"/>
        <v>23.131188640752459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11.179999999999998</v>
      </c>
      <c r="D23" s="11">
        <f t="shared" si="32"/>
        <v>3.8900505285230369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116.33021460614272</v>
      </c>
      <c r="H23" s="67">
        <f t="shared" si="1"/>
        <v>319.58033800384425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183.7076923076923</v>
      </c>
      <c r="L23" s="12">
        <f>VLOOKUP(A23,'Données projet'!$A$35:$I$55,9,0)</f>
        <v>18.463076923076926</v>
      </c>
      <c r="M23" s="12">
        <f t="array" ref="M23">INDEX(L:L,MIN(IF(ISNUMBER(L23:L219),ROW(L23:L219),"")))</f>
        <v>18.463076923076926</v>
      </c>
      <c r="N23" s="13">
        <f>IF('Données projet'!$A$36&gt;35,N22+M23-V22,IF(A23&lt;'Données projet'!$A$36,$K$205^A23,IF(A23='Données projet'!$A$36,'Données projet'!$B$36,N22+M23-V22)))</f>
        <v>183.7076923076923</v>
      </c>
      <c r="O23" s="13">
        <f>N23*VLOOKUP('Données projet'!$B$9,Paramètres!$A$1:$I$89,3,0)*VLOOKUP('Données projet'!$B$9,Paramètres!$A$1:$I$89,5,0)</f>
        <v>109.85720000000001</v>
      </c>
      <c r="P23" s="13">
        <f t="shared" si="33"/>
        <v>29.297337235526424</v>
      </c>
      <c r="Q23" s="20">
        <f t="shared" si="2"/>
        <v>242.36081901854183</v>
      </c>
      <c r="R23" s="59">
        <f t="shared" si="0"/>
        <v>535.69415235187512</v>
      </c>
      <c r="S23" s="59">
        <f ca="1">AVERAGE(OFFSET($R$3,0,0,'Données projet'!$E$9+1,1))-AVERAGE(OFFSET($H$3,0,0,'Données projet'!$E$9+1,1))</f>
        <v>260.31965507630525</v>
      </c>
      <c r="T23" s="59">
        <f t="shared" si="34"/>
        <v>327.31114099338032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48.723076923076924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0.25200000000000006</v>
      </c>
      <c r="Y23" s="16">
        <f>IF(ISNA(VLOOKUP(A23,'Données projet'!$A$35:$I$55,7,0)),0%,VLOOKUP(A23,'Données projet'!$A$35:$I$55,7,0))</f>
        <v>0.44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18.331682492314798</v>
      </c>
      <c r="AB23" s="21">
        <f>EXP(-LN(2)/2)*AB22+(1-EXP(-LN(2)/2))/(LN(2)/2)*V23*Y23*VLOOKUP('Données projet'!$B$9,Paramètres!$A$1:$I$89,3,0)*0.475*44/12</f>
        <v>17.137096586300796</v>
      </c>
      <c r="AC23" s="22">
        <f t="shared" si="3"/>
        <v>35.468779078615597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15.7</v>
      </c>
      <c r="AI23" s="13">
        <f>IF('Données projet'!$A$62&gt;35,AI22+AH23-AQ22,IF(A23&lt;'Données projet'!$A$62,$AF$205^A23,IF(A23='Données projet'!$A$62,'Données projet'!$B$62,AI22+AH23-AQ22)))</f>
        <v>97.146153846153823</v>
      </c>
      <c r="AJ23" s="13">
        <f>AI23*VLOOKUP('Données projet'!$B$10,Paramètres!$A$1:$I$89,3,0)*VLOOKUP('Données projet'!$B$10,Paramètres!$A$1:$I$89,5,0)</f>
        <v>58.093399999999988</v>
      </c>
      <c r="AK23" s="13">
        <f t="shared" si="35"/>
        <v>16.68531848887627</v>
      </c>
      <c r="AL23" s="20">
        <f t="shared" si="4"/>
        <v>130.23960136812613</v>
      </c>
      <c r="AM23" s="59">
        <f t="shared" si="5"/>
        <v>423.57293470145942</v>
      </c>
      <c r="AN23" s="59">
        <f ca="1">AVERAGE(OFFSET($AM$3,0,0,'Données projet'!$E$10+1,1))-AVERAGE(OFFSET($H$3,0,0,'Données projet'!$E$10+1,1))</f>
        <v>277.11749933885778</v>
      </c>
      <c r="AO23" s="59">
        <f t="shared" si="36"/>
        <v>244.4970554728738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9.0133771872531998</v>
      </c>
      <c r="AW23" s="21">
        <f>EXP(-LN(2)/2)*AW22+(1-EXP(-LN(2)/2))/(LN(2)/2)*AQ23*AT23*VLOOKUP('Données projet'!$B$10,Paramètres!$A$1:$I$89,3,0)*0.475*44/12</f>
        <v>9.8036189855273062</v>
      </c>
      <c r="AX23" s="21">
        <f t="shared" si="6"/>
        <v>18.816996172780506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11.738999999999997</v>
      </c>
      <c r="D24" s="11">
        <f t="shared" si="32"/>
        <v>4.0614219079945988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121.96816911434426</v>
      </c>
      <c r="H24" s="67">
        <f t="shared" si="1"/>
        <v>320.85240148975726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19.071794871794875</v>
      </c>
      <c r="N24" s="13">
        <f>IF('Données projet'!$A$36&gt;35,N23+M24-V23,IF(A24&lt;'Données projet'!$A$36,$K$205^A24,IF(A24='Données projet'!$A$36,'Données projet'!$B$36,N23+M24-V23)))</f>
        <v>154.05641025641026</v>
      </c>
      <c r="O24" s="13">
        <f>N24*VLOOKUP('Données projet'!$B$9,Paramètres!$A$1:$I$89,3,0)*VLOOKUP('Données projet'!$B$9,Paramètres!$A$1:$I$89,5,0)</f>
        <v>92.125733333333343</v>
      </c>
      <c r="P24" s="13">
        <f t="shared" si="33"/>
        <v>25.077202059466597</v>
      </c>
      <c r="Q24" s="20">
        <f t="shared" si="2"/>
        <v>204.12844580912656</v>
      </c>
      <c r="R24" s="59">
        <f t="shared" si="0"/>
        <v>497.46177914245987</v>
      </c>
      <c r="S24" s="59">
        <f ca="1">AVERAGE(OFFSET($R$3,0,0,'Données projet'!$E$9+1,1))-AVERAGE(OFFSET($H$3,0,0,'Données projet'!$E$9+1,1))</f>
        <v>260.31965507630525</v>
      </c>
      <c r="T24" s="59">
        <f t="shared" si="34"/>
        <v>327.31114099338032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17.830401670541164</v>
      </c>
      <c r="AB24" s="21">
        <f>EXP(-LN(2)/2)*AB23+(1-EXP(-LN(2)/2))/(LN(2)/2)*V24*Y24*VLOOKUP('Données projet'!$B$9,Paramètres!$A$1:$I$89,3,0)*0.475*44/12</f>
        <v>12.117757206022128</v>
      </c>
      <c r="AC24" s="22">
        <f t="shared" si="3"/>
        <v>29.948158876563291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15.7</v>
      </c>
      <c r="AI24" s="13">
        <f>IF('Données projet'!$A$62&gt;35,AI23+AH24-AQ23,IF(A24&lt;'Données projet'!$A$62,$AF$205^A24,IF(A24='Données projet'!$A$62,'Données projet'!$B$62,AI23+AH24-AQ23)))</f>
        <v>112.84615384615383</v>
      </c>
      <c r="AJ24" s="13">
        <f>AI24*VLOOKUP('Données projet'!$B$10,Paramètres!$A$1:$I$89,3,0)*VLOOKUP('Données projet'!$B$10,Paramètres!$A$1:$I$89,5,0)</f>
        <v>67.481999999999985</v>
      </c>
      <c r="AK24" s="13">
        <f t="shared" si="35"/>
        <v>19.046822454976283</v>
      </c>
      <c r="AL24" s="20">
        <f t="shared" si="4"/>
        <v>150.70436577575032</v>
      </c>
      <c r="AM24" s="59">
        <f t="shared" si="5"/>
        <v>444.03769910908363</v>
      </c>
      <c r="AN24" s="59">
        <f ca="1">AVERAGE(OFFSET($AM$3,0,0,'Données projet'!$E$10+1,1))-AVERAGE(OFFSET($H$3,0,0,'Données projet'!$E$10+1,1))</f>
        <v>277.11749933885778</v>
      </c>
      <c r="AO24" s="59">
        <f t="shared" si="36"/>
        <v>244.4970554728738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8.7669059140748544</v>
      </c>
      <c r="AW24" s="21">
        <f>EXP(-LN(2)/2)*AW23+(1-EXP(-LN(2)/2))/(LN(2)/2)*AQ24*AT24*VLOOKUP('Données projet'!$B$10,Paramètres!$A$1:$I$89,3,0)*0.475*44/12</f>
        <v>6.9322054648355405</v>
      </c>
      <c r="AX24" s="21">
        <f t="shared" si="6"/>
        <v>15.699111378910395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12.297999999999996</v>
      </c>
      <c r="D25" s="11">
        <f t="shared" si="32"/>
        <v>4.2318456499363739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127.59880852582461</v>
      </c>
      <c r="H25" s="67">
        <f t="shared" si="1"/>
        <v>322.12281450697247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19.071794871794875</v>
      </c>
      <c r="N25" s="13">
        <f>IF('Données projet'!$A$36&gt;35,N24+M25-V24,IF(A25&lt;'Données projet'!$A$36,$K$205^A25,IF(A25='Données projet'!$A$36,'Données projet'!$B$36,N24+M25-V24)))</f>
        <v>173.12820512820514</v>
      </c>
      <c r="O25" s="13">
        <f>N25*VLOOKUP('Données projet'!$B$9,Paramètres!$A$1:$I$89,3,0)*VLOOKUP('Données projet'!$B$9,Paramètres!$A$1:$I$89,5,0)</f>
        <v>103.53066666666668</v>
      </c>
      <c r="P25" s="13">
        <f t="shared" si="33"/>
        <v>27.80142408921413</v>
      </c>
      <c r="Q25" s="20">
        <f t="shared" si="2"/>
        <v>228.73672473315909</v>
      </c>
      <c r="R25" s="59">
        <f t="shared" si="0"/>
        <v>522.07005806649238</v>
      </c>
      <c r="S25" s="59">
        <f ca="1">AVERAGE(OFFSET($R$3,0,0,'Données projet'!$E$9+1,1))-AVERAGE(OFFSET($H$3,0,0,'Données projet'!$E$9+1,1))</f>
        <v>260.31965507630525</v>
      </c>
      <c r="T25" s="59">
        <f t="shared" si="34"/>
        <v>327.31114099338032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17.342828399200144</v>
      </c>
      <c r="AB25" s="21">
        <f>EXP(-LN(2)/2)*AB24+(1-EXP(-LN(2)/2))/(LN(2)/2)*V25*Y25*VLOOKUP('Données projet'!$B$9,Paramètres!$A$1:$I$89,3,0)*0.475*44/12</f>
        <v>8.5685482931503998</v>
      </c>
      <c r="AC25" s="22">
        <f t="shared" si="3"/>
        <v>25.911376692350544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15.7</v>
      </c>
      <c r="AI25" s="13">
        <f>IF('Données projet'!$A$62&gt;35,AI24+AH25-AQ24,IF(A25&lt;'Données projet'!$A$62,$AF$205^A25,IF(A25='Données projet'!$A$62,'Données projet'!$B$62,AI24+AH25-AQ24)))</f>
        <v>128.54615384615383</v>
      </c>
      <c r="AJ25" s="13">
        <f>AI25*VLOOKUP('Données projet'!$B$10,Paramètres!$A$1:$I$89,3,0)*VLOOKUP('Données projet'!$B$10,Paramètres!$A$1:$I$89,5,0)</f>
        <v>76.870599999999996</v>
      </c>
      <c r="AK25" s="13">
        <f t="shared" si="35"/>
        <v>21.370261683634599</v>
      </c>
      <c r="AL25" s="20">
        <f t="shared" si="4"/>
        <v>171.10283409899691</v>
      </c>
      <c r="AM25" s="59">
        <f t="shared" si="5"/>
        <v>464.43616743233019</v>
      </c>
      <c r="AN25" s="59">
        <f ca="1">AVERAGE(OFFSET($AM$3,0,0,'Données projet'!$E$10+1,1))-AVERAGE(OFFSET($H$3,0,0,'Données projet'!$E$10+1,1))</f>
        <v>277.11749933885778</v>
      </c>
      <c r="AO25" s="59">
        <f t="shared" si="36"/>
        <v>244.4970554728738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8.5271744108229317</v>
      </c>
      <c r="AW25" s="21">
        <f>EXP(-LN(2)/2)*AW24+(1-EXP(-LN(2)/2))/(LN(2)/2)*AQ25*AT25*VLOOKUP('Données projet'!$B$10,Paramètres!$A$1:$I$89,3,0)*0.475*44/12</f>
        <v>4.901809492763654</v>
      </c>
      <c r="AX25" s="21">
        <f t="shared" si="6"/>
        <v>13.428983903586586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12.856999999999996</v>
      </c>
      <c r="D26" s="11">
        <f t="shared" si="32"/>
        <v>4.4013697494266859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133.22250332890772</v>
      </c>
      <c r="H26" s="67">
        <f t="shared" si="1"/>
        <v>323.39166064691813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19.071794871794875</v>
      </c>
      <c r="N26" s="13">
        <f>IF('Données projet'!$A$36&gt;35,N25+M26-V25,IF(A26&lt;'Données projet'!$A$36,$K$205^A26,IF(A26='Données projet'!$A$36,'Données projet'!$B$36,N25+M26-V25)))</f>
        <v>192.20000000000002</v>
      </c>
      <c r="O26" s="13">
        <f>N26*VLOOKUP('Données projet'!$B$9,Paramètres!$A$1:$I$89,3,0)*VLOOKUP('Données projet'!$B$9,Paramètres!$A$1:$I$89,5,0)</f>
        <v>114.93560000000001</v>
      </c>
      <c r="P26" s="13">
        <f t="shared" si="33"/>
        <v>30.49086327624272</v>
      </c>
      <c r="Q26" s="20">
        <f t="shared" si="2"/>
        <v>253.28442353945601</v>
      </c>
      <c r="R26" s="59">
        <f t="shared" si="0"/>
        <v>546.6177568727893</v>
      </c>
      <c r="S26" s="59">
        <f ca="1">AVERAGE(OFFSET($R$3,0,0,'Données projet'!$E$9+1,1))-AVERAGE(OFFSET($H$3,0,0,'Données projet'!$E$9+1,1))</f>
        <v>260.31965507630525</v>
      </c>
      <c r="T26" s="59">
        <f t="shared" si="34"/>
        <v>327.31114099338032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16.86858784460431</v>
      </c>
      <c r="AB26" s="21">
        <f>EXP(-LN(2)/2)*AB25+(1-EXP(-LN(2)/2))/(LN(2)/2)*V26*Y26*VLOOKUP('Données projet'!$B$9,Paramètres!$A$1:$I$89,3,0)*0.475*44/12</f>
        <v>6.0588786030110651</v>
      </c>
      <c r="AC26" s="22">
        <f t="shared" si="3"/>
        <v>22.927466447615373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15.7</v>
      </c>
      <c r="AI26" s="13">
        <f>IF('Données projet'!$A$62&gt;35,AI25+AH26-AQ25,IF(A26&lt;'Données projet'!$A$62,$AF$205^A26,IF(A26='Données projet'!$A$62,'Données projet'!$B$62,AI25+AH26-AQ25)))</f>
        <v>144.24615384615382</v>
      </c>
      <c r="AJ26" s="13">
        <f>AI26*VLOOKUP('Données projet'!$B$10,Paramètres!$A$1:$I$89,3,0)*VLOOKUP('Données projet'!$B$10,Paramètres!$A$1:$I$89,5,0)</f>
        <v>86.259199999999993</v>
      </c>
      <c r="AK26" s="13">
        <f t="shared" si="35"/>
        <v>23.660817147545782</v>
      </c>
      <c r="AL26" s="20">
        <f t="shared" si="4"/>
        <v>191.44402986530886</v>
      </c>
      <c r="AM26" s="59">
        <f t="shared" si="5"/>
        <v>484.77736319864221</v>
      </c>
      <c r="AN26" s="59">
        <f ca="1">AVERAGE(OFFSET($AM$3,0,0,'Données projet'!$E$10+1,1))-AVERAGE(OFFSET($H$3,0,0,'Données projet'!$E$10+1,1))</f>
        <v>277.11749933885778</v>
      </c>
      <c r="AO26" s="59">
        <f t="shared" si="36"/>
        <v>244.4970554728738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8.2939983781343649</v>
      </c>
      <c r="AW26" s="21">
        <f>EXP(-LN(2)/2)*AW25+(1-EXP(-LN(2)/2))/(LN(2)/2)*AQ26*AT26*VLOOKUP('Données projet'!$B$10,Paramètres!$A$1:$I$89,3,0)*0.475*44/12</f>
        <v>3.4661027324177707</v>
      </c>
      <c r="AX26" s="21">
        <f t="shared" si="6"/>
        <v>11.760101110552135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13.415999999999995</v>
      </c>
      <c r="D27" s="11">
        <f t="shared" si="32"/>
        <v>4.5700377920480229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138.83958997370399</v>
      </c>
      <c r="H27" s="67">
        <f t="shared" si="1"/>
        <v>324.65901582115026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19.071794871794875</v>
      </c>
      <c r="N27" s="13">
        <f>IF('Données projet'!$A$36&gt;35,N26+M27-V26,IF(A27&lt;'Données projet'!$A$36,$K$205^A27,IF(A27='Données projet'!$A$36,'Données projet'!$B$36,N26+M27-V26)))</f>
        <v>211.2717948717949</v>
      </c>
      <c r="O27" s="13">
        <f>N27*VLOOKUP('Données projet'!$B$9,Paramètres!$A$1:$I$89,3,0)*VLOOKUP('Données projet'!$B$9,Paramètres!$A$1:$I$89,5,0)</f>
        <v>126.34053333333337</v>
      </c>
      <c r="P27" s="13">
        <f t="shared" si="33"/>
        <v>33.149363946532553</v>
      </c>
      <c r="Q27" s="20">
        <f t="shared" si="2"/>
        <v>277.77823776243309</v>
      </c>
      <c r="R27" s="59">
        <f t="shared" si="0"/>
        <v>571.11157109576641</v>
      </c>
      <c r="S27" s="59">
        <f ca="1">AVERAGE(OFFSET($R$3,0,0,'Données projet'!$E$9+1,1))-AVERAGE(OFFSET($H$3,0,0,'Données projet'!$E$9+1,1))</f>
        <v>260.31965507630525</v>
      </c>
      <c r="T27" s="59">
        <f t="shared" si="34"/>
        <v>327.31114099338032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16.407315422913126</v>
      </c>
      <c r="AB27" s="21">
        <f>EXP(-LN(2)/2)*AB26+(1-EXP(-LN(2)/2))/(LN(2)/2)*V27*Y27*VLOOKUP('Données projet'!$B$9,Paramètres!$A$1:$I$89,3,0)*0.475*44/12</f>
        <v>4.2842741465751999</v>
      </c>
      <c r="AC27" s="22">
        <f t="shared" si="3"/>
        <v>20.691589569488325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159.94615384615383</v>
      </c>
      <c r="AG27" s="12">
        <f>VLOOKUP(A27,'Données projet'!$A$61:$I$81,9,0)</f>
        <v>15.7</v>
      </c>
      <c r="AH27" s="12">
        <f t="array" ref="AH27">INDEX(AG:AG,MIN(IF(ISNUMBER(AG27:AG223),ROW(AG27:AG223),"")))</f>
        <v>15.7</v>
      </c>
      <c r="AI27" s="13">
        <f>IF('Données projet'!$A$62&gt;35,AI26+AH27-AQ26,IF(A27&lt;'Données projet'!$A$62,$AF$205^A27,IF(A27='Données projet'!$A$62,'Données projet'!$B$62,AI26+AH27-AQ26)))</f>
        <v>159.94615384615381</v>
      </c>
      <c r="AJ27" s="13">
        <f>AI27*VLOOKUP('Données projet'!$B$10,Paramètres!$A$1:$I$89,3,0)*VLOOKUP('Données projet'!$B$10,Paramètres!$A$1:$I$89,5,0)</f>
        <v>95.647799999999989</v>
      </c>
      <c r="AK27" s="13">
        <f t="shared" si="35"/>
        <v>25.922476046044615</v>
      </c>
      <c r="AL27" s="20">
        <f t="shared" si="4"/>
        <v>211.73489744686097</v>
      </c>
      <c r="AM27" s="59">
        <f t="shared" si="5"/>
        <v>505.06823078019431</v>
      </c>
      <c r="AN27" s="59">
        <f ca="1">AVERAGE(OFFSET($AM$3,0,0,'Données projet'!$E$10+1,1))-AVERAGE(OFFSET($H$3,0,0,'Données projet'!$E$10+1,1))</f>
        <v>277.11749933885778</v>
      </c>
      <c r="AO27" s="59">
        <f t="shared" si="36"/>
        <v>244.4970554728738</v>
      </c>
      <c r="AP27" s="15">
        <f>IF(ISNA(VLOOKUP(A27,'Données projet'!$A$61:$I$81,3,0)),0,VLOOKUP(A27,'Données projet'!$A$61:$I$81,3,0))</f>
        <v>2</v>
      </c>
      <c r="AQ27" s="15">
        <f>IF(ISNA(VLOOKUP(A27,'Données projet'!$A$61:$I$81,4,0)),0,VLOOKUP(A27,'Données projet'!$A$61:$I$81,4,0))</f>
        <v>40.41538461538461</v>
      </c>
      <c r="AR27" s="16">
        <f>IF(ISNA(VLOOKUP(A27,'Données projet'!$A$61:$I$81,5,0)),0%,VLOOKUP(A27,'Données projet'!$A$61:$I$81,5,0)*VLOOKUP('Données projet'!$B$10,Paramètres!$A$1:$I$89,7,0))</f>
        <v>0.315</v>
      </c>
      <c r="AS27" s="16">
        <f>IF(ISNA(VLOOKUP(A27,'Données projet'!$A$61:$I$81,6,0)),0%,VLOOKUP(A27,'Données projet'!$A$61:$I$81,6,0)*VLOOKUP('Données projet'!$B$10,Paramètres!$A$1:$I$89,7,0))</f>
        <v>7.5600000000000001E-2</v>
      </c>
      <c r="AT27" s="16">
        <f>IF(ISNA(VLOOKUP(A27,'Données projet'!$A$61:$I$81,7,0)),0%,VLOOKUP(A27,'Données projet'!$A$61:$I$81,7,0))</f>
        <v>0.13200000000000001</v>
      </c>
      <c r="AU27" s="21">
        <f>EXP(-LN(2)/35)*AU26+(1-EXP(-LN(2)/35))/(LN(2)/35)*AQ27*AR27*VLOOKUP('Données projet'!$B$10,Paramètres!$A$1:$I$89,3,0)*0.475*44/12</f>
        <v>10.099196221226169</v>
      </c>
      <c r="AV27" s="21">
        <f>EXP(-LN(2)/25)*AV26+(1-EXP(-LN(2)/25))/(LN(2)/25)*Calculateur!AQ27*Calculateur!AS27*VLOOKUP('Données projet'!$B$10,Paramètres!$A$1:$I$89,3,0)*0.475*44/12</f>
        <v>10.481462197347724</v>
      </c>
      <c r="AW27" s="21">
        <f>EXP(-LN(2)/2)*AW26+(1-EXP(-LN(2)/2))/(LN(2)/2)*AQ27*AT27*VLOOKUP('Données projet'!$B$10,Paramètres!$A$1:$I$89,3,0)*0.475*44/12</f>
        <v>6.0629848302409268</v>
      </c>
      <c r="AX27" s="21">
        <f t="shared" si="6"/>
        <v>26.643643248814818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13.974999999999994</v>
      </c>
      <c r="D28" s="11">
        <f t="shared" si="32"/>
        <v>4.7378895257597495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144.45037528656644</v>
      </c>
      <c r="H28" s="67">
        <f t="shared" si="1"/>
        <v>325.92494925736486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19.071794871794875</v>
      </c>
      <c r="N28" s="13">
        <f>IF('Données projet'!$A$36&gt;35,N27+M28-V27,IF(A28&lt;'Données projet'!$A$36,$K$205^A28,IF(A28='Données projet'!$A$36,'Données projet'!$B$36,N27+M28-V27)))</f>
        <v>230.34358974358977</v>
      </c>
      <c r="O28" s="13">
        <f>N28*VLOOKUP('Données projet'!$B$9,Paramètres!$A$1:$I$89,3,0)*VLOOKUP('Données projet'!$B$9,Paramètres!$A$1:$I$89,5,0)</f>
        <v>137.74546666666669</v>
      </c>
      <c r="P28" s="13">
        <f t="shared" si="33"/>
        <v>35.780036573255778</v>
      </c>
      <c r="Q28" s="20">
        <f t="shared" si="2"/>
        <v>302.22358480953159</v>
      </c>
      <c r="R28" s="59">
        <f t="shared" si="0"/>
        <v>595.5569181428649</v>
      </c>
      <c r="S28" s="59">
        <f ca="1">AVERAGE(OFFSET($R$3,0,0,'Données projet'!$E$9+1,1))-AVERAGE(OFFSET($H$3,0,0,'Données projet'!$E$9+1,1))</f>
        <v>260.31965507630525</v>
      </c>
      <c r="T28" s="59">
        <f t="shared" si="34"/>
        <v>327.31114099338032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15.958656519850347</v>
      </c>
      <c r="AB28" s="21">
        <f>EXP(-LN(2)/2)*AB27+(1-EXP(-LN(2)/2))/(LN(2)/2)*V28*Y28*VLOOKUP('Données projet'!$B$9,Paramètres!$A$1:$I$89,3,0)*0.475*44/12</f>
        <v>3.0294393015055325</v>
      </c>
      <c r="AC28" s="22">
        <f t="shared" si="3"/>
        <v>18.988095821355881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16.020512820512824</v>
      </c>
      <c r="AI28" s="13">
        <f>IF('Données projet'!$A$62&gt;35,AI27+AH28-AQ27,IF(A28&lt;'Données projet'!$A$62,$AF$205^A28,IF(A28='Données projet'!$A$62,'Données projet'!$B$62,AI27+AH28-AQ27)))</f>
        <v>135.55128205128204</v>
      </c>
      <c r="AJ28" s="13">
        <f>AI28*VLOOKUP('Données projet'!$B$10,Paramètres!$A$1:$I$89,3,0)*VLOOKUP('Données projet'!$B$10,Paramètres!$A$1:$I$89,5,0)</f>
        <v>81.059666666666672</v>
      </c>
      <c r="AK28" s="13">
        <f t="shared" si="35"/>
        <v>22.396079377742645</v>
      </c>
      <c r="AL28" s="20">
        <f t="shared" si="4"/>
        <v>180.18542436067958</v>
      </c>
      <c r="AM28" s="59">
        <f t="shared" si="5"/>
        <v>473.51875769401289</v>
      </c>
      <c r="AN28" s="59">
        <f ca="1">AVERAGE(OFFSET($AM$3,0,0,'Données projet'!$E$10+1,1))-AVERAGE(OFFSET($H$3,0,0,'Données projet'!$E$10+1,1))</f>
        <v>277.11749933885778</v>
      </c>
      <c r="AO28" s="59">
        <f t="shared" si="36"/>
        <v>244.4970554728738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9.9011571432293799</v>
      </c>
      <c r="AV28" s="21">
        <f>EXP(-LN(2)/25)*AV27+(1-EXP(-LN(2)/25))/(LN(2)/25)*Calculateur!AQ28*Calculateur!AS28*VLOOKUP('Données projet'!$B$10,Paramètres!$A$1:$I$89,3,0)*0.475*44/12</f>
        <v>10.19484606236511</v>
      </c>
      <c r="AW28" s="21">
        <f>EXP(-LN(2)/2)*AW27+(1-EXP(-LN(2)/2))/(LN(2)/2)*AQ28*AT28*VLOOKUP('Données projet'!$B$10,Paramètres!$A$1:$I$89,3,0)*0.475*44/12</f>
        <v>4.2871776876945287</v>
      </c>
      <c r="AX28" s="21">
        <f t="shared" si="6"/>
        <v>24.383180893289023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14.533999999999994</v>
      </c>
      <c r="D29" s="11">
        <f t="shared" si="32"/>
        <v>4.9049613386955659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150.05514015835169</v>
      </c>
      <c r="H29" s="67">
        <f t="shared" si="1"/>
        <v>327.18952433156142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249.41538461538462</v>
      </c>
      <c r="L29" s="12">
        <f>VLOOKUP(A29,'Données projet'!$A$35:$I$55,9,0)</f>
        <v>19.071794871794875</v>
      </c>
      <c r="M29" s="12">
        <f t="array" ref="M29">INDEX(L:L,MIN(IF(ISNUMBER(L29:L225),ROW(L29:L225),"")))</f>
        <v>19.071794871794875</v>
      </c>
      <c r="N29" s="13">
        <f>IF('Données projet'!$A$36&gt;35,N28+M29-V28,IF(A29&lt;'Données projet'!$A$36,$K$205^A29,IF(A29='Données projet'!$A$36,'Données projet'!$B$36,N28+M29-V28)))</f>
        <v>249.41538461538465</v>
      </c>
      <c r="O29" s="13">
        <f>N29*VLOOKUP('Données projet'!$B$9,Paramètres!$A$1:$I$89,3,0)*VLOOKUP('Données projet'!$B$9,Paramètres!$A$1:$I$89,5,0)</f>
        <v>149.15040000000002</v>
      </c>
      <c r="P29" s="13">
        <f t="shared" si="33"/>
        <v>38.385447191571515</v>
      </c>
      <c r="Q29" s="20">
        <f t="shared" si="2"/>
        <v>326.62493385865372</v>
      </c>
      <c r="R29" s="59">
        <f t="shared" si="0"/>
        <v>619.95826719198703</v>
      </c>
      <c r="S29" s="59">
        <f ca="1">AVERAGE(OFFSET($R$3,0,0,'Données projet'!$E$9+1,1))-AVERAGE(OFFSET($H$3,0,0,'Données projet'!$E$9+1,1))</f>
        <v>260.31965507630525</v>
      </c>
      <c r="T29" s="59">
        <f t="shared" si="34"/>
        <v>327.31114099338032</v>
      </c>
      <c r="U29" s="15">
        <f>IF(ISNA(VLOOKUP(A29,'Données projet'!$A$35:$I$55,3,0)),0,VLOOKUP(A29,'Données projet'!$A$35:$I$55,3,0))</f>
        <v>3</v>
      </c>
      <c r="V29" s="15">
        <f>IF(ISNA(VLOOKUP(A29,'Données projet'!$A$35:$I$55,4,0)),0,VLOOKUP(A29,'Données projet'!$A$35:$I$55,4,0))</f>
        <v>46.984615384615381</v>
      </c>
      <c r="W29" s="16">
        <f>IF(ISNA(VLOOKUP(A29,'Données projet'!$A$35:$I$55,5,0)),0%,VLOOKUP(A29,'Données projet'!$A$35:$I$55,5,0)*VLOOKUP('Données projet'!$B$9,Paramètres!$A$1:$I$89,7,0))</f>
        <v>0.315</v>
      </c>
      <c r="X29" s="16">
        <f>IF(ISNA(VLOOKUP(A29,'Données projet'!$A$35:$I$55,6,0)),0%,VLOOKUP(A29,'Données projet'!$A$35:$I$55,6,0)*VLOOKUP('Données projet'!$B$9,Paramètres!$A$1:$I$89,7,0))</f>
        <v>7.5600000000000001E-2</v>
      </c>
      <c r="Y29" s="16">
        <f>IF(ISNA(VLOOKUP(A29,'Données projet'!$A$35:$I$55,7,0)),0%,VLOOKUP(A29,'Données projet'!$A$35:$I$55,7,0))</f>
        <v>0.13200000000000001</v>
      </c>
      <c r="Z29" s="21">
        <f>EXP(-LN(2)/35)*Z28+(1-EXP(-LN(2)/35))/(LN(2)/35)*V29*W29*VLOOKUP('Données projet'!$B$9,Paramètres!$A$1:$I$89,3,0)*0.475*44/12</f>
        <v>11.740748100352008</v>
      </c>
      <c r="AA29" s="21">
        <f>EXP(-LN(2)/25)*AA28+(1-EXP(-LN(2)/25))/(LN(2)/25)*Calculateur!V29*Calculateur!X29*VLOOKUP('Données projet'!$B$9,Paramètres!$A$1:$I$89,3,0)*0.475*44/12</f>
        <v>18.328951090447006</v>
      </c>
      <c r="AB29" s="21">
        <f>EXP(-LN(2)/2)*AB28+(1-EXP(-LN(2)/2))/(LN(2)/2)*V29*Y29*VLOOKUP('Données projet'!$B$9,Paramètres!$A$1:$I$89,3,0)*0.475*44/12</f>
        <v>6.3413348563502918</v>
      </c>
      <c r="AC29" s="22">
        <f t="shared" si="3"/>
        <v>36.411034047149307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16.020512820512824</v>
      </c>
      <c r="AI29" s="13">
        <f>IF('Données projet'!$A$62&gt;35,AI28+AH29-AQ28,IF(A29&lt;'Données projet'!$A$62,$AF$205^A29,IF(A29='Données projet'!$A$62,'Données projet'!$B$62,AI28+AH29-AQ28)))</f>
        <v>151.57179487179488</v>
      </c>
      <c r="AJ29" s="13">
        <f>AI29*VLOOKUP('Données projet'!$B$10,Paramètres!$A$1:$I$89,3,0)*VLOOKUP('Données projet'!$B$10,Paramètres!$A$1:$I$89,5,0)</f>
        <v>90.639933333333346</v>
      </c>
      <c r="AK29" s="13">
        <f t="shared" si="35"/>
        <v>24.719497804626467</v>
      </c>
      <c r="AL29" s="20">
        <f t="shared" si="4"/>
        <v>200.91767589861334</v>
      </c>
      <c r="AM29" s="59">
        <f t="shared" si="5"/>
        <v>494.25100923194668</v>
      </c>
      <c r="AN29" s="59">
        <f ca="1">AVERAGE(OFFSET($AM$3,0,0,'Données projet'!$E$10+1,1))-AVERAGE(OFFSET($H$3,0,0,'Données projet'!$E$10+1,1))</f>
        <v>277.11749933885778</v>
      </c>
      <c r="AO29" s="59">
        <f t="shared" si="36"/>
        <v>244.4970554728738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9.7070014907601969</v>
      </c>
      <c r="AV29" s="21">
        <f>EXP(-LN(2)/25)*AV28+(1-EXP(-LN(2)/25))/(LN(2)/25)*Calculateur!AQ29*Calculateur!AS29*VLOOKUP('Données projet'!$B$10,Paramètres!$A$1:$I$89,3,0)*0.475*44/12</f>
        <v>9.916067460666083</v>
      </c>
      <c r="AW29" s="21">
        <f>EXP(-LN(2)/2)*AW28+(1-EXP(-LN(2)/2))/(LN(2)/2)*AQ29*AT29*VLOOKUP('Données projet'!$B$10,Paramètres!$A$1:$I$89,3,0)*0.475*44/12</f>
        <v>3.0314924151204639</v>
      </c>
      <c r="AX29" s="21">
        <f t="shared" si="6"/>
        <v>22.654561366546744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15.092999999999993</v>
      </c>
      <c r="D30" s="11">
        <f t="shared" si="32"/>
        <v>5.0712866613861189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155.65414264929629</v>
      </c>
      <c r="H30" s="67">
        <f t="shared" si="1"/>
        <v>328.4527992685808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19.498076923076916</v>
      </c>
      <c r="N30" s="13">
        <f>IF('Données projet'!$A$36&gt;35,N29+M30-V29,IF(A30&lt;'Données projet'!$A$36,$K$205^A30,IF(A30='Données projet'!$A$36,'Données projet'!$B$36,N29+M30-V29)))</f>
        <v>221.92884615384617</v>
      </c>
      <c r="O30" s="13">
        <f>N30*VLOOKUP('Données projet'!$B$9,Paramètres!$A$1:$I$89,3,0)*VLOOKUP('Données projet'!$B$9,Paramètres!$A$1:$I$89,5,0)</f>
        <v>132.71345000000002</v>
      </c>
      <c r="P30" s="13">
        <f t="shared" si="33"/>
        <v>34.622602138133175</v>
      </c>
      <c r="Q30" s="20">
        <f t="shared" si="2"/>
        <v>291.44362414058196</v>
      </c>
      <c r="R30" s="59">
        <f t="shared" si="0"/>
        <v>584.77695747391522</v>
      </c>
      <c r="S30" s="59">
        <f ca="1">AVERAGE(OFFSET($R$3,0,0,'Données projet'!$E$9+1,1))-AVERAGE(OFFSET($H$3,0,0,'Données projet'!$E$9+1,1))</f>
        <v>260.31965507630525</v>
      </c>
      <c r="T30" s="59">
        <f t="shared" si="34"/>
        <v>327.31114099338032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11.510519191253341</v>
      </c>
      <c r="AA30" s="21">
        <f>EXP(-LN(2)/25)*AA29+(1-EXP(-LN(2)/25))/(LN(2)/25)*Calculateur!V30*Calculateur!X30*VLOOKUP('Données projet'!$B$9,Paramètres!$A$1:$I$89,3,0)*0.475*44/12</f>
        <v>17.827744959001087</v>
      </c>
      <c r="AB30" s="21">
        <f>EXP(-LN(2)/2)*AB29+(1-EXP(-LN(2)/2))/(LN(2)/2)*V30*Y30*VLOOKUP('Données projet'!$B$9,Paramètres!$A$1:$I$89,3,0)*0.475*44/12</f>
        <v>4.4840008786999128</v>
      </c>
      <c r="AC30" s="22">
        <f t="shared" si="3"/>
        <v>33.822265028954341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16.020512820512824</v>
      </c>
      <c r="AI30" s="13">
        <f>IF('Données projet'!$A$62&gt;35,AI29+AH30-AQ29,IF(A30&lt;'Données projet'!$A$62,$AF$205^A30,IF(A30='Données projet'!$A$62,'Données projet'!$B$62,AI29+AH30-AQ29)))</f>
        <v>167.59230769230771</v>
      </c>
      <c r="AJ30" s="13">
        <f>AI30*VLOOKUP('Données projet'!$B$10,Paramètres!$A$1:$I$89,3,0)*VLOOKUP('Données projet'!$B$10,Paramètres!$A$1:$I$89,5,0)</f>
        <v>100.22020000000002</v>
      </c>
      <c r="AK30" s="13">
        <f t="shared" si="35"/>
        <v>27.014450444334749</v>
      </c>
      <c r="AL30" s="20">
        <f t="shared" si="4"/>
        <v>221.60034952388301</v>
      </c>
      <c r="AM30" s="59">
        <f t="shared" si="5"/>
        <v>514.93368285721635</v>
      </c>
      <c r="AN30" s="59">
        <f ca="1">AVERAGE(OFFSET($AM$3,0,0,'Données projet'!$E$10+1,1))-AVERAGE(OFFSET($H$3,0,0,'Données projet'!$E$10+1,1))</f>
        <v>277.11749933885778</v>
      </c>
      <c r="AO30" s="59">
        <f t="shared" si="36"/>
        <v>244.4970554728738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9.5166531122126798</v>
      </c>
      <c r="AV30" s="21">
        <f>EXP(-LN(2)/25)*AV29+(1-EXP(-LN(2)/25))/(LN(2)/25)*Calculateur!AQ30*Calculateur!AS30*VLOOKUP('Données projet'!$B$10,Paramètres!$A$1:$I$89,3,0)*0.475*44/12</f>
        <v>9.6449120744908452</v>
      </c>
      <c r="AW30" s="21">
        <f>EXP(-LN(2)/2)*AW29+(1-EXP(-LN(2)/2))/(LN(2)/2)*AQ30*AT30*VLOOKUP('Données projet'!$B$10,Paramètres!$A$1:$I$89,3,0)*0.475*44/12</f>
        <v>2.1435888438472643</v>
      </c>
      <c r="AX30" s="21">
        <f t="shared" si="6"/>
        <v>21.305154030550792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15.651999999999992</v>
      </c>
      <c r="D31" s="11">
        <f t="shared" si="32"/>
        <v>5.2368963077179389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161.24762062098054</v>
      </c>
      <c r="H31" s="67">
        <f t="shared" si="1"/>
        <v>329.71482773594204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19.498076923076916</v>
      </c>
      <c r="N31" s="13">
        <f>IF('Données projet'!$A$36&gt;35,N30+M31-V30,IF(A31&lt;'Données projet'!$A$36,$K$205^A31,IF(A31='Données projet'!$A$36,'Données projet'!$B$36,N30+M31-V30)))</f>
        <v>241.42692307692309</v>
      </c>
      <c r="O31" s="13">
        <f>N31*VLOOKUP('Données projet'!$B$9,Paramètres!$A$1:$I$89,3,0)*VLOOKUP('Données projet'!$B$9,Paramètres!$A$1:$I$89,5,0)</f>
        <v>144.37330000000003</v>
      </c>
      <c r="P31" s="13">
        <f t="shared" si="33"/>
        <v>37.297066515496802</v>
      </c>
      <c r="Q31" s="20">
        <f t="shared" si="2"/>
        <v>316.40922168115691</v>
      </c>
      <c r="R31" s="59">
        <f t="shared" si="0"/>
        <v>609.74255501449022</v>
      </c>
      <c r="S31" s="59">
        <f ca="1">AVERAGE(OFFSET($R$3,0,0,'Données projet'!$E$9+1,1))-AVERAGE(OFFSET($H$3,0,0,'Données projet'!$E$9+1,1))</f>
        <v>260.31965507630525</v>
      </c>
      <c r="T31" s="59">
        <f t="shared" si="34"/>
        <v>327.31114099338032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11.28480493063633</v>
      </c>
      <c r="AA31" s="21">
        <f>EXP(-LN(2)/25)*AA30+(1-EXP(-LN(2)/25))/(LN(2)/25)*Calculateur!V31*Calculateur!X31*VLOOKUP('Données projet'!$B$9,Paramètres!$A$1:$I$89,3,0)*0.475*44/12</f>
        <v>17.340244335576841</v>
      </c>
      <c r="AB31" s="21">
        <f>EXP(-LN(2)/2)*AB30+(1-EXP(-LN(2)/2))/(LN(2)/2)*V31*Y31*VLOOKUP('Données projet'!$B$9,Paramètres!$A$1:$I$89,3,0)*0.475*44/12</f>
        <v>3.1706674281751464</v>
      </c>
      <c r="AC31" s="22">
        <f t="shared" si="3"/>
        <v>31.795716694388318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16.020512820512824</v>
      </c>
      <c r="AI31" s="13">
        <f>IF('Données projet'!$A$62&gt;35,AI30+AH31-AQ30,IF(A31&lt;'Données projet'!$A$62,$AF$205^A31,IF(A31='Données projet'!$A$62,'Données projet'!$B$62,AI30+AH31-AQ30)))</f>
        <v>183.61282051282055</v>
      </c>
      <c r="AJ31" s="13">
        <f>AI31*VLOOKUP('Données projet'!$B$10,Paramètres!$A$1:$I$89,3,0)*VLOOKUP('Données projet'!$B$10,Paramètres!$A$1:$I$89,5,0)</f>
        <v>109.80046666666669</v>
      </c>
      <c r="AK31" s="13">
        <f t="shared" si="35"/>
        <v>29.283967996494283</v>
      </c>
      <c r="AL31" s="20">
        <f t="shared" si="4"/>
        <v>242.23872370500536</v>
      </c>
      <c r="AM31" s="59">
        <f t="shared" si="5"/>
        <v>535.5720570383387</v>
      </c>
      <c r="AN31" s="59">
        <f ca="1">AVERAGE(OFFSET($AM$3,0,0,'Données projet'!$E$10+1,1))-AVERAGE(OFFSET($H$3,0,0,'Données projet'!$E$10+1,1))</f>
        <v>277.11749933885778</v>
      </c>
      <c r="AO31" s="59">
        <f t="shared" si="36"/>
        <v>244.4970554728738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9.3300373492674318</v>
      </c>
      <c r="AV31" s="21">
        <f>EXP(-LN(2)/25)*AV30+(1-EXP(-LN(2)/25))/(LN(2)/25)*Calculateur!AQ31*Calculateur!AS31*VLOOKUP('Données projet'!$B$10,Paramètres!$A$1:$I$89,3,0)*0.475*44/12</f>
        <v>9.3811714466100113</v>
      </c>
      <c r="AW31" s="21">
        <f>EXP(-LN(2)/2)*AW30+(1-EXP(-LN(2)/2))/(LN(2)/2)*AQ31*AT31*VLOOKUP('Données projet'!$B$10,Paramètres!$A$1:$I$89,3,0)*0.475*44/12</f>
        <v>1.5157462075602319</v>
      </c>
      <c r="AX31" s="21">
        <f t="shared" si="6"/>
        <v>20.226955003437673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16.210999999999991</v>
      </c>
      <c r="D32" s="11">
        <f t="shared" si="32"/>
        <v>5.4018187658151851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166.8357939817312</v>
      </c>
      <c r="H32" s="67">
        <f t="shared" si="1"/>
        <v>330.9756593504614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19.498076923076916</v>
      </c>
      <c r="N32" s="13">
        <f>IF('Données projet'!$A$36&gt;35,N31+M32-V31,IF(A32&lt;'Données projet'!$A$36,$K$205^A32,IF(A32='Données projet'!$A$36,'Données projet'!$B$36,N31+M32-V31)))</f>
        <v>260.92500000000001</v>
      </c>
      <c r="O32" s="13">
        <f>N32*VLOOKUP('Données projet'!$B$9,Paramètres!$A$1:$I$89,3,0)*VLOOKUP('Données projet'!$B$9,Paramètres!$A$1:$I$89,5,0)</f>
        <v>156.03315000000001</v>
      </c>
      <c r="P32" s="13">
        <f t="shared" si="33"/>
        <v>39.946478197047639</v>
      </c>
      <c r="Q32" s="20">
        <f t="shared" si="2"/>
        <v>341.33118577652465</v>
      </c>
      <c r="R32" s="59">
        <f t="shared" si="0"/>
        <v>634.66451910985802</v>
      </c>
      <c r="S32" s="59">
        <f ca="1">AVERAGE(OFFSET($R$3,0,0,'Données projet'!$E$9+1,1))-AVERAGE(OFFSET($H$3,0,0,'Données projet'!$E$9+1,1))</f>
        <v>260.31965507630525</v>
      </c>
      <c r="T32" s="59">
        <f t="shared" si="34"/>
        <v>327.31114099338032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11.063516788997914</v>
      </c>
      <c r="AA32" s="21">
        <f>EXP(-LN(2)/25)*AA31+(1-EXP(-LN(2)/25))/(LN(2)/25)*Calculateur!V32*Calculateur!X32*VLOOKUP('Données projet'!$B$9,Paramètres!$A$1:$I$89,3,0)*0.475*44/12</f>
        <v>16.866074442336675</v>
      </c>
      <c r="AB32" s="21">
        <f>EXP(-LN(2)/2)*AB31+(1-EXP(-LN(2)/2))/(LN(2)/2)*V32*Y32*VLOOKUP('Données projet'!$B$9,Paramètres!$A$1:$I$89,3,0)*0.475*44/12</f>
        <v>2.2420004393499569</v>
      </c>
      <c r="AC32" s="22">
        <f t="shared" si="3"/>
        <v>30.171591670684549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16.020512820512824</v>
      </c>
      <c r="AI32" s="13">
        <f>IF('Données projet'!$A$62&gt;35,AI31+AH32-AQ31,IF(A32&lt;'Données projet'!$A$62,$AF$205^A32,IF(A32='Données projet'!$A$62,'Données projet'!$B$62,AI31+AH32-AQ31)))</f>
        <v>199.63333333333338</v>
      </c>
      <c r="AJ32" s="13">
        <f>AI32*VLOOKUP('Données projet'!$B$10,Paramètres!$A$1:$I$89,3,0)*VLOOKUP('Données projet'!$B$10,Paramètres!$A$1:$I$89,5,0)</f>
        <v>119.38073333333337</v>
      </c>
      <c r="AK32" s="13">
        <f t="shared" si="35"/>
        <v>31.530522050233152</v>
      </c>
      <c r="AL32" s="20">
        <f t="shared" si="4"/>
        <v>262.83710312637839</v>
      </c>
      <c r="AM32" s="59">
        <f t="shared" si="5"/>
        <v>556.17043645971171</v>
      </c>
      <c r="AN32" s="59">
        <f ca="1">AVERAGE(OFFSET($AM$3,0,0,'Données projet'!$E$10+1,1))-AVERAGE(OFFSET($H$3,0,0,'Données projet'!$E$10+1,1))</f>
        <v>277.11749933885778</v>
      </c>
      <c r="AO32" s="59">
        <f t="shared" si="36"/>
        <v>244.4970554728738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9.1470810076091649</v>
      </c>
      <c r="AV32" s="21">
        <f>EXP(-LN(2)/25)*AV31+(1-EXP(-LN(2)/25))/(LN(2)/25)*Calculateur!AQ32*Calculateur!AS32*VLOOKUP('Données projet'!$B$10,Paramètres!$A$1:$I$89,3,0)*0.475*44/12</f>
        <v>9.1246428200680949</v>
      </c>
      <c r="AW32" s="21">
        <f>EXP(-LN(2)/2)*AW31+(1-EXP(-LN(2)/2))/(LN(2)/2)*AQ32*AT32*VLOOKUP('Données projet'!$B$10,Paramètres!$A$1:$I$89,3,0)*0.475*44/12</f>
        <v>1.0717944219236322</v>
      </c>
      <c r="AX32" s="21">
        <f t="shared" si="6"/>
        <v>19.343518249600891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16.769999999999992</v>
      </c>
      <c r="D33" s="11">
        <f t="shared" si="32"/>
        <v>5.5660804476725998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172.41886661361301</v>
      </c>
      <c r="H33" s="67">
        <f t="shared" si="1"/>
        <v>332.23534011302974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280.42307692307691</v>
      </c>
      <c r="L33" s="12">
        <f>VLOOKUP(A33,'Données projet'!$A$35:$I$55,9,0)</f>
        <v>19.498076923076916</v>
      </c>
      <c r="M33" s="12">
        <f t="array" ref="M33">INDEX(L:L,MIN(IF(ISNUMBER(L33:L229),ROW(L33:L229),"")))</f>
        <v>19.498076923076916</v>
      </c>
      <c r="N33" s="13">
        <f>IF('Données projet'!$A$36&gt;35,N32+M33-V32,IF(A33&lt;'Données projet'!$A$36,$K$205^A33,IF(A33='Données projet'!$A$36,'Données projet'!$B$36,N32+M33-V32)))</f>
        <v>280.42307692307691</v>
      </c>
      <c r="O33" s="13">
        <f>N33*VLOOKUP('Données projet'!$B$9,Paramètres!$A$1:$I$89,3,0)*VLOOKUP('Données projet'!$B$9,Paramètres!$A$1:$I$89,5,0)</f>
        <v>167.69299999999998</v>
      </c>
      <c r="P33" s="13">
        <f t="shared" si="33"/>
        <v>42.572922166359888</v>
      </c>
      <c r="Q33" s="20">
        <f t="shared" si="2"/>
        <v>366.2131477730768</v>
      </c>
      <c r="R33" s="59">
        <f t="shared" si="0"/>
        <v>659.54648110641006</v>
      </c>
      <c r="S33" s="59">
        <f ca="1">AVERAGE(OFFSET($R$3,0,0,'Données projet'!$E$9+1,1))-AVERAGE(OFFSET($H$3,0,0,'Données projet'!$E$9+1,1))</f>
        <v>260.31965507630525</v>
      </c>
      <c r="T33" s="59">
        <f t="shared" si="34"/>
        <v>327.31114099338032</v>
      </c>
      <c r="U33" s="15" t="str">
        <f>IF(ISNA(VLOOKUP(A33,'Données projet'!$A$35:$I$55,3,0)),0,VLOOKUP(A33,'Données projet'!$A$35:$I$55,3,0))</f>
        <v>na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10.846567972844589</v>
      </c>
      <c r="AA33" s="21">
        <f>EXP(-LN(2)/25)*AA32+(1-EXP(-LN(2)/25))/(LN(2)/25)*Calculateur!V33*Calculateur!X33*VLOOKUP('Données projet'!$B$9,Paramètres!$A$1:$I$89,3,0)*0.475*44/12</f>
        <v>16.404870749762672</v>
      </c>
      <c r="AB33" s="21">
        <f>EXP(-LN(2)/2)*AB32+(1-EXP(-LN(2)/2))/(LN(2)/2)*V33*Y33*VLOOKUP('Données projet'!$B$9,Paramètres!$A$1:$I$89,3,0)*0.475*44/12</f>
        <v>1.5853337140875734</v>
      </c>
      <c r="AC33" s="22">
        <f t="shared" si="3"/>
        <v>28.836772436694837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215.65384615384616</v>
      </c>
      <c r="AG33" s="12">
        <f>VLOOKUP(A33,'Données projet'!$A$61:$I$81,9,0)</f>
        <v>16.020512820512824</v>
      </c>
      <c r="AH33" s="12">
        <f t="array" ref="AH33">INDEX(AG:AG,MIN(IF(ISNUMBER(AG33:AG229),ROW(AG33:AG229),"")))</f>
        <v>16.020512820512824</v>
      </c>
      <c r="AI33" s="13">
        <f>IF('Données projet'!$A$62&gt;35,AI32+AH33-AQ32,IF(A33&lt;'Données projet'!$A$62,$AF$205^A33,IF(A33='Données projet'!$A$62,'Données projet'!$B$62,AI32+AH33-AQ32)))</f>
        <v>215.65384615384622</v>
      </c>
      <c r="AJ33" s="13">
        <f>AI33*VLOOKUP('Données projet'!$B$10,Paramètres!$A$1:$I$89,3,0)*VLOOKUP('Données projet'!$B$10,Paramètres!$A$1:$I$89,5,0)</f>
        <v>128.96100000000004</v>
      </c>
      <c r="AK33" s="13">
        <f t="shared" si="35"/>
        <v>33.756164929705356</v>
      </c>
      <c r="AL33" s="20">
        <f t="shared" si="4"/>
        <v>283.39906225257022</v>
      </c>
      <c r="AM33" s="59">
        <f t="shared" si="5"/>
        <v>576.73239558590353</v>
      </c>
      <c r="AN33" s="59">
        <f ca="1">AVERAGE(OFFSET($AM$3,0,0,'Données projet'!$E$10+1,1))-AVERAGE(OFFSET($H$3,0,0,'Données projet'!$E$10+1,1))</f>
        <v>277.11749933885778</v>
      </c>
      <c r="AO33" s="59">
        <f t="shared" si="36"/>
        <v>244.4970554728738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55.869230769230761</v>
      </c>
      <c r="AR33" s="16">
        <f>IF(ISNA(VLOOKUP(A33,'Données projet'!$A$61:$I$81,5,0)),0%,VLOOKUP(A33,'Données projet'!$A$61:$I$81,5,0)*VLOOKUP('Données projet'!$B$10,Paramètres!$A$1:$I$89,7,0))</f>
        <v>0.315</v>
      </c>
      <c r="AS33" s="16">
        <f>IF(ISNA(VLOOKUP(A33,'Données projet'!$A$61:$I$81,6,0)),0%,VLOOKUP(A33,'Données projet'!$A$61:$I$81,6,0)*VLOOKUP('Données projet'!$B$10,Paramètres!$A$1:$I$89,7,0))</f>
        <v>7.5600000000000001E-2</v>
      </c>
      <c r="AT33" s="16">
        <f>IF(ISNA(VLOOKUP(A33,'Données projet'!$A$61:$I$81,7,0)),0%,VLOOKUP(A33,'Données projet'!$A$61:$I$81,7,0))</f>
        <v>0.13200000000000001</v>
      </c>
      <c r="AU33" s="21">
        <f>EXP(-LN(2)/35)*AU32+(1-EXP(-LN(2)/35))/(LN(2)/35)*AQ33*AR33*VLOOKUP('Données projet'!$B$10,Paramètres!$A$1:$I$89,3,0)*0.475*44/12</f>
        <v>22.92859206837181</v>
      </c>
      <c r="AV33" s="21">
        <f>EXP(-LN(2)/25)*AV32+(1-EXP(-LN(2)/25))/(LN(2)/25)*Calculateur!AQ33*Calculateur!AS33*VLOOKUP('Données projet'!$B$10,Paramètres!$A$1:$I$89,3,0)*0.475*44/12</f>
        <v>12.212547487214213</v>
      </c>
      <c r="AW33" s="21">
        <f>EXP(-LN(2)/2)*AW32+(1-EXP(-LN(2)/2))/(LN(2)/2)*AQ33*AT33*VLOOKUP('Données projet'!$B$10,Paramètres!$A$1:$I$89,3,0)*0.475*44/12</f>
        <v>5.7511235128148783</v>
      </c>
      <c r="AX33" s="21">
        <f t="shared" si="6"/>
        <v>40.892263068400901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17.328999999999994</v>
      </c>
      <c r="D34" s="11">
        <f t="shared" si="32"/>
        <v>5.7297059045690339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177.99702803526966</v>
      </c>
      <c r="H34" s="67">
        <f t="shared" si="1"/>
        <v>333.49391278379102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19.184615384615398</v>
      </c>
      <c r="N34" s="13">
        <f>IF('Données projet'!$A$36&gt;35,N33+M34-V33,IF(A34&lt;'Données projet'!$A$36,$K$205^A34,IF(A34='Données projet'!$A$36,'Données projet'!$B$36,N33+M34-V33)))</f>
        <v>299.60769230769233</v>
      </c>
      <c r="O34" s="13">
        <f>N34*VLOOKUP('Données projet'!$B$9,Paramètres!$A$1:$I$89,3,0)*VLOOKUP('Données projet'!$B$9,Paramètres!$A$1:$I$89,5,0)</f>
        <v>179.16540000000003</v>
      </c>
      <c r="P34" s="13">
        <f t="shared" si="33"/>
        <v>45.136452849152207</v>
      </c>
      <c r="Q34" s="20">
        <f t="shared" si="2"/>
        <v>390.65906037894007</v>
      </c>
      <c r="R34" s="59">
        <f t="shared" si="0"/>
        <v>683.99239371227338</v>
      </c>
      <c r="S34" s="59">
        <f ca="1">AVERAGE(OFFSET($R$3,0,0,'Données projet'!$E$9+1,1))-AVERAGE(OFFSET($H$3,0,0,'Données projet'!$E$9+1,1))</f>
        <v>260.31965507630525</v>
      </c>
      <c r="T34" s="59">
        <f t="shared" si="34"/>
        <v>327.31114099338032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10.633873390650319</v>
      </c>
      <c r="AA34" s="21">
        <f>EXP(-LN(2)/25)*AA33+(1-EXP(-LN(2)/25))/(LN(2)/25)*Calculateur!V34*Calculateur!X34*VLOOKUP('Données projet'!$B$9,Paramètres!$A$1:$I$89,3,0)*0.475*44/12</f>
        <v>15.956278696415753</v>
      </c>
      <c r="AB34" s="21">
        <f>EXP(-LN(2)/2)*AB33+(1-EXP(-LN(2)/2))/(LN(2)/2)*V34*Y34*VLOOKUP('Données projet'!$B$9,Paramètres!$A$1:$I$89,3,0)*0.475*44/12</f>
        <v>1.1210002196749784</v>
      </c>
      <c r="AC34" s="22">
        <f t="shared" si="3"/>
        <v>27.711152306741052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15.48351648351648</v>
      </c>
      <c r="AI34" s="13">
        <f>IF('Données projet'!$A$62&gt;35,AI33+AH34-AQ33,IF(A34&lt;'Données projet'!$A$62,$AF$205^A34,IF(A34='Données projet'!$A$62,'Données projet'!$B$62,AI33+AH34-AQ33)))</f>
        <v>175.26813186813192</v>
      </c>
      <c r="AJ34" s="13">
        <f>AI34*VLOOKUP('Données projet'!$B$10,Paramètres!$A$1:$I$89,3,0)*VLOOKUP('Données projet'!$B$10,Paramètres!$A$1:$I$89,5,0)</f>
        <v>104.8103428571429</v>
      </c>
      <c r="AK34" s="13">
        <f t="shared" si="35"/>
        <v>28.104843056220705</v>
      </c>
      <c r="AL34" s="20">
        <f t="shared" si="4"/>
        <v>231.49394879910827</v>
      </c>
      <c r="AM34" s="59">
        <f t="shared" si="5"/>
        <v>524.82728213244161</v>
      </c>
      <c r="AN34" s="59">
        <f ca="1">AVERAGE(OFFSET($AM$3,0,0,'Données projet'!$E$10+1,1))-AVERAGE(OFFSET($H$3,0,0,'Données projet'!$E$10+1,1))</f>
        <v>277.11749933885778</v>
      </c>
      <c r="AO34" s="59">
        <f t="shared" si="36"/>
        <v>244.4970554728738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22.478976362971292</v>
      </c>
      <c r="AV34" s="21">
        <f>EXP(-LN(2)/25)*AV33+(1-EXP(-LN(2)/25))/(LN(2)/25)*Calculateur!AQ34*Calculateur!AS34*VLOOKUP('Données projet'!$B$10,Paramètres!$A$1:$I$89,3,0)*0.475*44/12</f>
        <v>11.878594733946381</v>
      </c>
      <c r="AW34" s="21">
        <f>EXP(-LN(2)/2)*AW33+(1-EXP(-LN(2)/2))/(LN(2)/2)*AQ34*AT34*VLOOKUP('Données projet'!$B$10,Paramètres!$A$1:$I$89,3,0)*0.475*44/12</f>
        <v>4.0666584353527986</v>
      </c>
      <c r="AX34" s="21">
        <f t="shared" si="6"/>
        <v>38.424229532270473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17.887999999999995</v>
      </c>
      <c r="D35" s="11">
        <f t="shared" si="32"/>
        <v>5.8927180139048909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183.57045484417804</v>
      </c>
      <c r="H35" s="67">
        <f t="shared" si="1"/>
        <v>334.75141720755096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318.7923076923077</v>
      </c>
      <c r="L35" s="12">
        <f>VLOOKUP(A35,'Données projet'!$A$35:$I$55,9,0)</f>
        <v>19.184615384615398</v>
      </c>
      <c r="M35" s="12">
        <f t="array" ref="M35">INDEX(L:L,MIN(IF(ISNUMBER(L35:L231),ROW(L35:L231),"")))</f>
        <v>19.184615384615398</v>
      </c>
      <c r="N35" s="13">
        <f>IF('Données projet'!$A$36&gt;35,N34+M35-V34,IF(A35&lt;'Données projet'!$A$36,$K$205^A35,IF(A35='Données projet'!$A$36,'Données projet'!$B$36,N34+M35-V34)))</f>
        <v>318.79230769230776</v>
      </c>
      <c r="O35" s="13">
        <f>N35*VLOOKUP('Données projet'!$B$9,Paramètres!$A$1:$I$89,3,0)*VLOOKUP('Données projet'!$B$9,Paramètres!$A$1:$I$89,5,0)</f>
        <v>190.63780000000006</v>
      </c>
      <c r="P35" s="13">
        <f t="shared" si="33"/>
        <v>47.680933861376609</v>
      </c>
      <c r="Q35" s="20">
        <f t="shared" ref="Q35:Q66" si="53">(O35+P35)*0.475*44/12</f>
        <v>415.07179480856433</v>
      </c>
      <c r="R35" s="59">
        <f t="shared" si="0"/>
        <v>708.40512814189765</v>
      </c>
      <c r="S35" s="59">
        <f ca="1">AVERAGE(OFFSET($R$3,0,0,'Données projet'!$E$9+1,1))-AVERAGE(OFFSET($H$3,0,0,'Données projet'!$E$9+1,1))</f>
        <v>260.31965507630525</v>
      </c>
      <c r="T35" s="59">
        <f t="shared" si="34"/>
        <v>327.31114099338032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64.523076923076914</v>
      </c>
      <c r="W35" s="16">
        <f>IF(ISNA(VLOOKUP(A35,'Données projet'!$A$35:$I$55,5,0)),0%,VLOOKUP(A35,'Données projet'!$A$35:$I$55,5,0)*VLOOKUP('Données projet'!$B$9,Paramètres!$A$1:$I$89,7,0))</f>
        <v>0.315</v>
      </c>
      <c r="X35" s="16">
        <f>IF(ISNA(VLOOKUP(A35,'Données projet'!$A$35:$I$55,6,0)),0%,VLOOKUP(A35,'Données projet'!$A$35:$I$55,6,0)*VLOOKUP('Données projet'!$B$9,Paramètres!$A$1:$I$89,7,0))</f>
        <v>7.5600000000000001E-2</v>
      </c>
      <c r="Y35" s="16">
        <f>IF(ISNA(VLOOKUP(A35,'Données projet'!$A$35:$I$55,7,0)),0%,VLOOKUP(A35,'Données projet'!$A$35:$I$55,7,0))</f>
        <v>0.13200000000000001</v>
      </c>
      <c r="Z35" s="21">
        <f>EXP(-LN(2)/35)*Z34+(1-EXP(-LN(2)/35))/(LN(2)/35)*V35*W35*VLOOKUP('Données projet'!$B$9,Paramètres!$A$1:$I$89,3,0)*0.475*44/12</f>
        <v>26.548695242558715</v>
      </c>
      <c r="AA35" s="21">
        <f>EXP(-LN(2)/25)*AA34+(1-EXP(-LN(2)/25))/(LN(2)/25)*Calculateur!V35*Calculateur!X35*VLOOKUP('Données projet'!$B$9,Paramètres!$A$1:$I$89,3,0)*0.475*44/12</f>
        <v>19.374320264649796</v>
      </c>
      <c r="AB35" s="21">
        <f>EXP(-LN(2)/2)*AB34+(1-EXP(-LN(2)/2))/(LN(2)/2)*V35*Y35*VLOOKUP('Données projet'!$B$9,Paramètres!$A$1:$I$89,3,0)*0.475*44/12</f>
        <v>6.5593451485188776</v>
      </c>
      <c r="AC35" s="22">
        <f t="shared" si="3"/>
        <v>52.482360655727391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15.48351648351648</v>
      </c>
      <c r="AI35" s="13">
        <f>IF('Données projet'!$A$62&gt;35,AI34+AH35-AQ34,IF(A35&lt;'Données projet'!$A$62,$AF$205^A35,IF(A35='Données projet'!$A$62,'Données projet'!$B$62,AI34+AH35-AQ34)))</f>
        <v>190.75164835164838</v>
      </c>
      <c r="AJ35" s="13">
        <f>AI35*VLOOKUP('Données projet'!$B$10,Paramètres!$A$1:$I$89,3,0)*VLOOKUP('Données projet'!$B$10,Paramètres!$A$1:$I$89,5,0)</f>
        <v>114.06948571428575</v>
      </c>
      <c r="AK35" s="13">
        <f t="shared" si="35"/>
        <v>30.287750600607666</v>
      </c>
      <c r="AL35" s="20">
        <f t="shared" si="4"/>
        <v>251.42218658177271</v>
      </c>
      <c r="AM35" s="59">
        <f t="shared" si="5"/>
        <v>544.75551991510599</v>
      </c>
      <c r="AN35" s="59">
        <f ca="1">AVERAGE(OFFSET($AM$3,0,0,'Données projet'!$E$10+1,1))-AVERAGE(OFFSET($H$3,0,0,'Données projet'!$E$10+1,1))</f>
        <v>277.11749933885778</v>
      </c>
      <c r="AO35" s="59">
        <f t="shared" si="36"/>
        <v>244.4970554728738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22.038177347315173</v>
      </c>
      <c r="AV35" s="21">
        <f>EXP(-LN(2)/25)*AV34+(1-EXP(-LN(2)/25))/(LN(2)/25)*Calculateur!AQ35*Calculateur!AS35*VLOOKUP('Données projet'!$B$10,Paramètres!$A$1:$I$89,3,0)*0.475*44/12</f>
        <v>11.553773936278469</v>
      </c>
      <c r="AW35" s="21">
        <f>EXP(-LN(2)/2)*AW34+(1-EXP(-LN(2)/2))/(LN(2)/2)*AQ35*AT35*VLOOKUP('Données projet'!$B$10,Paramètres!$A$1:$I$89,3,0)*0.475*44/12</f>
        <v>2.8755617564074392</v>
      </c>
      <c r="AX35" s="21">
        <f t="shared" si="6"/>
        <v>36.46751304000108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18.446999999999996</v>
      </c>
      <c r="D36" s="11">
        <f t="shared" si="32"/>
        <v>6.0551381420288193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189.13931197355578</v>
      </c>
      <c r="H36" s="67">
        <f t="shared" si="1"/>
        <v>336.00789059736684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18.055769230769229</v>
      </c>
      <c r="N36" s="13">
        <f>IF('Données projet'!$A$36&gt;35,N35+M36-V35,IF(A36&lt;'Données projet'!$A$36,$K$205^A36,IF(A36='Données projet'!$A$36,'Données projet'!$B$36,N35+M36-V35)))</f>
        <v>272.32500000000005</v>
      </c>
      <c r="O36" s="13">
        <f>N36*VLOOKUP('Données projet'!$B$9,Paramètres!$A$1:$I$89,3,0)*VLOOKUP('Données projet'!$B$9,Paramètres!$A$1:$I$89,5,0)</f>
        <v>162.85035000000002</v>
      </c>
      <c r="P36" s="13">
        <f t="shared" si="33"/>
        <v>41.484757610477807</v>
      </c>
      <c r="Q36" s="20">
        <f t="shared" si="53"/>
        <v>355.88364575491551</v>
      </c>
      <c r="R36" s="59">
        <f t="shared" si="0"/>
        <v>649.21697908824876</v>
      </c>
      <c r="S36" s="59">
        <f ca="1">AVERAGE(OFFSET($R$3,0,0,'Données projet'!$E$9+1,1))-AVERAGE(OFFSET($H$3,0,0,'Données projet'!$E$9+1,1))</f>
        <v>260.31965507630525</v>
      </c>
      <c r="T36" s="59">
        <f t="shared" si="34"/>
        <v>327.31114099338032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26.0280915219573</v>
      </c>
      <c r="AA36" s="21">
        <f>EXP(-LN(2)/25)*AA35+(1-EXP(-LN(2)/25))/(LN(2)/25)*Calculateur!V36*Calculateur!X36*VLOOKUP('Données projet'!$B$9,Paramètres!$A$1:$I$89,3,0)*0.475*44/12</f>
        <v>18.844528458161726</v>
      </c>
      <c r="AB36" s="21">
        <f>EXP(-LN(2)/2)*AB35+(1-EXP(-LN(2)/2))/(LN(2)/2)*V36*Y36*VLOOKUP('Données projet'!$B$9,Paramètres!$A$1:$I$89,3,0)*0.475*44/12</f>
        <v>4.6381574346607808</v>
      </c>
      <c r="AC36" s="22">
        <f t="shared" si="3"/>
        <v>49.51077741477981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15.48351648351648</v>
      </c>
      <c r="AI36" s="13">
        <f>IF('Données projet'!$A$62&gt;35,AI35+AH36-AQ35,IF(A36&lt;'Données projet'!$A$62,$AF$205^A36,IF(A36='Données projet'!$A$62,'Données projet'!$B$62,AI35+AH36-AQ35)))</f>
        <v>206.23516483516485</v>
      </c>
      <c r="AJ36" s="13">
        <f>AI36*VLOOKUP('Données projet'!$B$10,Paramètres!$A$1:$I$89,3,0)*VLOOKUP('Données projet'!$B$10,Paramètres!$A$1:$I$89,5,0)</f>
        <v>123.3286285714286</v>
      </c>
      <c r="AK36" s="13">
        <f t="shared" si="35"/>
        <v>32.450106672465495</v>
      </c>
      <c r="AL36" s="20">
        <f t="shared" si="4"/>
        <v>271.31463054978218</v>
      </c>
      <c r="AM36" s="59">
        <f t="shared" si="5"/>
        <v>564.64796388311549</v>
      </c>
      <c r="AN36" s="59">
        <f ca="1">AVERAGE(OFFSET($AM$3,0,0,'Données projet'!$E$10+1,1))-AVERAGE(OFFSET($H$3,0,0,'Données projet'!$E$10+1,1))</f>
        <v>277.11749933885778</v>
      </c>
      <c r="AO36" s="59">
        <f t="shared" si="36"/>
        <v>244.4970554728738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21.606022131495219</v>
      </c>
      <c r="AV36" s="21">
        <f>EXP(-LN(2)/25)*AV35+(1-EXP(-LN(2)/25))/(LN(2)/25)*Calculateur!AQ36*Calculateur!AS36*VLOOKUP('Données projet'!$B$10,Paramètres!$A$1:$I$89,3,0)*0.475*44/12</f>
        <v>11.23783538040437</v>
      </c>
      <c r="AW36" s="21">
        <f>EXP(-LN(2)/2)*AW35+(1-EXP(-LN(2)/2))/(LN(2)/2)*AQ36*AT36*VLOOKUP('Données projet'!$B$10,Paramètres!$A$1:$I$89,3,0)*0.475*44/12</f>
        <v>2.0333292176763993</v>
      </c>
      <c r="AX36" s="21">
        <f t="shared" si="6"/>
        <v>34.877186729575982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19.005999999999997</v>
      </c>
      <c r="D37" s="11">
        <f t="shared" si="32"/>
        <v>6.216986286773305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194.70375379263601</v>
      </c>
      <c r="H37" s="67">
        <f t="shared" si="1"/>
        <v>337.26336778279682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18.055769230769229</v>
      </c>
      <c r="N37" s="13">
        <f>IF('Données projet'!$A$36&gt;35,N36+M37-V36,IF(A37&lt;'Données projet'!$A$36,$K$205^A37,IF(A37='Données projet'!$A$36,'Données projet'!$B$36,N36+M37-V36)))</f>
        <v>290.38076923076926</v>
      </c>
      <c r="O37" s="13">
        <f>N37*VLOOKUP('Données projet'!$B$9,Paramètres!$A$1:$I$89,3,0)*VLOOKUP('Données projet'!$B$9,Paramètres!$A$1:$I$89,5,0)</f>
        <v>173.64770000000001</v>
      </c>
      <c r="P37" s="13">
        <f t="shared" si="33"/>
        <v>43.905974872685142</v>
      </c>
      <c r="Q37" s="20">
        <f t="shared" si="53"/>
        <v>378.90598373659327</v>
      </c>
      <c r="R37" s="59">
        <f t="shared" si="0"/>
        <v>672.23931706992653</v>
      </c>
      <c r="S37" s="59">
        <f ca="1">AVERAGE(OFFSET($R$3,0,0,'Données projet'!$E$9+1,1))-AVERAGE(OFFSET($H$3,0,0,'Données projet'!$E$9+1,1))</f>
        <v>260.31965507630525</v>
      </c>
      <c r="T37" s="59">
        <f t="shared" si="34"/>
        <v>327.31114099338032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25.517696522779964</v>
      </c>
      <c r="AA37" s="21">
        <f>EXP(-LN(2)/25)*AA36+(1-EXP(-LN(2)/25))/(LN(2)/25)*Calculateur!V37*Calculateur!X37*VLOOKUP('Données projet'!$B$9,Paramètres!$A$1:$I$89,3,0)*0.475*44/12</f>
        <v>18.329223836482612</v>
      </c>
      <c r="AB37" s="21">
        <f>EXP(-LN(2)/2)*AB36+(1-EXP(-LN(2)/2))/(LN(2)/2)*V37*Y37*VLOOKUP('Données projet'!$B$9,Paramètres!$A$1:$I$89,3,0)*0.475*44/12</f>
        <v>3.2796725742594397</v>
      </c>
      <c r="AC37" s="22">
        <f t="shared" si="3"/>
        <v>47.126592933522019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15.48351648351648</v>
      </c>
      <c r="AI37" s="13">
        <f>IF('Données projet'!$A$62&gt;35,AI36+AH37-AQ36,IF(A37&lt;'Données projet'!$A$62,$AF$205^A37,IF(A37='Données projet'!$A$62,'Données projet'!$B$62,AI36+AH37-AQ36)))</f>
        <v>221.71868131868132</v>
      </c>
      <c r="AJ37" s="13">
        <f>AI37*VLOOKUP('Données projet'!$B$10,Paramètres!$A$1:$I$89,3,0)*VLOOKUP('Données projet'!$B$10,Paramètres!$A$1:$I$89,5,0)</f>
        <v>132.58777142857144</v>
      </c>
      <c r="AK37" s="13">
        <f t="shared" si="35"/>
        <v>34.593629659414489</v>
      </c>
      <c r="AL37" s="20">
        <f t="shared" si="4"/>
        <v>291.17427356157549</v>
      </c>
      <c r="AM37" s="59">
        <f t="shared" si="5"/>
        <v>584.5076068949088</v>
      </c>
      <c r="AN37" s="59">
        <f ca="1">AVERAGE(OFFSET($AM$3,0,0,'Données projet'!$E$10+1,1))-AVERAGE(OFFSET($H$3,0,0,'Données projet'!$E$10+1,1))</f>
        <v>277.11749933885778</v>
      </c>
      <c r="AO37" s="59">
        <f t="shared" si="36"/>
        <v>244.4970554728738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21.182341215868842</v>
      </c>
      <c r="AV37" s="21">
        <f>EXP(-LN(2)/25)*AV36+(1-EXP(-LN(2)/25))/(LN(2)/25)*Calculateur!AQ37*Calculateur!AS37*VLOOKUP('Données projet'!$B$10,Paramètres!$A$1:$I$89,3,0)*0.475*44/12</f>
        <v>10.930536180955134</v>
      </c>
      <c r="AW37" s="21">
        <f>EXP(-LN(2)/2)*AW36+(1-EXP(-LN(2)/2))/(LN(2)/2)*AQ37*AT37*VLOOKUP('Données projet'!$B$10,Paramètres!$A$1:$I$89,3,0)*0.475*44/12</f>
        <v>1.4377808782037196</v>
      </c>
      <c r="AX37" s="21">
        <f t="shared" si="6"/>
        <v>33.550658275027693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19.564999999999998</v>
      </c>
      <c r="D38" s="11">
        <f t="shared" si="32"/>
        <v>6.3782812027501414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200.26392507386075</v>
      </c>
      <c r="H38" s="67">
        <f t="shared" si="1"/>
        <v>338.51788142812313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18.055769230769229</v>
      </c>
      <c r="N38" s="13">
        <f>IF('Données projet'!$A$36&gt;35,N37+M38-V37,IF(A38&lt;'Données projet'!$A$36,$K$205^A38,IF(A38='Données projet'!$A$36,'Données projet'!$B$36,N37+M38-V37)))</f>
        <v>308.43653846153848</v>
      </c>
      <c r="O38" s="13">
        <f>N38*VLOOKUP('Données projet'!$B$9,Paramètres!$A$1:$I$89,3,0)*VLOOKUP('Données projet'!$B$9,Paramètres!$A$1:$I$89,5,0)</f>
        <v>184.44505000000004</v>
      </c>
      <c r="P38" s="13">
        <f t="shared" si="33"/>
        <v>46.309719450497106</v>
      </c>
      <c r="Q38" s="20">
        <f t="shared" si="53"/>
        <v>401.89789012628256</v>
      </c>
      <c r="R38" s="59">
        <f t="shared" si="0"/>
        <v>695.23122345961588</v>
      </c>
      <c r="S38" s="59">
        <f ca="1">AVERAGE(OFFSET($R$3,0,0,'Données projet'!$E$9+1,1))-AVERAGE(OFFSET($H$3,0,0,'Données projet'!$E$9+1,1))</f>
        <v>260.31965507630525</v>
      </c>
      <c r="T38" s="59">
        <f t="shared" si="34"/>
        <v>327.31114099338032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25.017310058226286</v>
      </c>
      <c r="AA38" s="21">
        <f>EXP(-LN(2)/25)*AA37+(1-EXP(-LN(2)/25))/(LN(2)/25)*Calculateur!V38*Calculateur!X38*VLOOKUP('Données projet'!$B$9,Paramètres!$A$1:$I$89,3,0)*0.475*44/12</f>
        <v>17.828010246782004</v>
      </c>
      <c r="AB38" s="21">
        <f>EXP(-LN(2)/2)*AB37+(1-EXP(-LN(2)/2))/(LN(2)/2)*V38*Y38*VLOOKUP('Données projet'!$B$9,Paramètres!$A$1:$I$89,3,0)*0.475*44/12</f>
        <v>2.3190787173303908</v>
      </c>
      <c r="AC38" s="22">
        <f t="shared" si="3"/>
        <v>45.164399022338678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15.48351648351648</v>
      </c>
      <c r="AI38" s="13">
        <f>IF('Données projet'!$A$62&gt;35,AI37+AH38-AQ37,IF(A38&lt;'Données projet'!$A$62,$AF$205^A38,IF(A38='Données projet'!$A$62,'Données projet'!$B$62,AI37+AH38-AQ37)))</f>
        <v>237.20219780219779</v>
      </c>
      <c r="AJ38" s="13">
        <f>AI38*VLOOKUP('Données projet'!$B$10,Paramètres!$A$1:$I$89,3,0)*VLOOKUP('Données projet'!$B$10,Paramètres!$A$1:$I$89,5,0)</f>
        <v>141.84691428571429</v>
      </c>
      <c r="AK38" s="13">
        <f t="shared" si="35"/>
        <v>36.719784353381193</v>
      </c>
      <c r="AL38" s="20">
        <f t="shared" si="4"/>
        <v>311.00366679642457</v>
      </c>
      <c r="AM38" s="59">
        <f t="shared" si="5"/>
        <v>604.33700012975783</v>
      </c>
      <c r="AN38" s="59">
        <f ca="1">AVERAGE(OFFSET($AM$3,0,0,'Données projet'!$E$10+1,1))-AVERAGE(OFFSET($H$3,0,0,'Données projet'!$E$10+1,1))</f>
        <v>277.11749933885778</v>
      </c>
      <c r="AO38" s="59">
        <f t="shared" si="36"/>
        <v>244.4970554728738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20.766968424578057</v>
      </c>
      <c r="AV38" s="21">
        <f>EXP(-LN(2)/25)*AV37+(1-EXP(-LN(2)/25))/(LN(2)/25)*Calculateur!AQ38*Calculateur!AS38*VLOOKUP('Données projet'!$B$10,Paramètres!$A$1:$I$89,3,0)*0.475*44/12</f>
        <v>10.631640094274999</v>
      </c>
      <c r="AW38" s="21">
        <f>EXP(-LN(2)/2)*AW37+(1-EXP(-LN(2)/2))/(LN(2)/2)*AQ38*AT38*VLOOKUP('Données projet'!$B$10,Paramètres!$A$1:$I$89,3,0)*0.475*44/12</f>
        <v>1.0166646088381996</v>
      </c>
      <c r="AX38" s="21">
        <f t="shared" si="6"/>
        <v>32.415273127691258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20.123999999999999</v>
      </c>
      <c r="D39" s="11">
        <f t="shared" si="32"/>
        <v>6.539040511923969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205.81996184643063</v>
      </c>
      <c r="H39" s="67">
        <f t="shared" si="1"/>
        <v>339.77146222493423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18.055769230769229</v>
      </c>
      <c r="N39" s="13">
        <f>IF('Données projet'!$A$36&gt;35,N38+M39-V38,IF(A39&lt;'Données projet'!$A$36,$K$205^A39,IF(A39='Données projet'!$A$36,'Données projet'!$B$36,N38+M39-V38)))</f>
        <v>326.49230769230769</v>
      </c>
      <c r="O39" s="13">
        <f>N39*VLOOKUP('Données projet'!$B$9,Paramètres!$A$1:$I$89,3,0)*VLOOKUP('Données projet'!$B$9,Paramètres!$A$1:$I$89,5,0)</f>
        <v>195.2424</v>
      </c>
      <c r="P39" s="13">
        <f t="shared" si="33"/>
        <v>48.697130705157392</v>
      </c>
      <c r="Q39" s="20">
        <f t="shared" si="53"/>
        <v>424.8613493114824</v>
      </c>
      <c r="R39" s="59">
        <f t="shared" si="0"/>
        <v>718.19468264481566</v>
      </c>
      <c r="S39" s="59">
        <f ca="1">AVERAGE(OFFSET($R$3,0,0,'Données projet'!$E$9+1,1))-AVERAGE(OFFSET($H$3,0,0,'Données projet'!$E$9+1,1))</f>
        <v>260.31965507630525</v>
      </c>
      <c r="T39" s="59">
        <f t="shared" si="34"/>
        <v>327.31114099338032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24.526735867036898</v>
      </c>
      <c r="AA39" s="21">
        <f>EXP(-LN(2)/25)*AA38+(1-EXP(-LN(2)/25))/(LN(2)/25)*Calculateur!V39*Calculateur!X39*VLOOKUP('Données projet'!$B$9,Paramètres!$A$1:$I$89,3,0)*0.475*44/12</f>
        <v>17.340502369049439</v>
      </c>
      <c r="AB39" s="21">
        <f>EXP(-LN(2)/2)*AB38+(1-EXP(-LN(2)/2))/(LN(2)/2)*V39*Y39*VLOOKUP('Données projet'!$B$9,Paramètres!$A$1:$I$89,3,0)*0.475*44/12</f>
        <v>1.6398362871297201</v>
      </c>
      <c r="AC39" s="22">
        <f t="shared" si="3"/>
        <v>43.507074523216055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15.48351648351648</v>
      </c>
      <c r="AI39" s="13">
        <f>IF('Données projet'!$A$62&gt;35,AI38+AH39-AQ38,IF(A39&lt;'Données projet'!$A$62,$AF$205^A39,IF(A39='Données projet'!$A$62,'Données projet'!$B$62,AI38+AH39-AQ38)))</f>
        <v>252.68571428571425</v>
      </c>
      <c r="AJ39" s="13">
        <f>AI39*VLOOKUP('Données projet'!$B$10,Paramètres!$A$1:$I$89,3,0)*VLOOKUP('Données projet'!$B$10,Paramètres!$A$1:$I$89,5,0)</f>
        <v>151.10605714285714</v>
      </c>
      <c r="AK39" s="13">
        <f t="shared" si="35"/>
        <v>38.829833501111224</v>
      </c>
      <c r="AL39" s="20">
        <f t="shared" si="4"/>
        <v>330.80500953824486</v>
      </c>
      <c r="AM39" s="59">
        <f t="shared" si="5"/>
        <v>624.13834287157817</v>
      </c>
      <c r="AN39" s="59">
        <f ca="1">AVERAGE(OFFSET($AM$3,0,0,'Données projet'!$E$10+1,1))-AVERAGE(OFFSET($H$3,0,0,'Données projet'!$E$10+1,1))</f>
        <v>277.11749933885778</v>
      </c>
      <c r="AO39" s="59">
        <f t="shared" si="36"/>
        <v>244.4970554728738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20.359740840372098</v>
      </c>
      <c r="AV39" s="21">
        <f>EXP(-LN(2)/25)*AV38+(1-EXP(-LN(2)/25))/(LN(2)/25)*Calculateur!AQ39*Calculateur!AS39*VLOOKUP('Données projet'!$B$10,Paramètres!$A$1:$I$89,3,0)*0.475*44/12</f>
        <v>10.340917336803395</v>
      </c>
      <c r="AW39" s="21">
        <f>EXP(-LN(2)/2)*AW38+(1-EXP(-LN(2)/2))/(LN(2)/2)*AQ39*AT39*VLOOKUP('Données projet'!$B$10,Paramètres!$A$1:$I$89,3,0)*0.475*44/12</f>
        <v>0.71889043910185979</v>
      </c>
      <c r="AX39" s="21">
        <f t="shared" si="6"/>
        <v>31.41954861627735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</v>
      </c>
      <c r="D40" s="11">
        <f t="shared" si="32"/>
        <v>6.6992808015544387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211.37199215235009</v>
      </c>
      <c r="H40" s="67">
        <f t="shared" si="1"/>
        <v>341.02413906270726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18.055769230769229</v>
      </c>
      <c r="N40" s="13">
        <f>IF('Données projet'!$A$36&gt;35,N39+M40-V39,IF(A40&lt;'Données projet'!$A$36,$K$205^A40,IF(A40='Données projet'!$A$36,'Données projet'!$B$36,N39+M40-V39)))</f>
        <v>344.54807692307691</v>
      </c>
      <c r="O40" s="13">
        <f>N40*VLOOKUP('Données projet'!$B$9,Paramètres!$A$1:$I$89,3,0)*VLOOKUP('Données projet'!$B$9,Paramètres!$A$1:$I$89,5,0)</f>
        <v>206.03975</v>
      </c>
      <c r="P40" s="13">
        <f t="shared" si="33"/>
        <v>51.069214862008621</v>
      </c>
      <c r="Q40" s="20">
        <f t="shared" si="53"/>
        <v>447.79811380133168</v>
      </c>
      <c r="R40" s="59">
        <f t="shared" si="0"/>
        <v>741.131447134665</v>
      </c>
      <c r="S40" s="59">
        <f ca="1">AVERAGE(OFFSET($R$3,0,0,'Données projet'!$E$9+1,1))-AVERAGE(OFFSET($H$3,0,0,'Données projet'!$E$9+1,1))</f>
        <v>260.31965507630525</v>
      </c>
      <c r="T40" s="59">
        <f t="shared" si="34"/>
        <v>327.31114099338032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24.045781536516021</v>
      </c>
      <c r="AA40" s="21">
        <f>EXP(-LN(2)/25)*AA39+(1-EXP(-LN(2)/25))/(LN(2)/25)*Calculateur!V40*Calculateur!X40*VLOOKUP('Données projet'!$B$9,Paramètres!$A$1:$I$89,3,0)*0.475*44/12</f>
        <v>16.866325419870396</v>
      </c>
      <c r="AB40" s="21">
        <f>EXP(-LN(2)/2)*AB39+(1-EXP(-LN(2)/2))/(LN(2)/2)*V40*Y40*VLOOKUP('Données projet'!$B$9,Paramètres!$A$1:$I$89,3,0)*0.475*44/12</f>
        <v>1.1595393586651956</v>
      </c>
      <c r="AC40" s="22">
        <f t="shared" si="3"/>
        <v>42.071646315051609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>
        <f>VLOOKUP(A40,'Données projet'!$A$61:$I$81,2,0)</f>
        <v>268.16923076923075</v>
      </c>
      <c r="AG40" s="12">
        <f>VLOOKUP(A40,'Données projet'!$A$61:$I$81,9,0)</f>
        <v>15.48351648351648</v>
      </c>
      <c r="AH40" s="12">
        <f t="array" ref="AH40">INDEX(AG:AG,MIN(IF(ISNUMBER(AG40:AG236),ROW(AG40:AG236),"")))</f>
        <v>15.48351648351648</v>
      </c>
      <c r="AI40" s="13">
        <f>IF('Données projet'!$A$62&gt;35,AI39+AH40-AQ39,IF(A40&lt;'Données projet'!$A$62,$AF$205^A40,IF(A40='Données projet'!$A$62,'Données projet'!$B$62,AI39+AH40-AQ39)))</f>
        <v>268.16923076923075</v>
      </c>
      <c r="AJ40" s="13">
        <f>AI40*VLOOKUP('Données projet'!$B$10,Paramètres!$A$1:$I$89,3,0)*VLOOKUP('Données projet'!$B$10,Paramètres!$A$1:$I$89,5,0)</f>
        <v>160.36520000000002</v>
      </c>
      <c r="AK40" s="13">
        <f t="shared" si="35"/>
        <v>40.924876352970031</v>
      </c>
      <c r="AL40" s="20">
        <f t="shared" si="4"/>
        <v>350.58021631475617</v>
      </c>
      <c r="AM40" s="59">
        <f t="shared" si="5"/>
        <v>643.91354964808943</v>
      </c>
      <c r="AN40" s="59">
        <f ca="1">AVERAGE(OFFSET($AM$3,0,0,'Données projet'!$E$10+1,1))-AVERAGE(OFFSET($H$3,0,0,'Données projet'!$E$10+1,1))</f>
        <v>277.11749933885778</v>
      </c>
      <c r="AO40" s="59">
        <f t="shared" si="36"/>
        <v>244.4970554728738</v>
      </c>
      <c r="AP40" s="15">
        <f>IF(ISNA(VLOOKUP(A40,'Données projet'!$A$61:$I$81,3,0)),0,VLOOKUP(A40,'Données projet'!$A$61:$I$81,3,0))</f>
        <v>4</v>
      </c>
      <c r="AQ40" s="15">
        <f>IF(ISNA(VLOOKUP(A40,'Données projet'!$A$61:$I$81,4,0)),0,VLOOKUP(A40,'Données projet'!$A$61:$I$81,4,0))</f>
        <v>43.623076923076923</v>
      </c>
      <c r="AR40" s="16">
        <f>IF(ISNA(VLOOKUP(A40,'Données projet'!$A$61:$I$81,5,0)),0%,VLOOKUP(A40,'Données projet'!$A$61:$I$81,5,0)*VLOOKUP('Données projet'!$B$10,Paramètres!$A$1:$I$89,7,0))</f>
        <v>0.315</v>
      </c>
      <c r="AS40" s="16">
        <f>IF(ISNA(VLOOKUP(A40,'Données projet'!$A$61:$I$81,6,0)),0%,VLOOKUP(A40,'Données projet'!$A$61:$I$81,6,0)*VLOOKUP('Données projet'!$B$10,Paramètres!$A$1:$I$89,7,0))</f>
        <v>7.5600000000000001E-2</v>
      </c>
      <c r="AT40" s="16">
        <f>IF(ISNA(VLOOKUP(A40,'Données projet'!$A$61:$I$81,7,0)),0%,VLOOKUP(A40,'Données projet'!$A$61:$I$81,7,0))</f>
        <v>0.13200000000000001</v>
      </c>
      <c r="AU40" s="21">
        <f>EXP(-LN(2)/35)*AU39+(1-EXP(-LN(2)/35))/(LN(2)/35)*AQ40*AR40*VLOOKUP('Données projet'!$B$10,Paramètres!$A$1:$I$89,3,0)*0.475*44/12</f>
        <v>30.861248982537887</v>
      </c>
      <c r="AV40" s="21">
        <f>EXP(-LN(2)/25)*AV39+(1-EXP(-LN(2)/25))/(LN(2)/25)*Calculateur!AQ40*Calculateur!AS40*VLOOKUP('Données projet'!$B$10,Paramètres!$A$1:$I$89,3,0)*0.475*44/12</f>
        <v>12.664023568731189</v>
      </c>
      <c r="AW40" s="21">
        <f>EXP(-LN(2)/2)*AW39+(1-EXP(-LN(2)/2))/(LN(2)/2)*AQ40*AT40*VLOOKUP('Données projet'!$B$10,Paramètres!$A$1:$I$89,3,0)*0.475*44/12</f>
        <v>4.4070963233694158</v>
      </c>
      <c r="AX40" s="21">
        <f t="shared" si="6"/>
        <v>47.932368874638492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21.242000000000001</v>
      </c>
      <c r="D41" s="11">
        <f t="shared" si="32"/>
        <v>6.859017711252279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216.92013671843867</v>
      </c>
      <c r="H41" s="67">
        <f t="shared" si="1"/>
        <v>342.27593918043101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18.055769230769229</v>
      </c>
      <c r="N41" s="13">
        <f>IF('Données projet'!$A$36&gt;35,N40+M41-V40,IF(A41&lt;'Données projet'!$A$36,$K$205^A41,IF(A41='Données projet'!$A$36,'Données projet'!$B$36,N40+M41-V40)))</f>
        <v>362.60384615384612</v>
      </c>
      <c r="O41" s="13">
        <f>N41*VLOOKUP('Données projet'!$B$9,Paramètres!$A$1:$I$89,3,0)*VLOOKUP('Données projet'!$B$9,Paramètres!$A$1:$I$89,5,0)</f>
        <v>216.83710000000002</v>
      </c>
      <c r="P41" s="13">
        <f t="shared" si="33"/>
        <v>53.426866729052094</v>
      </c>
      <c r="Q41" s="20">
        <f t="shared" si="53"/>
        <v>470.70974205309909</v>
      </c>
      <c r="R41" s="59">
        <f t="shared" si="0"/>
        <v>764.04307538643241</v>
      </c>
      <c r="S41" s="59">
        <f ca="1">AVERAGE(OFFSET($R$3,0,0,'Données projet'!$E$9+1,1))-AVERAGE(OFFSET($H$3,0,0,'Données projet'!$E$9+1,1))</f>
        <v>260.31965507630525</v>
      </c>
      <c r="T41" s="59">
        <f t="shared" si="34"/>
        <v>327.31114099338032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23.574258427063484</v>
      </c>
      <c r="AA41" s="21">
        <f>EXP(-LN(2)/25)*AA40+(1-EXP(-LN(2)/25))/(LN(2)/25)*Calculateur!V41*Calculateur!X41*VLOOKUP('Données projet'!$B$9,Paramètres!$A$1:$I$89,3,0)*0.475*44/12</f>
        <v>16.405114864302536</v>
      </c>
      <c r="AB41" s="21">
        <f>EXP(-LN(2)/2)*AB40+(1-EXP(-LN(2)/2))/(LN(2)/2)*V41*Y41*VLOOKUP('Données projet'!$B$9,Paramètres!$A$1:$I$89,3,0)*0.475*44/12</f>
        <v>0.81991814356486015</v>
      </c>
      <c r="AC41" s="22">
        <f t="shared" si="3"/>
        <v>40.799291434930879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15.364102564102561</v>
      </c>
      <c r="AI41" s="13">
        <f>IF('Données projet'!$A$62&gt;35,AI40+AH41-AQ40,IF(A41&lt;'Données projet'!$A$62,$AF$205^A41,IF(A41='Données projet'!$A$62,'Données projet'!$B$62,AI40+AH41-AQ40)))</f>
        <v>239.91025641025638</v>
      </c>
      <c r="AJ41" s="13">
        <f>AI41*VLOOKUP('Données projet'!$B$10,Paramètres!$A$1:$I$89,3,0)*VLOOKUP('Données projet'!$B$10,Paramètres!$A$1:$I$89,5,0)</f>
        <v>143.46633333333332</v>
      </c>
      <c r="AK41" s="13">
        <f t="shared" si="35"/>
        <v>37.089959908428597</v>
      </c>
      <c r="AL41" s="20">
        <f t="shared" si="4"/>
        <v>314.46887739606865</v>
      </c>
      <c r="AM41" s="59">
        <f t="shared" si="5"/>
        <v>607.80221072940196</v>
      </c>
      <c r="AN41" s="59">
        <f ca="1">AVERAGE(OFFSET($AM$3,0,0,'Données projet'!$E$10+1,1))-AVERAGE(OFFSET($H$3,0,0,'Données projet'!$E$10+1,1))</f>
        <v>277.11749933885778</v>
      </c>
      <c r="AO41" s="59">
        <f t="shared" si="36"/>
        <v>244.4970554728738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30.256078713493533</v>
      </c>
      <c r="AV41" s="21">
        <f>EXP(-LN(2)/25)*AV40+(1-EXP(-LN(2)/25))/(LN(2)/25)*Calculateur!AQ41*Calculateur!AS41*VLOOKUP('Données projet'!$B$10,Paramètres!$A$1:$I$89,3,0)*0.475*44/12</f>
        <v>12.317725178272179</v>
      </c>
      <c r="AW41" s="21">
        <f>EXP(-LN(2)/2)*AW40+(1-EXP(-LN(2)/2))/(LN(2)/2)*AQ41*AT41*VLOOKUP('Données projet'!$B$10,Paramètres!$A$1:$I$89,3,0)*0.475*44/12</f>
        <v>3.116287695596816</v>
      </c>
      <c r="AX41" s="21">
        <f t="shared" si="6"/>
        <v>45.690091587362531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21.801000000000002</v>
      </c>
      <c r="D42" s="11">
        <f t="shared" si="32"/>
        <v>7.0182660106137922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222.46450955561525</v>
      </c>
      <c r="H42" s="67">
        <f t="shared" si="1"/>
        <v>343.52688830181899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18.055769230769229</v>
      </c>
      <c r="N42" s="13">
        <f>IF('Données projet'!$A$36&gt;35,N41+M42-V41,IF(A42&lt;'Données projet'!$A$36,$K$205^A42,IF(A42='Données projet'!$A$36,'Données projet'!$B$36,N41+M42-V41)))</f>
        <v>380.65961538461534</v>
      </c>
      <c r="O42" s="13">
        <f>N42*VLOOKUP('Données projet'!$B$9,Paramètres!$A$1:$I$89,3,0)*VLOOKUP('Données projet'!$B$9,Paramètres!$A$1:$I$89,5,0)</f>
        <v>227.63444999999999</v>
      </c>
      <c r="P42" s="13">
        <f t="shared" si="33"/>
        <v>55.770886966725193</v>
      </c>
      <c r="Q42" s="20">
        <f t="shared" si="53"/>
        <v>493.59762855037974</v>
      </c>
      <c r="R42" s="59">
        <f t="shared" si="0"/>
        <v>786.93096188371305</v>
      </c>
      <c r="S42" s="59">
        <f ca="1">AVERAGE(OFFSET($R$3,0,0,'Données projet'!$E$9+1,1))-AVERAGE(OFFSET($H$3,0,0,'Données projet'!$E$9+1,1))</f>
        <v>260.31965507630525</v>
      </c>
      <c r="T42" s="59">
        <f t="shared" si="34"/>
        <v>327.31114099338032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23.111981598186613</v>
      </c>
      <c r="AA42" s="21">
        <f>EXP(-LN(2)/25)*AA41+(1-EXP(-LN(2)/25))/(LN(2)/25)*Calculateur!V42*Calculateur!X42*VLOOKUP('Données projet'!$B$9,Paramètres!$A$1:$I$89,3,0)*0.475*44/12</f>
        <v>15.956516135630688</v>
      </c>
      <c r="AB42" s="21">
        <f>EXP(-LN(2)/2)*AB41+(1-EXP(-LN(2)/2))/(LN(2)/2)*V42*Y42*VLOOKUP('Données projet'!$B$9,Paramètres!$A$1:$I$89,3,0)*0.475*44/12</f>
        <v>0.57976967933259782</v>
      </c>
      <c r="AC42" s="22">
        <f t="shared" si="3"/>
        <v>39.648267413149902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15.364102564102561</v>
      </c>
      <c r="AI42" s="13">
        <f>IF('Données projet'!$A$62&gt;35,AI41+AH42-AQ41,IF(A42&lt;'Données projet'!$A$62,$AF$205^A42,IF(A42='Données projet'!$A$62,'Données projet'!$B$62,AI41+AH42-AQ41)))</f>
        <v>255.27435897435893</v>
      </c>
      <c r="AJ42" s="13">
        <f>AI42*VLOOKUP('Données projet'!$B$10,Paramètres!$A$1:$I$89,3,0)*VLOOKUP('Données projet'!$B$10,Paramètres!$A$1:$I$89,5,0)</f>
        <v>152.65406666666664</v>
      </c>
      <c r="AK42" s="13">
        <f t="shared" si="35"/>
        <v>39.18111473980327</v>
      </c>
      <c r="AL42" s="20">
        <f t="shared" si="4"/>
        <v>334.11294094960175</v>
      </c>
      <c r="AM42" s="59">
        <f t="shared" si="5"/>
        <v>627.44627428293506</v>
      </c>
      <c r="AN42" s="59">
        <f ca="1">AVERAGE(OFFSET($AM$3,0,0,'Données projet'!$E$10+1,1))-AVERAGE(OFFSET($H$3,0,0,'Données projet'!$E$10+1,1))</f>
        <v>277.11749933885778</v>
      </c>
      <c r="AO42" s="59">
        <f t="shared" si="36"/>
        <v>244.4970554728738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29.662775464307721</v>
      </c>
      <c r="AV42" s="21">
        <f>EXP(-LN(2)/25)*AV41+(1-EXP(-LN(2)/25))/(LN(2)/25)*Calculateur!AQ42*Calculateur!AS42*VLOOKUP('Données projet'!$B$10,Paramètres!$A$1:$I$89,3,0)*0.475*44/12</f>
        <v>11.980896335511311</v>
      </c>
      <c r="AW42" s="21">
        <f>EXP(-LN(2)/2)*AW41+(1-EXP(-LN(2)/2))/(LN(2)/2)*AQ42*AT42*VLOOKUP('Données projet'!$B$10,Paramètres!$A$1:$I$89,3,0)*0.475*44/12</f>
        <v>2.2035481616847084</v>
      </c>
      <c r="AX42" s="21">
        <f t="shared" si="6"/>
        <v>43.84721996150374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22.360000000000003</v>
      </c>
      <c r="D43" s="11">
        <f t="shared" si="32"/>
        <v>7.1770396686687832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228.00521849498713</v>
      </c>
      <c r="H43" s="67">
        <f t="shared" si="1"/>
        <v>344.77701075626476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398.71538461538461</v>
      </c>
      <c r="L43" s="12">
        <f>VLOOKUP(A43,'Données projet'!$A$35:$I$55,9,0)</f>
        <v>18.055769230769229</v>
      </c>
      <c r="M43" s="12">
        <f t="array" ref="M43">INDEX(L:L,MIN(IF(ISNUMBER(L43:L239),ROW(L43:L239),"")))</f>
        <v>18.055769230769229</v>
      </c>
      <c r="N43" s="13">
        <f>IF('Données projet'!$A$36&gt;35,N42+M43-V42,IF(A43&lt;'Données projet'!$A$36,$K$205^A43,IF(A43='Données projet'!$A$36,'Données projet'!$B$36,N42+M43-V42)))</f>
        <v>398.71538461538455</v>
      </c>
      <c r="O43" s="13">
        <f>N43*VLOOKUP('Données projet'!$B$9,Paramètres!$A$1:$I$89,3,0)*VLOOKUP('Données projet'!$B$9,Paramètres!$A$1:$I$89,5,0)</f>
        <v>238.43179999999998</v>
      </c>
      <c r="P43" s="13">
        <f t="shared" si="33"/>
        <v>58.101995988242535</v>
      </c>
      <c r="Q43" s="20">
        <f t="shared" si="53"/>
        <v>516.46302801285572</v>
      </c>
      <c r="R43" s="59">
        <f t="shared" si="0"/>
        <v>809.79636134618909</v>
      </c>
      <c r="S43" s="59">
        <f ca="1">AVERAGE(OFFSET($R$3,0,0,'Données projet'!$E$9+1,1))-AVERAGE(OFFSET($H$3,0,0,'Données projet'!$E$9+1,1))</f>
        <v>260.31965507630525</v>
      </c>
      <c r="T43" s="59">
        <f t="shared" si="34"/>
        <v>327.31114099338032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92.661538461538456</v>
      </c>
      <c r="W43" s="16">
        <f>IF(ISNA(VLOOKUP(A43,'Données projet'!$A$35:$I$55,5,0)),0%,VLOOKUP(A43,'Données projet'!$A$35:$I$55,5,0)*VLOOKUP('Données projet'!$B$9,Paramètres!$A$1:$I$89,7,0))</f>
        <v>0.315</v>
      </c>
      <c r="X43" s="16">
        <f>IF(ISNA(VLOOKUP(A43,'Données projet'!$A$35:$I$55,6,0)),0%,VLOOKUP(A43,'Données projet'!$A$35:$I$55,6,0)*VLOOKUP('Données projet'!$B$9,Paramètres!$A$1:$I$89,7,0))</f>
        <v>7.5600000000000001E-2</v>
      </c>
      <c r="Y43" s="16">
        <f>IF(ISNA(VLOOKUP(A43,'Données projet'!$A$35:$I$55,7,0)),0%,VLOOKUP(A43,'Données projet'!$A$35:$I$55,7,0))</f>
        <v>0.13200000000000001</v>
      </c>
      <c r="Z43" s="21">
        <f>EXP(-LN(2)/35)*Z42+(1-EXP(-LN(2)/35))/(LN(2)/35)*V43*W43*VLOOKUP('Données projet'!$B$9,Paramètres!$A$1:$I$89,3,0)*0.475*44/12</f>
        <v>45.813493314358581</v>
      </c>
      <c r="AA43" s="21">
        <f>EXP(-LN(2)/25)*AA42+(1-EXP(-LN(2)/25))/(LN(2)/25)*Calculateur!V43*Calculateur!X43*VLOOKUP('Données projet'!$B$9,Paramètres!$A$1:$I$89,3,0)*0.475*44/12</f>
        <v>21.055437468951411</v>
      </c>
      <c r="AB43" s="21">
        <f>EXP(-LN(2)/2)*AB42+(1-EXP(-LN(2)/2))/(LN(2)/2)*V43*Y43*VLOOKUP('Données projet'!$B$9,Paramètres!$A$1:$I$89,3,0)*0.475*44/12</f>
        <v>8.6914810912279421</v>
      </c>
      <c r="AC43" s="22">
        <f t="shared" si="3"/>
        <v>75.560411874537934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15.364102564102561</v>
      </c>
      <c r="AI43" s="13">
        <f>IF('Données projet'!$A$62&gt;35,AI42+AH43-AQ42,IF(A43&lt;'Données projet'!$A$62,$AF$205^A43,IF(A43='Données projet'!$A$62,'Données projet'!$B$62,AI42+AH43-AQ42)))</f>
        <v>270.63846153846151</v>
      </c>
      <c r="AJ43" s="13">
        <f>AI43*VLOOKUP('Données projet'!$B$10,Paramètres!$A$1:$I$89,3,0)*VLOOKUP('Données projet'!$B$10,Paramètres!$A$1:$I$89,5,0)</f>
        <v>161.84180000000001</v>
      </c>
      <c r="AK43" s="13">
        <f t="shared" si="35"/>
        <v>41.257661408086413</v>
      </c>
      <c r="AL43" s="20">
        <f t="shared" si="4"/>
        <v>353.73156195241717</v>
      </c>
      <c r="AM43" s="59">
        <f t="shared" si="5"/>
        <v>647.06489528575048</v>
      </c>
      <c r="AN43" s="59">
        <f ca="1">AVERAGE(OFFSET($AM$3,0,0,'Données projet'!$E$10+1,1))-AVERAGE(OFFSET($H$3,0,0,'Données projet'!$E$10+1,1))</f>
        <v>277.11749933885778</v>
      </c>
      <c r="AO43" s="59">
        <f t="shared" si="36"/>
        <v>244.4970554728738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29.081106529959193</v>
      </c>
      <c r="AV43" s="21">
        <f>EXP(-LN(2)/25)*AV42+(1-EXP(-LN(2)/25))/(LN(2)/25)*Calculateur!AQ43*Calculateur!AS43*VLOOKUP('Données projet'!$B$10,Paramètres!$A$1:$I$89,3,0)*0.475*44/12</f>
        <v>11.653278095168798</v>
      </c>
      <c r="AW43" s="21">
        <f>EXP(-LN(2)/2)*AW42+(1-EXP(-LN(2)/2))/(LN(2)/2)*AQ43*AT43*VLOOKUP('Données projet'!$B$10,Paramètres!$A$1:$I$89,3,0)*0.475*44/12</f>
        <v>1.5581438477984082</v>
      </c>
      <c r="AX43" s="21">
        <f t="shared" si="6"/>
        <v>42.292528472926392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22.919000000000004</v>
      </c>
      <c r="D44" s="11">
        <f t="shared" si="32"/>
        <v>7.3353519161881984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233.54236566882119</v>
      </c>
      <c r="H44" s="67">
        <f t="shared" si="1"/>
        <v>346.02632958736109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15.21153846153846</v>
      </c>
      <c r="N44" s="13">
        <f>IF('Données projet'!$A$36&gt;35,N43+M44-V43,IF(A44&lt;'Données projet'!$A$36,$K$205^A44,IF(A44='Données projet'!$A$36,'Données projet'!$B$36,N43+M44-V43)))</f>
        <v>321.26538461538456</v>
      </c>
      <c r="O44" s="13">
        <f>N44*VLOOKUP('Données projet'!$B$9,Paramètres!$A$1:$I$89,3,0)*VLOOKUP('Données projet'!$B$9,Paramètres!$A$1:$I$89,5,0)</f>
        <v>192.11670000000001</v>
      </c>
      <c r="P44" s="13">
        <f t="shared" si="33"/>
        <v>48.007622995174927</v>
      </c>
      <c r="Q44" s="20">
        <f t="shared" si="53"/>
        <v>418.21652921659637</v>
      </c>
      <c r="R44" s="59">
        <f t="shared" si="0"/>
        <v>711.54986254992968</v>
      </c>
      <c r="S44" s="59">
        <f ca="1">AVERAGE(OFFSET($R$3,0,0,'Données projet'!$E$9+1,1))-AVERAGE(OFFSET($H$3,0,0,'Données projet'!$E$9+1,1))</f>
        <v>260.31965507630525</v>
      </c>
      <c r="T44" s="59">
        <f t="shared" si="34"/>
        <v>327.31114099338032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44.915118653935743</v>
      </c>
      <c r="AA44" s="21">
        <f>EXP(-LN(2)/25)*AA43+(1-EXP(-LN(2)/25))/(LN(2)/25)*Calculateur!V44*Calculateur!X44*VLOOKUP('Données projet'!$B$9,Paramètres!$A$1:$I$89,3,0)*0.475*44/12</f>
        <v>20.479675424105601</v>
      </c>
      <c r="AB44" s="21">
        <f>EXP(-LN(2)/2)*AB43+(1-EXP(-LN(2)/2))/(LN(2)/2)*V44*Y44*VLOOKUP('Données projet'!$B$9,Paramètres!$A$1:$I$89,3,0)*0.475*44/12</f>
        <v>6.1458052181619323</v>
      </c>
      <c r="AC44" s="22">
        <f t="shared" si="3"/>
        <v>71.540599296203283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15.364102564102561</v>
      </c>
      <c r="AI44" s="13">
        <f>IF('Données projet'!$A$62&gt;35,AI43+AH44-AQ43,IF(A44&lt;'Données projet'!$A$62,$AF$205^A44,IF(A44='Données projet'!$A$62,'Données projet'!$B$62,AI43+AH44-AQ43)))</f>
        <v>286.00256410256407</v>
      </c>
      <c r="AJ44" s="13">
        <f>AI44*VLOOKUP('Données projet'!$B$10,Paramètres!$A$1:$I$89,3,0)*VLOOKUP('Données projet'!$B$10,Paramètres!$A$1:$I$89,5,0)</f>
        <v>171.02953333333335</v>
      </c>
      <c r="AK44" s="13">
        <f t="shared" si="35"/>
        <v>43.320523714936215</v>
      </c>
      <c r="AL44" s="20">
        <f t="shared" si="4"/>
        <v>373.32634935906952</v>
      </c>
      <c r="AM44" s="59">
        <f t="shared" si="5"/>
        <v>666.65968269240284</v>
      </c>
      <c r="AN44" s="59">
        <f ca="1">AVERAGE(OFFSET($AM$3,0,0,'Données projet'!$E$10+1,1))-AVERAGE(OFFSET($H$3,0,0,'Données projet'!$E$10+1,1))</f>
        <v>277.11749933885778</v>
      </c>
      <c r="AO44" s="59">
        <f t="shared" si="36"/>
        <v>244.4970554728738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28.51084376863022</v>
      </c>
      <c r="AV44" s="21">
        <f>EXP(-LN(2)/25)*AV43+(1-EXP(-LN(2)/25))/(LN(2)/25)*Calculateur!AQ44*Calculateur!AS44*VLOOKUP('Données projet'!$B$10,Paramètres!$A$1:$I$89,3,0)*0.475*44/12</f>
        <v>11.334618592837145</v>
      </c>
      <c r="AW44" s="21">
        <f>EXP(-LN(2)/2)*AW43+(1-EXP(-LN(2)/2))/(LN(2)/2)*AQ44*AT44*VLOOKUP('Données projet'!$B$10,Paramètres!$A$1:$I$89,3,0)*0.475*44/12</f>
        <v>1.1017740808423544</v>
      </c>
      <c r="AX44" s="21">
        <f t="shared" si="6"/>
        <v>40.947236442309723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23.478000000000005</v>
      </c>
      <c r="D45" s="11">
        <f t="shared" si="32"/>
        <v>7.4932153017418228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239.07604794327025</v>
      </c>
      <c r="H45" s="67">
        <f t="shared" si="1"/>
        <v>347.27486665053368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15.21153846153846</v>
      </c>
      <c r="N45" s="13">
        <f>IF('Données projet'!$A$36&gt;35,N44+M45-V44,IF(A45&lt;'Données projet'!$A$36,$K$205^A45,IF(A45='Données projet'!$A$36,'Données projet'!$B$36,N44+M45-V44)))</f>
        <v>336.47692307692301</v>
      </c>
      <c r="O45" s="13">
        <f>N45*VLOOKUP('Données projet'!$B$9,Paramètres!$A$1:$I$89,3,0)*VLOOKUP('Données projet'!$B$9,Paramètres!$A$1:$I$89,5,0)</f>
        <v>201.2132</v>
      </c>
      <c r="P45" s="13">
        <f t="shared" si="33"/>
        <v>50.010698447793722</v>
      </c>
      <c r="Q45" s="20">
        <f t="shared" si="53"/>
        <v>437.54828979657401</v>
      </c>
      <c r="R45" s="59">
        <f t="shared" si="0"/>
        <v>730.88162312990733</v>
      </c>
      <c r="S45" s="59">
        <f ca="1">AVERAGE(OFFSET($R$3,0,0,'Données projet'!$E$9+1,1))-AVERAGE(OFFSET($H$3,0,0,'Données projet'!$E$9+1,1))</f>
        <v>260.31965507630525</v>
      </c>
      <c r="T45" s="59">
        <f t="shared" si="34"/>
        <v>327.31114099338032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44.034360572649362</v>
      </c>
      <c r="AA45" s="21">
        <f>EXP(-LN(2)/25)*AA44+(1-EXP(-LN(2)/25))/(LN(2)/25)*Calculateur!V45*Calculateur!X45*VLOOKUP('Données projet'!$B$9,Paramètres!$A$1:$I$89,3,0)*0.475*44/12</f>
        <v>19.91965762265411</v>
      </c>
      <c r="AB45" s="21">
        <f>EXP(-LN(2)/2)*AB44+(1-EXP(-LN(2)/2))/(LN(2)/2)*V45*Y45*VLOOKUP('Données projet'!$B$9,Paramètres!$A$1:$I$89,3,0)*0.475*44/12</f>
        <v>4.3457405456139719</v>
      </c>
      <c r="AC45" s="22">
        <f t="shared" si="3"/>
        <v>68.299758740917454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15.364102564102561</v>
      </c>
      <c r="AI45" s="13">
        <f>IF('Données projet'!$A$62&gt;35,AI44+AH45-AQ44,IF(A45&lt;'Données projet'!$A$62,$AF$205^A45,IF(A45='Données projet'!$A$62,'Données projet'!$B$62,AI44+AH45-AQ44)))</f>
        <v>301.36666666666662</v>
      </c>
      <c r="AJ45" s="13">
        <f>AI45*VLOOKUP('Données projet'!$B$10,Paramètres!$A$1:$I$89,3,0)*VLOOKUP('Données projet'!$B$10,Paramètres!$A$1:$I$89,5,0)</f>
        <v>180.21726666666666</v>
      </c>
      <c r="AK45" s="13">
        <f t="shared" si="35"/>
        <v>45.370520602809727</v>
      </c>
      <c r="AL45" s="20">
        <f t="shared" si="4"/>
        <v>392.89872949433806</v>
      </c>
      <c r="AM45" s="59">
        <f t="shared" si="5"/>
        <v>686.23206282767137</v>
      </c>
      <c r="AN45" s="59">
        <f ca="1">AVERAGE(OFFSET($AM$3,0,0,'Données projet'!$E$10+1,1))-AVERAGE(OFFSET($H$3,0,0,'Données projet'!$E$10+1,1))</f>
        <v>277.11749933885778</v>
      </c>
      <c r="AO45" s="59">
        <f t="shared" si="36"/>
        <v>244.4970554728738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27.951763512224971</v>
      </c>
      <c r="AV45" s="21">
        <f>EXP(-LN(2)/25)*AV44+(1-EXP(-LN(2)/25))/(LN(2)/25)*Calculateur!AQ45*Calculateur!AS45*VLOOKUP('Données projet'!$B$10,Paramètres!$A$1:$I$89,3,0)*0.475*44/12</f>
        <v>11.024672851354328</v>
      </c>
      <c r="AW45" s="21">
        <f>EXP(-LN(2)/2)*AW44+(1-EXP(-LN(2)/2))/(LN(2)/2)*AQ45*AT45*VLOOKUP('Données projet'!$B$10,Paramètres!$A$1:$I$89,3,0)*0.475*44/12</f>
        <v>0.77907192389920432</v>
      </c>
      <c r="AX45" s="21">
        <f t="shared" si="6"/>
        <v>39.755508287478499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24.037000000000006</v>
      </c>
      <c r="D46" s="11">
        <f t="shared" si="32"/>
        <v>7.6506417422667603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244.60635730872593</v>
      </c>
      <c r="H46" s="67">
        <f t="shared" si="1"/>
        <v>348.52264270111459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15.21153846153846</v>
      </c>
      <c r="N46" s="13">
        <f>IF('Données projet'!$A$36&gt;35,N45+M46-V45,IF(A46&lt;'Données projet'!$A$36,$K$205^A46,IF(A46='Données projet'!$A$36,'Données projet'!$B$36,N45+M46-V45)))</f>
        <v>351.68846153846147</v>
      </c>
      <c r="O46" s="13">
        <f>N46*VLOOKUP('Données projet'!$B$9,Paramètres!$A$1:$I$89,3,0)*VLOOKUP('Données projet'!$B$9,Paramètres!$A$1:$I$89,5,0)</f>
        <v>210.30969999999999</v>
      </c>
      <c r="P46" s="13">
        <f t="shared" si="33"/>
        <v>52.003257134609832</v>
      </c>
      <c r="Q46" s="20">
        <f t="shared" si="53"/>
        <v>456.86173367611201</v>
      </c>
      <c r="R46" s="59">
        <f t="shared" si="0"/>
        <v>750.19506700944532</v>
      </c>
      <c r="S46" s="59">
        <f ca="1">AVERAGE(OFFSET($R$3,0,0,'Données projet'!$E$9+1,1))-AVERAGE(OFFSET($H$3,0,0,'Données projet'!$E$9+1,1))</f>
        <v>260.31965507630525</v>
      </c>
      <c r="T46" s="59">
        <f t="shared" si="34"/>
        <v>327.31114099338032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43.170873620127622</v>
      </c>
      <c r="AA46" s="21">
        <f>EXP(-LN(2)/25)*AA45+(1-EXP(-LN(2)/25))/(LN(2)/25)*Calculateur!V46*Calculateur!X46*VLOOKUP('Données projet'!$B$9,Paramètres!$A$1:$I$89,3,0)*0.475*44/12</f>
        <v>19.374953537433367</v>
      </c>
      <c r="AB46" s="21">
        <f>EXP(-LN(2)/2)*AB45+(1-EXP(-LN(2)/2))/(LN(2)/2)*V46*Y46*VLOOKUP('Données projet'!$B$9,Paramètres!$A$1:$I$89,3,0)*0.475*44/12</f>
        <v>3.0729026090809666</v>
      </c>
      <c r="AC46" s="22">
        <f t="shared" si="3"/>
        <v>65.618729766641962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15.364102564102561</v>
      </c>
      <c r="AI46" s="13">
        <f>IF('Données projet'!$A$62&gt;35,AI45+AH46-AQ45,IF(A46&lt;'Données projet'!$A$62,$AF$205^A46,IF(A46='Données projet'!$A$62,'Données projet'!$B$62,AI45+AH46-AQ45)))</f>
        <v>316.73076923076917</v>
      </c>
      <c r="AJ46" s="13">
        <f>AI46*VLOOKUP('Données projet'!$B$10,Paramètres!$A$1:$I$89,3,0)*VLOOKUP('Données projet'!$B$10,Paramètres!$A$1:$I$89,5,0)</f>
        <v>189.405</v>
      </c>
      <c r="AK46" s="13">
        <f t="shared" si="35"/>
        <v>47.408382795872441</v>
      </c>
      <c r="AL46" s="20">
        <f t="shared" si="4"/>
        <v>412.44997503614445</v>
      </c>
      <c r="AM46" s="59">
        <f t="shared" si="5"/>
        <v>705.78330836947771</v>
      </c>
      <c r="AN46" s="59">
        <f ca="1">AVERAGE(OFFSET($AM$3,0,0,'Données projet'!$E$10+1,1))-AVERAGE(OFFSET($H$3,0,0,'Données projet'!$E$10+1,1))</f>
        <v>277.11749933885778</v>
      </c>
      <c r="AO46" s="59">
        <f t="shared" si="36"/>
        <v>244.4970554728738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27.403646478642543</v>
      </c>
      <c r="AV46" s="21">
        <f>EXP(-LN(2)/25)*AV45+(1-EXP(-LN(2)/25))/(LN(2)/25)*Calculateur!AQ46*Calculateur!AS46*VLOOKUP('Données projet'!$B$10,Paramètres!$A$1:$I$89,3,0)*0.475*44/12</f>
        <v>10.723202592471695</v>
      </c>
      <c r="AW46" s="21">
        <f>EXP(-LN(2)/2)*AW45+(1-EXP(-LN(2)/2))/(LN(2)/2)*AQ46*AT46*VLOOKUP('Données projet'!$B$10,Paramètres!$A$1:$I$89,3,0)*0.475*44/12</f>
        <v>0.55088704042117731</v>
      </c>
      <c r="AX46" s="21">
        <f t="shared" si="6"/>
        <v>38.677736111535417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24.596000000000007</v>
      </c>
      <c r="D47" s="11">
        <f t="shared" si="32"/>
        <v>7.8076425687993289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250.13338123283697</v>
      </c>
      <c r="H47" s="67">
        <f t="shared" si="1"/>
        <v>349.76967747399215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15.21153846153846</v>
      </c>
      <c r="N47" s="13">
        <f>IF('Données projet'!$A$36&gt;35,N46+M47-V46,IF(A47&lt;'Données projet'!$A$36,$K$205^A47,IF(A47='Données projet'!$A$36,'Données projet'!$B$36,N46+M47-V46)))</f>
        <v>366.89999999999992</v>
      </c>
      <c r="O47" s="13">
        <f>N47*VLOOKUP('Données projet'!$B$9,Paramètres!$A$1:$I$89,3,0)*VLOOKUP('Données projet'!$B$9,Paramètres!$A$1:$I$89,5,0)</f>
        <v>219.40619999999998</v>
      </c>
      <c r="P47" s="13">
        <f t="shared" si="33"/>
        <v>53.985805930473333</v>
      </c>
      <c r="Q47" s="20">
        <f t="shared" si="53"/>
        <v>476.15774366224099</v>
      </c>
      <c r="R47" s="59">
        <f t="shared" si="0"/>
        <v>769.4910769955743</v>
      </c>
      <c r="S47" s="59">
        <f ca="1">AVERAGE(OFFSET($R$3,0,0,'Données projet'!$E$9+1,1))-AVERAGE(OFFSET($H$3,0,0,'Données projet'!$E$9+1,1))</f>
        <v>260.31965507630525</v>
      </c>
      <c r="T47" s="59">
        <f t="shared" si="34"/>
        <v>327.31114099338032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42.324319120069795</v>
      </c>
      <c r="AA47" s="21">
        <f>EXP(-LN(2)/25)*AA46+(1-EXP(-LN(2)/25))/(LN(2)/25)*Calculateur!V47*Calculateur!X47*VLOOKUP('Données projet'!$B$9,Paramètres!$A$1:$I$89,3,0)*0.475*44/12</f>
        <v>18.845144414067725</v>
      </c>
      <c r="AB47" s="21">
        <f>EXP(-LN(2)/2)*AB46+(1-EXP(-LN(2)/2))/(LN(2)/2)*V47*Y47*VLOOKUP('Données projet'!$B$9,Paramètres!$A$1:$I$89,3,0)*0.475*44/12</f>
        <v>2.172870272806986</v>
      </c>
      <c r="AC47" s="22">
        <f t="shared" si="3"/>
        <v>63.342333806944509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15.364102564102561</v>
      </c>
      <c r="AI47" s="13">
        <f>IF('Données projet'!$A$62&gt;35,AI46+AH47-AQ46,IF(A47&lt;'Données projet'!$A$62,$AF$205^A47,IF(A47='Données projet'!$A$62,'Données projet'!$B$62,AI46+AH47-AQ46)))</f>
        <v>332.09487179487172</v>
      </c>
      <c r="AJ47" s="13">
        <f>AI47*VLOOKUP('Données projet'!$B$10,Paramètres!$A$1:$I$89,3,0)*VLOOKUP('Données projet'!$B$10,Paramètres!$A$1:$I$89,5,0)</f>
        <v>198.59273333333329</v>
      </c>
      <c r="AK47" s="13">
        <f t="shared" si="35"/>
        <v>49.434766120428968</v>
      </c>
      <c r="AL47" s="20">
        <f t="shared" si="4"/>
        <v>431.98122821530256</v>
      </c>
      <c r="AM47" s="59">
        <f t="shared" si="5"/>
        <v>725.31456154863588</v>
      </c>
      <c r="AN47" s="59">
        <f ca="1">AVERAGE(OFFSET($AM$3,0,0,'Données projet'!$E$10+1,1))-AVERAGE(OFFSET($H$3,0,0,'Données projet'!$E$10+1,1))</f>
        <v>277.11749933885778</v>
      </c>
      <c r="AO47" s="59">
        <f t="shared" si="36"/>
        <v>244.4970554728738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26.866277685770289</v>
      </c>
      <c r="AV47" s="21">
        <f>EXP(-LN(2)/25)*AV46+(1-EXP(-LN(2)/25))/(LN(2)/25)*Calculateur!AQ47*Calculateur!AS47*VLOOKUP('Données projet'!$B$10,Paramètres!$A$1:$I$89,3,0)*0.475*44/12</f>
        <v>10.42997605367184</v>
      </c>
      <c r="AW47" s="21">
        <f>EXP(-LN(2)/2)*AW46+(1-EXP(-LN(2)/2))/(LN(2)/2)*AQ47*AT47*VLOOKUP('Données projet'!$B$10,Paramètres!$A$1:$I$89,3,0)*0.475*44/12</f>
        <v>0.38953596194960222</v>
      </c>
      <c r="AX47" s="21">
        <f t="shared" si="6"/>
        <v>37.685789701391734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25.155000000000008</v>
      </c>
      <c r="D48" s="11">
        <f t="shared" si="32"/>
        <v>7.9642285679322873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255.65720298053</v>
      </c>
      <c r="H48" s="67">
        <f t="shared" si="1"/>
        <v>351.01598975581538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15.21153846153846</v>
      </c>
      <c r="N48" s="13">
        <f>IF('Données projet'!$A$36&gt;35,N47+M48-V47,IF(A48&lt;'Données projet'!$A$36,$K$205^A48,IF(A48='Données projet'!$A$36,'Données projet'!$B$36,N47+M48-V47)))</f>
        <v>382.11153846153837</v>
      </c>
      <c r="O48" s="13">
        <f>N48*VLOOKUP('Données projet'!$B$9,Paramètres!$A$1:$I$89,3,0)*VLOOKUP('Données projet'!$B$9,Paramètres!$A$1:$I$89,5,0)</f>
        <v>228.50269999999998</v>
      </c>
      <c r="P48" s="13">
        <f t="shared" si="33"/>
        <v>55.958807302542581</v>
      </c>
      <c r="Q48" s="20">
        <f t="shared" si="53"/>
        <v>495.43712521859487</v>
      </c>
      <c r="R48" s="59">
        <f t="shared" si="0"/>
        <v>788.77045855192819</v>
      </c>
      <c r="S48" s="59">
        <f ca="1">AVERAGE(OFFSET($R$3,0,0,'Données projet'!$E$9+1,1))-AVERAGE(OFFSET($H$3,0,0,'Données projet'!$E$9+1,1))</f>
        <v>260.31965507630525</v>
      </c>
      <c r="T48" s="59">
        <f t="shared" si="34"/>
        <v>327.31114099338032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41.494365037410844</v>
      </c>
      <c r="AA48" s="21">
        <f>EXP(-LN(2)/25)*AA47+(1-EXP(-LN(2)/25))/(LN(2)/25)*Calculateur!V48*Calculateur!X48*VLOOKUP('Données projet'!$B$9,Paramètres!$A$1:$I$89,3,0)*0.475*44/12</f>
        <v>18.329822949041969</v>
      </c>
      <c r="AB48" s="21">
        <f>EXP(-LN(2)/2)*AB47+(1-EXP(-LN(2)/2))/(LN(2)/2)*V48*Y48*VLOOKUP('Données projet'!$B$9,Paramètres!$A$1:$I$89,3,0)*0.475*44/12</f>
        <v>1.5364513045404833</v>
      </c>
      <c r="AC48" s="22">
        <f t="shared" si="3"/>
        <v>61.360639290993298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15.364102564102561</v>
      </c>
      <c r="AI48" s="13">
        <f>IF('Données projet'!$A$62&gt;35,AI47+AH48-AQ47,IF(A48&lt;'Données projet'!$A$62,$AF$205^A48,IF(A48='Données projet'!$A$62,'Données projet'!$B$62,AI47+AH48-AQ47)))</f>
        <v>347.45897435897427</v>
      </c>
      <c r="AJ48" s="13">
        <f>AI48*VLOOKUP('Données projet'!$B$10,Paramètres!$A$1:$I$89,3,0)*VLOOKUP('Données projet'!$B$10,Paramètres!$A$1:$I$89,5,0)</f>
        <v>207.78046666666665</v>
      </c>
      <c r="AK48" s="13">
        <f t="shared" si="35"/>
        <v>51.450262290579353</v>
      </c>
      <c r="AL48" s="20">
        <f t="shared" si="4"/>
        <v>451.49351960053679</v>
      </c>
      <c r="AM48" s="59">
        <f t="shared" si="5"/>
        <v>744.8268529338701</v>
      </c>
      <c r="AN48" s="59">
        <f ca="1">AVERAGE(OFFSET($AM$3,0,0,'Données projet'!$E$10+1,1))-AVERAGE(OFFSET($H$3,0,0,'Données projet'!$E$10+1,1))</f>
        <v>277.11749933885778</v>
      </c>
      <c r="AO48" s="59">
        <f t="shared" si="36"/>
        <v>244.4970554728738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26.33944636716366</v>
      </c>
      <c r="AV48" s="21">
        <f>EXP(-LN(2)/25)*AV47+(1-EXP(-LN(2)/25))/(LN(2)/25)*Calculateur!AQ48*Calculateur!AS48*VLOOKUP('Données projet'!$B$10,Paramètres!$A$1:$I$89,3,0)*0.475*44/12</f>
        <v>10.144767809995582</v>
      </c>
      <c r="AW48" s="21">
        <f>EXP(-LN(2)/2)*AW47+(1-EXP(-LN(2)/2))/(LN(2)/2)*AQ48*AT48*VLOOKUP('Données projet'!$B$10,Paramètres!$A$1:$I$89,3,0)*0.475*44/12</f>
        <v>0.27544352021058871</v>
      </c>
      <c r="AX48" s="21">
        <f t="shared" si="6"/>
        <v>36.759657697369832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25.714000000000009</v>
      </c>
      <c r="D49" s="11">
        <f t="shared" si="32"/>
        <v>8.1204100194831259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261.17790190478212</v>
      </c>
      <c r="H49" s="67">
        <f t="shared" si="1"/>
        <v>352.26159745059977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15.21153846153846</v>
      </c>
      <c r="N49" s="13">
        <f>IF('Données projet'!$A$36&gt;35,N48+M49-V48,IF(A49&lt;'Données projet'!$A$36,$K$205^A49,IF(A49='Données projet'!$A$36,'Données projet'!$B$36,N48+M49-V48)))</f>
        <v>397.32307692307683</v>
      </c>
      <c r="O49" s="13">
        <f>N49*VLOOKUP('Données projet'!$B$9,Paramètres!$A$1:$I$89,3,0)*VLOOKUP('Données projet'!$B$9,Paramètres!$A$1:$I$89,5,0)</f>
        <v>237.59919999999997</v>
      </c>
      <c r="P49" s="13">
        <f t="shared" si="33"/>
        <v>57.922684812819405</v>
      </c>
      <c r="Q49" s="20">
        <f t="shared" si="53"/>
        <v>514.70061604899377</v>
      </c>
      <c r="R49" s="59">
        <f t="shared" si="0"/>
        <v>808.03394938232714</v>
      </c>
      <c r="S49" s="59">
        <f ca="1">AVERAGE(OFFSET($R$3,0,0,'Données projet'!$E$9+1,1))-AVERAGE(OFFSET($H$3,0,0,'Données projet'!$E$9+1,1))</f>
        <v>260.31965507630525</v>
      </c>
      <c r="T49" s="59">
        <f t="shared" si="34"/>
        <v>327.31114099338032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40.680685848090825</v>
      </c>
      <c r="AA49" s="21">
        <f>EXP(-LN(2)/25)*AA48+(1-EXP(-LN(2)/25))/(LN(2)/25)*Calculateur!V49*Calculateur!X49*VLOOKUP('Données projet'!$B$9,Paramètres!$A$1:$I$89,3,0)*0.475*44/12</f>
        <v>17.828592976576921</v>
      </c>
      <c r="AB49" s="21">
        <f>EXP(-LN(2)/2)*AB48+(1-EXP(-LN(2)/2))/(LN(2)/2)*V49*Y49*VLOOKUP('Données projet'!$B$9,Paramètres!$A$1:$I$89,3,0)*0.475*44/12</f>
        <v>1.086435136403493</v>
      </c>
      <c r="AC49" s="22">
        <f t="shared" si="3"/>
        <v>59.59571396107124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>
        <f>VLOOKUP(A49,'Données projet'!$A$61:$I$81,2,0)</f>
        <v>362.82307692307688</v>
      </c>
      <c r="AG49" s="12">
        <f>VLOOKUP(A49,'Données projet'!$A$61:$I$81,9,0)</f>
        <v>15.364102564102561</v>
      </c>
      <c r="AH49" s="12">
        <f t="array" ref="AH49">INDEX(AG:AG,MIN(IF(ISNUMBER(AG49:AG245),ROW(AG49:AG245),"")))</f>
        <v>15.364102564102561</v>
      </c>
      <c r="AI49" s="13">
        <f>IF('Données projet'!$A$62&gt;35,AI48+AH49-AQ48,IF(A49&lt;'Données projet'!$A$62,$AF$205^A49,IF(A49='Données projet'!$A$62,'Données projet'!$B$62,AI48+AH49-AQ48)))</f>
        <v>362.82307692307683</v>
      </c>
      <c r="AJ49" s="13">
        <f>AI49*VLOOKUP('Données projet'!$B$10,Paramètres!$A$1:$I$89,3,0)*VLOOKUP('Données projet'!$B$10,Paramètres!$A$1:$I$89,5,0)</f>
        <v>216.96819999999994</v>
      </c>
      <c r="AK49" s="13">
        <f t="shared" si="35"/>
        <v>53.455407732310803</v>
      </c>
      <c r="AL49" s="20">
        <f t="shared" si="4"/>
        <v>470.98778346710793</v>
      </c>
      <c r="AM49" s="59">
        <f t="shared" si="5"/>
        <v>764.32111680044125</v>
      </c>
      <c r="AN49" s="59">
        <f ca="1">AVERAGE(OFFSET($AM$3,0,0,'Données projet'!$E$10+1,1))-AVERAGE(OFFSET($H$3,0,0,'Données projet'!$E$10+1,1))</f>
        <v>277.11749933885778</v>
      </c>
      <c r="AO49" s="59">
        <f t="shared" si="36"/>
        <v>244.4970554728738</v>
      </c>
      <c r="AP49" s="15">
        <f>IF(ISNA(VLOOKUP(A49,'Données projet'!$A$61:$I$81,3,0)),0,VLOOKUP(A49,'Données projet'!$A$61:$I$81,3,0))</f>
        <v>5</v>
      </c>
      <c r="AQ49" s="15">
        <f>IF(ISNA(VLOOKUP(A49,'Données projet'!$A$61:$I$81,4,0)),0,VLOOKUP(A49,'Données projet'!$A$61:$I$81,4,0))</f>
        <v>72.561538461538461</v>
      </c>
      <c r="AR49" s="16">
        <f>IF(ISNA(VLOOKUP(A49,'Données projet'!$A$61:$I$81,5,0)),0%,VLOOKUP(A49,'Données projet'!$A$61:$I$81,5,0)*VLOOKUP('Données projet'!$B$10,Paramètres!$A$1:$I$89,7,0))</f>
        <v>0.315</v>
      </c>
      <c r="AS49" s="16">
        <f>IF(ISNA(VLOOKUP(A49,'Données projet'!$A$61:$I$81,6,0)),0%,VLOOKUP(A49,'Données projet'!$A$61:$I$81,6,0)*VLOOKUP('Données projet'!$B$10,Paramètres!$A$1:$I$89,7,0))</f>
        <v>7.5600000000000001E-2</v>
      </c>
      <c r="AT49" s="16">
        <f>IF(ISNA(VLOOKUP(A49,'Données projet'!$A$61:$I$81,7,0)),0%,VLOOKUP(A49,'Données projet'!$A$61:$I$81,7,0))</f>
        <v>0.13200000000000001</v>
      </c>
      <c r="AU49" s="21">
        <f>EXP(-LN(2)/35)*AU48+(1-EXP(-LN(2)/35))/(LN(2)/35)*AQ49*AR49*VLOOKUP('Données projet'!$B$10,Paramètres!$A$1:$I$89,3,0)*0.475*44/12</f>
        <v>43.95498204370508</v>
      </c>
      <c r="AV49" s="21">
        <f>EXP(-LN(2)/25)*AV48+(1-EXP(-LN(2)/25))/(LN(2)/25)*Calculateur!AQ49*Calculateur!AS49*VLOOKUP('Données projet'!$B$10,Paramètres!$A$1:$I$89,3,0)*0.475*44/12</f>
        <v>14.201913021334352</v>
      </c>
      <c r="AW49" s="21">
        <f>EXP(-LN(2)/2)*AW48+(1-EXP(-LN(2)/2))/(LN(2)/2)*AQ49*AT49*VLOOKUP('Données projet'!$B$10,Paramètres!$A$1:$I$89,3,0)*0.475*44/12</f>
        <v>6.6798748388055769</v>
      </c>
      <c r="AX49" s="21">
        <f t="shared" si="6"/>
        <v>64.83676990384501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26.27300000000001</v>
      </c>
      <c r="D50" s="11">
        <f t="shared" si="32"/>
        <v>8.2761967307944264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266.69555371139563</v>
      </c>
      <c r="H50" s="67">
        <f t="shared" si="1"/>
        <v>353.50651763946695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15.21153846153846</v>
      </c>
      <c r="N50" s="13">
        <f>IF('Données projet'!$A$36&gt;35,N49+M50-V49,IF(A50&lt;'Données projet'!$A$36,$K$205^A50,IF(A50='Données projet'!$A$36,'Données projet'!$B$36,N49+M50-V49)))</f>
        <v>412.53461538461528</v>
      </c>
      <c r="O50" s="13">
        <f>N50*VLOOKUP('Données projet'!$B$9,Paramètres!$A$1:$I$89,3,0)*VLOOKUP('Données projet'!$B$9,Paramètres!$A$1:$I$89,5,0)</f>
        <v>246.69569999999996</v>
      </c>
      <c r="P50" s="13">
        <f t="shared" si="33"/>
        <v>59.877827754324372</v>
      </c>
      <c r="Q50" s="20">
        <f t="shared" si="53"/>
        <v>533.94889417211482</v>
      </c>
      <c r="R50" s="59">
        <f t="shared" si="0"/>
        <v>827.28222750544819</v>
      </c>
      <c r="S50" s="59">
        <f ca="1">AVERAGE(OFFSET($R$3,0,0,'Données projet'!$E$9+1,1))-AVERAGE(OFFSET($H$3,0,0,'Données projet'!$E$9+1,1))</f>
        <v>260.31965507630525</v>
      </c>
      <c r="T50" s="59">
        <f t="shared" si="34"/>
        <v>327.31114099338032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39.882962411378074</v>
      </c>
      <c r="AA50" s="21">
        <f>EXP(-LN(2)/25)*AA49+(1-EXP(-LN(2)/25))/(LN(2)/25)*Calculateur!V50*Calculateur!X50*VLOOKUP('Données projet'!$B$9,Paramètres!$A$1:$I$89,3,0)*0.475*44/12</f>
        <v>17.34106916406747</v>
      </c>
      <c r="AB50" s="21">
        <f>EXP(-LN(2)/2)*AB49+(1-EXP(-LN(2)/2))/(LN(2)/2)*V50*Y50*VLOOKUP('Données projet'!$B$9,Paramètres!$A$1:$I$89,3,0)*0.475*44/12</f>
        <v>0.76822565227024164</v>
      </c>
      <c r="AC50" s="22">
        <f t="shared" si="3"/>
        <v>57.992257227715783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13.793846153846165</v>
      </c>
      <c r="AI50" s="13">
        <f>IF('Données projet'!$A$62&gt;35,AI49+AH50-AQ49,IF(A50&lt;'Données projet'!$A$62,$AF$205^A50,IF(A50='Données projet'!$A$62,'Données projet'!$B$62,AI49+AH50-AQ49)))</f>
        <v>304.05538461538453</v>
      </c>
      <c r="AJ50" s="13">
        <f>AI50*VLOOKUP('Données projet'!$B$10,Paramètres!$A$1:$I$89,3,0)*VLOOKUP('Données projet'!$B$10,Paramètres!$A$1:$I$89,5,0)</f>
        <v>181.82511999999997</v>
      </c>
      <c r="AK50" s="13">
        <f t="shared" si="35"/>
        <v>45.72800301768045</v>
      </c>
      <c r="AL50" s="20">
        <f t="shared" si="4"/>
        <v>396.32168925579339</v>
      </c>
      <c r="AM50" s="59">
        <f t="shared" si="5"/>
        <v>689.6550225891267</v>
      </c>
      <c r="AN50" s="59">
        <f ca="1">AVERAGE(OFFSET($AM$3,0,0,'Données projet'!$E$10+1,1))-AVERAGE(OFFSET($H$3,0,0,'Données projet'!$E$10+1,1))</f>
        <v>277.11749933885778</v>
      </c>
      <c r="AO50" s="59">
        <f t="shared" si="36"/>
        <v>244.4970554728738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43.093051655719812</v>
      </c>
      <c r="AV50" s="21">
        <f>EXP(-LN(2)/25)*AV49+(1-EXP(-LN(2)/25))/(LN(2)/25)*Calculateur!AQ50*Calculateur!AS50*VLOOKUP('Données projet'!$B$10,Paramètres!$A$1:$I$89,3,0)*0.475*44/12</f>
        <v>13.813560962919817</v>
      </c>
      <c r="AW50" s="21">
        <f>EXP(-LN(2)/2)*AW49+(1-EXP(-LN(2)/2))/(LN(2)/2)*AQ50*AT50*VLOOKUP('Données projet'!$B$10,Paramètres!$A$1:$I$89,3,0)*0.475*44/12</f>
        <v>4.7233847959968198</v>
      </c>
      <c r="AX50" s="21">
        <f t="shared" si="6"/>
        <v>61.629997414636449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26.832000000000011</v>
      </c>
      <c r="D51" s="11">
        <f t="shared" si="32"/>
        <v>8.4315980680326348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272.21023070060295</v>
      </c>
      <c r="H51" s="67">
        <f t="shared" si="1"/>
        <v>354.75076663515682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427.74615384615385</v>
      </c>
      <c r="L51" s="12">
        <f>VLOOKUP(A51,'Données projet'!$A$35:$I$55,9,0)</f>
        <v>15.21153846153846</v>
      </c>
      <c r="M51" s="12">
        <f t="array" ref="M51">INDEX(L:L,MIN(IF(ISNUMBER(L51:L247),ROW(L51:L247),"")))</f>
        <v>15.21153846153846</v>
      </c>
      <c r="N51" s="13">
        <f>IF('Données projet'!$A$36&gt;35,N50+M51-V50,IF(A51&lt;'Données projet'!$A$36,$K$205^A51,IF(A51='Données projet'!$A$36,'Données projet'!$B$36,N50+M51-V50)))</f>
        <v>427.74615384615373</v>
      </c>
      <c r="O51" s="13">
        <f>N51*VLOOKUP('Données projet'!$B$9,Paramètres!$A$1:$I$89,3,0)*VLOOKUP('Données projet'!$B$9,Paramètres!$A$1:$I$89,5,0)</f>
        <v>255.79219999999995</v>
      </c>
      <c r="P51" s="13">
        <f t="shared" si="33"/>
        <v>61.824595084245523</v>
      </c>
      <c r="Q51" s="20">
        <f t="shared" si="53"/>
        <v>553.18258477172765</v>
      </c>
      <c r="R51" s="59">
        <f t="shared" si="0"/>
        <v>846.51591810506102</v>
      </c>
      <c r="S51" s="59">
        <f ca="1">AVERAGE(OFFSET($R$3,0,0,'Données projet'!$E$9+1,1))-AVERAGE(OFFSET($H$3,0,0,'Données projet'!$E$9+1,1))</f>
        <v>260.31965507630525</v>
      </c>
      <c r="T51" s="59">
        <f t="shared" si="34"/>
        <v>327.31114099338032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83.969230769230762</v>
      </c>
      <c r="W51" s="16">
        <f>IF(ISNA(VLOOKUP(A51,'Données projet'!$A$35:$I$55,5,0)),0%,VLOOKUP(A51,'Données projet'!$A$35:$I$55,5,0)*VLOOKUP('Données projet'!$B$9,Paramètres!$A$1:$I$89,7,0))</f>
        <v>0.315</v>
      </c>
      <c r="X51" s="16">
        <f>IF(ISNA(VLOOKUP(A51,'Données projet'!$A$35:$I$55,6,0)),0%,VLOOKUP(A51,'Données projet'!$A$35:$I$55,6,0)*VLOOKUP('Données projet'!$B$9,Paramètres!$A$1:$I$89,7,0))</f>
        <v>7.5600000000000001E-2</v>
      </c>
      <c r="Y51" s="16">
        <f>IF(ISNA(VLOOKUP(A51,'Données projet'!$A$35:$I$55,7,0)),0%,VLOOKUP(A51,'Données projet'!$A$35:$I$55,7,0))</f>
        <v>0.13200000000000001</v>
      </c>
      <c r="Z51" s="21">
        <f>EXP(-LN(2)/35)*Z50+(1-EXP(-LN(2)/35))/(LN(2)/35)*V51*W51*VLOOKUP('Données projet'!$B$9,Paramètres!$A$1:$I$89,3,0)*0.475*44/12</f>
        <v>60.083528580688551</v>
      </c>
      <c r="AA51" s="21">
        <f>EXP(-LN(2)/25)*AA50+(1-EXP(-LN(2)/25))/(LN(2)/25)*Calculateur!V51*Calculateur!X51*VLOOKUP('Données projet'!$B$9,Paramètres!$A$1:$I$89,3,0)*0.475*44/12</f>
        <v>21.882883930435508</v>
      </c>
      <c r="AB51" s="21">
        <f>EXP(-LN(2)/2)*AB50+(1-EXP(-LN(2)/2))/(LN(2)/2)*V51*Y51*VLOOKUP('Données projet'!$B$9,Paramètres!$A$1:$I$89,3,0)*0.475*44/12</f>
        <v>8.0478742479516399</v>
      </c>
      <c r="AC51" s="22">
        <f t="shared" si="3"/>
        <v>90.014286759075702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13.793846153846165</v>
      </c>
      <c r="AI51" s="13">
        <f>IF('Données projet'!$A$62&gt;35,AI50+AH51-AQ50,IF(A51&lt;'Données projet'!$A$62,$AF$205^A51,IF(A51='Données projet'!$A$62,'Données projet'!$B$62,AI50+AH51-AQ50)))</f>
        <v>317.8492307692307</v>
      </c>
      <c r="AJ51" s="13">
        <f>AI51*VLOOKUP('Données projet'!$B$10,Paramètres!$A$1:$I$89,3,0)*VLOOKUP('Données projet'!$B$10,Paramètres!$A$1:$I$89,5,0)</f>
        <v>190.07383999999999</v>
      </c>
      <c r="AK51" s="13">
        <f t="shared" si="35"/>
        <v>47.556277457641151</v>
      </c>
      <c r="AL51" s="20">
        <f t="shared" si="4"/>
        <v>413.87245457205836</v>
      </c>
      <c r="AM51" s="59">
        <f t="shared" si="5"/>
        <v>707.20578790539162</v>
      </c>
      <c r="AN51" s="59">
        <f ca="1">AVERAGE(OFFSET($AM$3,0,0,'Données projet'!$E$10+1,1))-AVERAGE(OFFSET($H$3,0,0,'Données projet'!$E$10+1,1))</f>
        <v>277.11749933885778</v>
      </c>
      <c r="AO51" s="59">
        <f t="shared" si="36"/>
        <v>244.4970554728738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42.248023196917309</v>
      </c>
      <c r="AV51" s="21">
        <f>EXP(-LN(2)/25)*AV50+(1-EXP(-LN(2)/25))/(LN(2)/25)*Calculateur!AQ51*Calculateur!AS51*VLOOKUP('Données projet'!$B$10,Paramètres!$A$1:$I$89,3,0)*0.475*44/12</f>
        <v>13.435828411965176</v>
      </c>
      <c r="AW51" s="21">
        <f>EXP(-LN(2)/2)*AW50+(1-EXP(-LN(2)/2))/(LN(2)/2)*AQ51*AT51*VLOOKUP('Données projet'!$B$10,Paramètres!$A$1:$I$89,3,0)*0.475*44/12</f>
        <v>3.3399374194027889</v>
      </c>
      <c r="AX51" s="21">
        <f t="shared" si="6"/>
        <v>59.023789028285272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27.391000000000012</v>
      </c>
      <c r="D52" s="11">
        <f t="shared" si="32"/>
        <v>8.586622984805059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277.72200198796901</v>
      </c>
      <c r="H52" s="67">
        <f t="shared" si="1"/>
        <v>355.99436003186884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12.837499999999991</v>
      </c>
      <c r="N52" s="13">
        <f>IF('Données projet'!$A$36&gt;35,N51+M52-V51,IF(A52&lt;'Données projet'!$A$36,$K$205^A52,IF(A52='Données projet'!$A$36,'Données projet'!$B$36,N51+M52-V51)))</f>
        <v>356.61442307692295</v>
      </c>
      <c r="O52" s="13">
        <f>N52*VLOOKUP('Données projet'!$B$9,Paramètres!$A$1:$I$89,3,0)*VLOOKUP('Données projet'!$B$9,Paramètres!$A$1:$I$89,5,0)</f>
        <v>213.25542499999995</v>
      </c>
      <c r="P52" s="13">
        <f t="shared" si="33"/>
        <v>52.646339807871037</v>
      </c>
      <c r="Q52" s="20">
        <f t="shared" si="53"/>
        <v>463.11224037370857</v>
      </c>
      <c r="R52" s="59">
        <f t="shared" si="0"/>
        <v>756.44557370704183</v>
      </c>
      <c r="S52" s="59">
        <f ca="1">AVERAGE(OFFSET($R$3,0,0,'Données projet'!$E$9+1,1))-AVERAGE(OFFSET($H$3,0,0,'Données projet'!$E$9+1,1))</f>
        <v>260.31965507630525</v>
      </c>
      <c r="T52" s="59">
        <f t="shared" si="34"/>
        <v>327.31114099338032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58.905327232555059</v>
      </c>
      <c r="AA52" s="21">
        <f>EXP(-LN(2)/25)*AA51+(1-EXP(-LN(2)/25))/(LN(2)/25)*Calculateur!V52*Calculateur!X52*VLOOKUP('Données projet'!$B$9,Paramètres!$A$1:$I$89,3,0)*0.475*44/12</f>
        <v>21.284495318586895</v>
      </c>
      <c r="AB52" s="21">
        <f>EXP(-LN(2)/2)*AB51+(1-EXP(-LN(2)/2))/(LN(2)/2)*V52*Y52*VLOOKUP('Données projet'!$B$9,Paramètres!$A$1:$I$89,3,0)*0.475*44/12</f>
        <v>5.6907064548631912</v>
      </c>
      <c r="AC52" s="22">
        <f t="shared" si="3"/>
        <v>85.880529006005148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13.793846153846165</v>
      </c>
      <c r="AI52" s="13">
        <f>IF('Données projet'!$A$62&gt;35,AI51+AH52-AQ51,IF(A52&lt;'Données projet'!$A$62,$AF$205^A52,IF(A52='Données projet'!$A$62,'Données projet'!$B$62,AI51+AH52-AQ51)))</f>
        <v>331.64307692307688</v>
      </c>
      <c r="AJ52" s="13">
        <f>AI52*VLOOKUP('Données projet'!$B$10,Paramètres!$A$1:$I$89,3,0)*VLOOKUP('Données projet'!$B$10,Paramètres!$A$1:$I$89,5,0)</f>
        <v>198.32255999999998</v>
      </c>
      <c r="AK52" s="13">
        <f t="shared" si="35"/>
        <v>49.375336669033487</v>
      </c>
      <c r="AL52" s="20">
        <f t="shared" si="4"/>
        <v>431.40717003189997</v>
      </c>
      <c r="AM52" s="59">
        <f t="shared" si="5"/>
        <v>724.74050336523328</v>
      </c>
      <c r="AN52" s="59">
        <f ca="1">AVERAGE(OFFSET($AM$3,0,0,'Données projet'!$E$10+1,1))-AVERAGE(OFFSET($H$3,0,0,'Données projet'!$E$10+1,1))</f>
        <v>277.11749933885778</v>
      </c>
      <c r="AO52" s="59">
        <f t="shared" si="36"/>
        <v>244.4970554728738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41.419565230775461</v>
      </c>
      <c r="AV52" s="21">
        <f>EXP(-LN(2)/25)*AV51+(1-EXP(-LN(2)/25))/(LN(2)/25)*Calculateur!AQ52*Calculateur!AS52*VLOOKUP('Données projet'!$B$10,Paramètres!$A$1:$I$89,3,0)*0.475*44/12</f>
        <v>13.068424977480479</v>
      </c>
      <c r="AW52" s="21">
        <f>EXP(-LN(2)/2)*AW51+(1-EXP(-LN(2)/2))/(LN(2)/2)*AQ52*AT52*VLOOKUP('Données projet'!$B$10,Paramètres!$A$1:$I$89,3,0)*0.475*44/12</f>
        <v>2.3616923979984104</v>
      </c>
      <c r="AX52" s="21">
        <f t="shared" si="6"/>
        <v>56.849682606254348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27.950000000000014</v>
      </c>
      <c r="D53" s="11">
        <f t="shared" si="32"/>
        <v>8.7412800483747457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283.23093370675252</v>
      </c>
      <c r="H53" s="67">
        <f t="shared" si="1"/>
        <v>357.23731275091933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12.837499999999991</v>
      </c>
      <c r="N53" s="13">
        <f>IF('Données projet'!$A$36&gt;35,N52+M53-V52,IF(A53&lt;'Données projet'!$A$36,$K$205^A53,IF(A53='Données projet'!$A$36,'Données projet'!$B$36,N52+M53-V52)))</f>
        <v>369.45192307692292</v>
      </c>
      <c r="O53" s="13">
        <f>N53*VLOOKUP('Données projet'!$B$9,Paramètres!$A$1:$I$89,3,0)*VLOOKUP('Données projet'!$B$9,Paramètres!$A$1:$I$89,5,0)</f>
        <v>220.93224999999995</v>
      </c>
      <c r="P53" s="13">
        <f t="shared" si="33"/>
        <v>54.31745576001893</v>
      </c>
      <c r="Q53" s="20">
        <f t="shared" si="53"/>
        <v>479.3932375320328</v>
      </c>
      <c r="R53" s="59">
        <f t="shared" si="0"/>
        <v>772.72657086536606</v>
      </c>
      <c r="S53" s="59">
        <f ca="1">AVERAGE(OFFSET($R$3,0,0,'Données projet'!$E$9+1,1))-AVERAGE(OFFSET($H$3,0,0,'Données projet'!$E$9+1,1))</f>
        <v>260.31965507630525</v>
      </c>
      <c r="T53" s="59">
        <f t="shared" si="34"/>
        <v>327.31114099338032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57.750229694226604</v>
      </c>
      <c r="AA53" s="21">
        <f>EXP(-LN(2)/25)*AA52+(1-EXP(-LN(2)/25))/(LN(2)/25)*Calculateur!V53*Calculateur!X53*VLOOKUP('Données projet'!$B$9,Paramètres!$A$1:$I$89,3,0)*0.475*44/12</f>
        <v>20.702469674797175</v>
      </c>
      <c r="AB53" s="21">
        <f>EXP(-LN(2)/2)*AB52+(1-EXP(-LN(2)/2))/(LN(2)/2)*V53*Y53*VLOOKUP('Données projet'!$B$9,Paramètres!$A$1:$I$89,3,0)*0.475*44/12</f>
        <v>4.0239371239758199</v>
      </c>
      <c r="AC53" s="22">
        <f t="shared" si="3"/>
        <v>82.476636492999603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13.793846153846165</v>
      </c>
      <c r="AI53" s="13">
        <f>IF('Données projet'!$A$62&gt;35,AI52+AH53-AQ52,IF(A53&lt;'Données projet'!$A$62,$AF$205^A53,IF(A53='Données projet'!$A$62,'Données projet'!$B$62,AI52+AH53-AQ52)))</f>
        <v>345.43692307692305</v>
      </c>
      <c r="AJ53" s="13">
        <f>AI53*VLOOKUP('Données projet'!$B$10,Paramètres!$A$1:$I$89,3,0)*VLOOKUP('Données projet'!$B$10,Paramètres!$A$1:$I$89,5,0)</f>
        <v>206.57128</v>
      </c>
      <c r="AK53" s="13">
        <f t="shared" si="35"/>
        <v>51.185607766999659</v>
      </c>
      <c r="AL53" s="20">
        <f t="shared" si="4"/>
        <v>448.92657952752438</v>
      </c>
      <c r="AM53" s="59">
        <f t="shared" si="5"/>
        <v>742.25991286085764</v>
      </c>
      <c r="AN53" s="59">
        <f ca="1">AVERAGE(OFFSET($AM$3,0,0,'Données projet'!$E$10+1,1))-AVERAGE(OFFSET($H$3,0,0,'Données projet'!$E$10+1,1))</f>
        <v>277.11749933885778</v>
      </c>
      <c r="AO53" s="59">
        <f t="shared" si="36"/>
        <v>244.4970554728738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40.607352820040191</v>
      </c>
      <c r="AV53" s="21">
        <f>EXP(-LN(2)/25)*AV52+(1-EXP(-LN(2)/25))/(LN(2)/25)*Calculateur!AQ53*Calculateur!AS53*VLOOKUP('Données projet'!$B$10,Paramètres!$A$1:$I$89,3,0)*0.475*44/12</f>
        <v>12.711068209232675</v>
      </c>
      <c r="AW53" s="21">
        <f>EXP(-LN(2)/2)*AW52+(1-EXP(-LN(2)/2))/(LN(2)/2)*AQ53*AT53*VLOOKUP('Données projet'!$B$10,Paramètres!$A$1:$I$89,3,0)*0.475*44/12</f>
        <v>1.6699687097013949</v>
      </c>
      <c r="AX53" s="21">
        <f t="shared" si="6"/>
        <v>54.988389738974263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28.509000000000015</v>
      </c>
      <c r="D54" s="11">
        <f t="shared" si="32"/>
        <v>8.8955774637189755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288.73708919362031</v>
      </c>
      <c r="H54" s="67">
        <f t="shared" si="1"/>
        <v>358.47963908264387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12.837499999999991</v>
      </c>
      <c r="N54" s="13">
        <f>IF('Données projet'!$A$36&gt;35,N53+M54-V53,IF(A54&lt;'Données projet'!$A$36,$K$205^A54,IF(A54='Données projet'!$A$36,'Données projet'!$B$36,N53+M54-V53)))</f>
        <v>382.2894230769229</v>
      </c>
      <c r="O54" s="13">
        <f>N54*VLOOKUP('Données projet'!$B$9,Paramètres!$A$1:$I$89,3,0)*VLOOKUP('Données projet'!$B$9,Paramètres!$A$1:$I$89,5,0)</f>
        <v>228.6090749999999</v>
      </c>
      <c r="P54" s="13">
        <f t="shared" si="33"/>
        <v>55.981824933821947</v>
      </c>
      <c r="Q54" s="20">
        <f t="shared" si="53"/>
        <v>495.66248405140635</v>
      </c>
      <c r="R54" s="59">
        <f t="shared" si="0"/>
        <v>788.99581738473967</v>
      </c>
      <c r="S54" s="59">
        <f ca="1">AVERAGE(OFFSET($R$3,0,0,'Données projet'!$E$9+1,1))-AVERAGE(OFFSET($H$3,0,0,'Données projet'!$E$9+1,1))</f>
        <v>260.31965507630525</v>
      </c>
      <c r="T54" s="59">
        <f t="shared" si="34"/>
        <v>327.31114099338032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56.617782914084835</v>
      </c>
      <c r="AA54" s="21">
        <f>EXP(-LN(2)/25)*AA53+(1-EXP(-LN(2)/25))/(LN(2)/25)*Calculateur!V54*Calculateur!X54*VLOOKUP('Données projet'!$B$9,Paramètres!$A$1:$I$89,3,0)*0.475*44/12</f>
        <v>20.136359552844283</v>
      </c>
      <c r="AB54" s="21">
        <f>EXP(-LN(2)/2)*AB53+(1-EXP(-LN(2)/2))/(LN(2)/2)*V54*Y54*VLOOKUP('Données projet'!$B$9,Paramètres!$A$1:$I$89,3,0)*0.475*44/12</f>
        <v>2.8453532274315956</v>
      </c>
      <c r="AC54" s="22">
        <f t="shared" si="3"/>
        <v>79.599495694360726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13.793846153846165</v>
      </c>
      <c r="AI54" s="13">
        <f>IF('Données projet'!$A$62&gt;35,AI53+AH54-AQ53,IF(A54&lt;'Données projet'!$A$62,$AF$205^A54,IF(A54='Données projet'!$A$62,'Données projet'!$B$62,AI53+AH54-AQ53)))</f>
        <v>359.23076923076923</v>
      </c>
      <c r="AJ54" s="13">
        <f>AI54*VLOOKUP('Données projet'!$B$10,Paramètres!$A$1:$I$89,3,0)*VLOOKUP('Données projet'!$B$10,Paramètres!$A$1:$I$89,5,0)</f>
        <v>214.82</v>
      </c>
      <c r="AK54" s="13">
        <f t="shared" si="35"/>
        <v>52.987481825087599</v>
      </c>
      <c r="AL54" s="20">
        <f t="shared" si="4"/>
        <v>466.43136417869431</v>
      </c>
      <c r="AM54" s="59">
        <f t="shared" si="5"/>
        <v>759.76469751202762</v>
      </c>
      <c r="AN54" s="59">
        <f ca="1">AVERAGE(OFFSET($AM$3,0,0,'Données projet'!$E$10+1,1))-AVERAGE(OFFSET($H$3,0,0,'Données projet'!$E$10+1,1))</f>
        <v>277.11749933885778</v>
      </c>
      <c r="AO54" s="59">
        <f t="shared" si="36"/>
        <v>244.4970554728738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39.811067399278784</v>
      </c>
      <c r="AV54" s="21">
        <f>EXP(-LN(2)/25)*AV53+(1-EXP(-LN(2)/25))/(LN(2)/25)*Calculateur!AQ54*Calculateur!AS54*VLOOKUP('Données projet'!$B$10,Paramètres!$A$1:$I$89,3,0)*0.475*44/12</f>
        <v>12.363483380605182</v>
      </c>
      <c r="AW54" s="21">
        <f>EXP(-LN(2)/2)*AW53+(1-EXP(-LN(2)/2))/(LN(2)/2)*AQ54*AT54*VLOOKUP('Données projet'!$B$10,Paramètres!$A$1:$I$89,3,0)*0.475*44/12</f>
        <v>1.1808461989992054</v>
      </c>
      <c r="AX54" s="21">
        <f t="shared" si="6"/>
        <v>53.355396978883171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29.068000000000016</v>
      </c>
      <c r="D55" s="11">
        <f t="shared" si="32"/>
        <v>9.0495230956474586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294.24052915938398</v>
      </c>
      <c r="H55" s="67">
        <f t="shared" si="1"/>
        <v>359.72135272491931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12.837499999999991</v>
      </c>
      <c r="N55" s="13">
        <f>IF('Données projet'!$A$36&gt;35,N54+M55-V54,IF(A55&lt;'Données projet'!$A$36,$K$205^A55,IF(A55='Données projet'!$A$36,'Données projet'!$B$36,N54+M55-V54)))</f>
        <v>395.12692307692288</v>
      </c>
      <c r="O55" s="13">
        <f>N55*VLOOKUP('Données projet'!$B$9,Paramètres!$A$1:$I$89,3,0)*VLOOKUP('Données projet'!$B$9,Paramètres!$A$1:$I$89,5,0)</f>
        <v>236.28589999999988</v>
      </c>
      <c r="P55" s="13">
        <f t="shared" si="33"/>
        <v>57.639699864397762</v>
      </c>
      <c r="Q55" s="20">
        <f t="shared" si="53"/>
        <v>511.92041976382592</v>
      </c>
      <c r="R55" s="59">
        <f t="shared" si="0"/>
        <v>805.25375309715923</v>
      </c>
      <c r="S55" s="59">
        <f ca="1">AVERAGE(OFFSET($R$3,0,0,'Données projet'!$E$9+1,1))-AVERAGE(OFFSET($H$3,0,0,'Données projet'!$E$9+1,1))</f>
        <v>260.31965507630525</v>
      </c>
      <c r="T55" s="59">
        <f t="shared" si="34"/>
        <v>327.31114099338032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55.507542724577313</v>
      </c>
      <c r="AA55" s="21">
        <f>EXP(-LN(2)/25)*AA54+(1-EXP(-LN(2)/25))/(LN(2)/25)*Calculateur!V55*Calculateur!X55*VLOOKUP('Données projet'!$B$9,Paramètres!$A$1:$I$89,3,0)*0.475*44/12</f>
        <v>19.585729741946629</v>
      </c>
      <c r="AB55" s="21">
        <f>EXP(-LN(2)/2)*AB54+(1-EXP(-LN(2)/2))/(LN(2)/2)*V55*Y55*VLOOKUP('Données projet'!$B$9,Paramètres!$A$1:$I$89,3,0)*0.475*44/12</f>
        <v>2.01196856198791</v>
      </c>
      <c r="AC55" s="22">
        <f t="shared" si="3"/>
        <v>77.105241028511855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13.793846153846165</v>
      </c>
      <c r="AI55" s="13">
        <f>IF('Données projet'!$A$62&gt;35,AI54+AH55-AQ54,IF(A55&lt;'Données projet'!$A$62,$AF$205^A55,IF(A55='Données projet'!$A$62,'Données projet'!$B$62,AI54+AH55-AQ54)))</f>
        <v>373.0246153846154</v>
      </c>
      <c r="AJ55" s="13">
        <f>AI55*VLOOKUP('Données projet'!$B$10,Paramètres!$A$1:$I$89,3,0)*VLOOKUP('Données projet'!$B$10,Paramètres!$A$1:$I$89,5,0)</f>
        <v>223.06872000000001</v>
      </c>
      <c r="AK55" s="13">
        <f t="shared" si="35"/>
        <v>54.78131818288734</v>
      </c>
      <c r="AL55" s="20">
        <f t="shared" si="4"/>
        <v>483.92214983519551</v>
      </c>
      <c r="AM55" s="59">
        <f t="shared" si="5"/>
        <v>777.25548316852883</v>
      </c>
      <c r="AN55" s="59">
        <f ca="1">AVERAGE(OFFSET($AM$3,0,0,'Données projet'!$E$10+1,1))-AVERAGE(OFFSET($H$3,0,0,'Données projet'!$E$10+1,1))</f>
        <v>277.11749933885778</v>
      </c>
      <c r="AO55" s="59">
        <f t="shared" si="36"/>
        <v>244.4970554728738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39.030396649932356</v>
      </c>
      <c r="AV55" s="21">
        <f>EXP(-LN(2)/25)*AV54+(1-EXP(-LN(2)/25))/(LN(2)/25)*Calculateur!AQ55*Calculateur!AS55*VLOOKUP('Données projet'!$B$10,Paramètres!$A$1:$I$89,3,0)*0.475*44/12</f>
        <v>12.025403277395199</v>
      </c>
      <c r="AW55" s="21">
        <f>EXP(-LN(2)/2)*AW54+(1-EXP(-LN(2)/2))/(LN(2)/2)*AQ55*AT55*VLOOKUP('Données projet'!$B$10,Paramètres!$A$1:$I$89,3,0)*0.475*44/12</f>
        <v>0.83498435485069755</v>
      </c>
      <c r="AX55" s="21">
        <f t="shared" si="6"/>
        <v>51.890784282178252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29.627000000000017</v>
      </c>
      <c r="D56" s="11">
        <f t="shared" si="32"/>
        <v>9.2031244891710831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299.74131184623303</v>
      </c>
      <c r="H56" s="67">
        <f t="shared" si="1"/>
        <v>360.96246681863965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12.837499999999991</v>
      </c>
      <c r="N56" s="13">
        <f>IF('Données projet'!$A$36&gt;35,N55+M56-V55,IF(A56&lt;'Données projet'!$A$36,$K$205^A56,IF(A56='Données projet'!$A$36,'Données projet'!$B$36,N55+M56-V55)))</f>
        <v>407.96442307692286</v>
      </c>
      <c r="O56" s="13">
        <f>N56*VLOOKUP('Données projet'!$B$9,Paramètres!$A$1:$I$89,3,0)*VLOOKUP('Données projet'!$B$9,Paramètres!$A$1:$I$89,5,0)</f>
        <v>243.96272499999989</v>
      </c>
      <c r="P56" s="13">
        <f t="shared" si="33"/>
        <v>59.291315745845196</v>
      </c>
      <c r="Q56" s="20">
        <f t="shared" si="53"/>
        <v>528.16745429901346</v>
      </c>
      <c r="R56" s="59">
        <f t="shared" si="0"/>
        <v>821.50078763234683</v>
      </c>
      <c r="S56" s="59">
        <f ca="1">AVERAGE(OFFSET($R$3,0,0,'Données projet'!$E$9+1,1))-AVERAGE(OFFSET($H$3,0,0,'Données projet'!$E$9+1,1))</f>
        <v>260.31965507630525</v>
      </c>
      <c r="T56" s="59">
        <f t="shared" si="34"/>
        <v>327.31114099338032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54.419073668006384</v>
      </c>
      <c r="AA56" s="21">
        <f>EXP(-LN(2)/25)*AA55+(1-EXP(-LN(2)/25))/(LN(2)/25)*Calculateur!V56*Calculateur!X56*VLOOKUP('Données projet'!$B$9,Paramètres!$A$1:$I$89,3,0)*0.475*44/12</f>
        <v>19.050156932184336</v>
      </c>
      <c r="AB56" s="21">
        <f>EXP(-LN(2)/2)*AB55+(1-EXP(-LN(2)/2))/(LN(2)/2)*V56*Y56*VLOOKUP('Données projet'!$B$9,Paramètres!$A$1:$I$89,3,0)*0.475*44/12</f>
        <v>1.4226766137157978</v>
      </c>
      <c r="AC56" s="22">
        <f t="shared" si="3"/>
        <v>74.891907213906507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13.793846153846165</v>
      </c>
      <c r="AI56" s="13">
        <f>IF('Données projet'!$A$62&gt;35,AI55+AH56-AQ55,IF(A56&lt;'Données projet'!$A$62,$AF$205^A56,IF(A56='Données projet'!$A$62,'Données projet'!$B$62,AI55+AH56-AQ55)))</f>
        <v>386.81846153846158</v>
      </c>
      <c r="AJ56" s="13">
        <f>AI56*VLOOKUP('Données projet'!$B$10,Paramètres!$A$1:$I$89,3,0)*VLOOKUP('Données projet'!$B$10,Paramètres!$A$1:$I$89,5,0)</f>
        <v>231.31744000000003</v>
      </c>
      <c r="AK56" s="13">
        <f t="shared" si="35"/>
        <v>56.567448098598192</v>
      </c>
      <c r="AL56" s="20">
        <f t="shared" si="4"/>
        <v>501.39951343839198</v>
      </c>
      <c r="AM56" s="59">
        <f t="shared" si="5"/>
        <v>794.73284677172524</v>
      </c>
      <c r="AN56" s="59">
        <f ca="1">AVERAGE(OFFSET($AM$3,0,0,'Données projet'!$E$10+1,1))-AVERAGE(OFFSET($H$3,0,0,'Données projet'!$E$10+1,1))</f>
        <v>277.11749933885778</v>
      </c>
      <c r="AO56" s="59">
        <f t="shared" si="36"/>
        <v>244.4970554728738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38.265034377818473</v>
      </c>
      <c r="AV56" s="21">
        <f>EXP(-LN(2)/25)*AV55+(1-EXP(-LN(2)/25))/(LN(2)/25)*Calculateur!AQ56*Calculateur!AS56*VLOOKUP('Données projet'!$B$10,Paramètres!$A$1:$I$89,3,0)*0.475*44/12</f>
        <v>11.696567992386353</v>
      </c>
      <c r="AW56" s="21">
        <f>EXP(-LN(2)/2)*AW55+(1-EXP(-LN(2)/2))/(LN(2)/2)*AQ56*AT56*VLOOKUP('Données projet'!$B$10,Paramètres!$A$1:$I$89,3,0)*0.475*44/12</f>
        <v>0.59042309949960281</v>
      </c>
      <c r="AX56" s="21">
        <f t="shared" si="6"/>
        <v>50.552025469704432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30.186000000000018</v>
      </c>
      <c r="D57" s="11">
        <f t="shared" si="32"/>
        <v>9.3563888882898691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305.23949317276401</v>
      </c>
      <c r="H57" s="67">
        <f t="shared" si="1"/>
        <v>362.20299398043818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12.837499999999991</v>
      </c>
      <c r="N57" s="13">
        <f>IF('Données projet'!$A$36&gt;35,N56+M57-V56,IF(A57&lt;'Données projet'!$A$36,$K$205^A57,IF(A57='Données projet'!$A$36,'Données projet'!$B$36,N56+M57-V56)))</f>
        <v>420.80192307692283</v>
      </c>
      <c r="O57" s="13">
        <f>N57*VLOOKUP('Données projet'!$B$9,Paramètres!$A$1:$I$89,3,0)*VLOOKUP('Données projet'!$B$9,Paramètres!$A$1:$I$89,5,0)</f>
        <v>251.63954999999987</v>
      </c>
      <c r="P57" s="13">
        <f t="shared" si="33"/>
        <v>60.936892129812627</v>
      </c>
      <c r="Q57" s="20">
        <f t="shared" si="53"/>
        <v>544.40397004275667</v>
      </c>
      <c r="R57" s="59">
        <f t="shared" si="0"/>
        <v>837.73730337609004</v>
      </c>
      <c r="S57" s="59">
        <f ca="1">AVERAGE(OFFSET($R$3,0,0,'Données projet'!$E$9+1,1))-AVERAGE(OFFSET($H$3,0,0,'Données projet'!$E$9+1,1))</f>
        <v>260.31965507630525</v>
      </c>
      <c r="T57" s="59">
        <f t="shared" si="34"/>
        <v>327.31114099338032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53.35194882573424</v>
      </c>
      <c r="AA57" s="21">
        <f>EXP(-LN(2)/25)*AA56+(1-EXP(-LN(2)/25))/(LN(2)/25)*Calculateur!V57*Calculateur!X57*VLOOKUP('Données projet'!$B$9,Paramètres!$A$1:$I$89,3,0)*0.475*44/12</f>
        <v>18.529229389069542</v>
      </c>
      <c r="AB57" s="21">
        <f>EXP(-LN(2)/2)*AB56+(1-EXP(-LN(2)/2))/(LN(2)/2)*V57*Y57*VLOOKUP('Données projet'!$B$9,Paramètres!$A$1:$I$89,3,0)*0.475*44/12</f>
        <v>1.005984280993955</v>
      </c>
      <c r="AC57" s="22">
        <f t="shared" si="3"/>
        <v>72.887162495797739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13.793846153846165</v>
      </c>
      <c r="AI57" s="13">
        <f>IF('Données projet'!$A$62&gt;35,AI56+AH57-AQ56,IF(A57&lt;'Données projet'!$A$62,$AF$205^A57,IF(A57='Données projet'!$A$62,'Données projet'!$B$62,AI56+AH57-AQ56)))</f>
        <v>400.61230769230775</v>
      </c>
      <c r="AJ57" s="13">
        <f>AI57*VLOOKUP('Données projet'!$B$10,Paramètres!$A$1:$I$89,3,0)*VLOOKUP('Données projet'!$B$10,Paramètres!$A$1:$I$89,5,0)</f>
        <v>239.56616000000005</v>
      </c>
      <c r="AK57" s="13">
        <f t="shared" si="35"/>
        <v>58.346177865957287</v>
      </c>
      <c r="AL57" s="20">
        <f t="shared" si="4"/>
        <v>518.86398844987571</v>
      </c>
      <c r="AM57" s="59">
        <f t="shared" si="5"/>
        <v>812.19732178320896</v>
      </c>
      <c r="AN57" s="59">
        <f ca="1">AVERAGE(OFFSET($AM$3,0,0,'Données projet'!$E$10+1,1))-AVERAGE(OFFSET($H$3,0,0,'Données projet'!$E$10+1,1))</f>
        <v>277.11749933885778</v>
      </c>
      <c r="AO57" s="59">
        <f t="shared" si="36"/>
        <v>244.4970554728738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37.514680393035853</v>
      </c>
      <c r="AV57" s="21">
        <f>EXP(-LN(2)/25)*AV56+(1-EXP(-LN(2)/25))/(LN(2)/25)*Calculateur!AQ57*Calculateur!AS57*VLOOKUP('Données projet'!$B$10,Paramètres!$A$1:$I$89,3,0)*0.475*44/12</f>
        <v>11.37672472553877</v>
      </c>
      <c r="AW57" s="21">
        <f>EXP(-LN(2)/2)*AW56+(1-EXP(-LN(2)/2))/(LN(2)/2)*AQ57*AT57*VLOOKUP('Données projet'!$B$10,Paramètres!$A$1:$I$89,3,0)*0.475*44/12</f>
        <v>0.41749217742534883</v>
      </c>
      <c r="AX57" s="21">
        <f t="shared" si="6"/>
        <v>49.308897295999977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30.745000000000019</v>
      </c>
      <c r="D58" s="11">
        <f t="shared" si="32"/>
        <v>9.5093232533499261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310.73512686796454</v>
      </c>
      <c r="H58" s="67">
        <f t="shared" si="1"/>
        <v>363.44294633291781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12.837499999999991</v>
      </c>
      <c r="N58" s="13">
        <f>IF('Données projet'!$A$36&gt;35,N57+M58-V57,IF(A58&lt;'Données projet'!$A$36,$K$205^A58,IF(A58='Données projet'!$A$36,'Données projet'!$B$36,N57+M58-V57)))</f>
        <v>433.63942307692281</v>
      </c>
      <c r="O58" s="13">
        <f>N58*VLOOKUP('Données projet'!$B$9,Paramètres!$A$1:$I$89,3,0)*VLOOKUP('Données projet'!$B$9,Paramètres!$A$1:$I$89,5,0)</f>
        <v>259.31637499999988</v>
      </c>
      <c r="P58" s="13">
        <f t="shared" si="33"/>
        <v>62.576634410968637</v>
      </c>
      <c r="Q58" s="20">
        <f t="shared" si="53"/>
        <v>560.63032472410339</v>
      </c>
      <c r="R58" s="59">
        <f t="shared" si="0"/>
        <v>853.96365805743676</v>
      </c>
      <c r="S58" s="59">
        <f ca="1">AVERAGE(OFFSET($R$3,0,0,'Données projet'!$E$9+1,1))-AVERAGE(OFFSET($H$3,0,0,'Données projet'!$E$9+1,1))</f>
        <v>260.31965507630525</v>
      </c>
      <c r="T58" s="59">
        <f t="shared" si="34"/>
        <v>327.31114099338032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52.30574965073717</v>
      </c>
      <c r="AA58" s="21">
        <f>EXP(-LN(2)/25)*AA57+(1-EXP(-LN(2)/25))/(LN(2)/25)*Calculateur!V58*Calculateur!X58*VLOOKUP('Données projet'!$B$9,Paramètres!$A$1:$I$89,3,0)*0.475*44/12</f>
        <v>18.022546637015612</v>
      </c>
      <c r="AB58" s="21">
        <f>EXP(-LN(2)/2)*AB57+(1-EXP(-LN(2)/2))/(LN(2)/2)*V58*Y58*VLOOKUP('Données projet'!$B$9,Paramètres!$A$1:$I$89,3,0)*0.475*44/12</f>
        <v>0.71133830685789889</v>
      </c>
      <c r="AC58" s="22">
        <f t="shared" si="3"/>
        <v>71.039634594610675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13.793846153846165</v>
      </c>
      <c r="AI58" s="13">
        <f>IF('Données projet'!$A$62&gt;35,AI57+AH58-AQ57,IF(A58&lt;'Données projet'!$A$62,$AF$205^A58,IF(A58='Données projet'!$A$62,'Données projet'!$B$62,AI57+AH58-AQ57)))</f>
        <v>414.40615384615393</v>
      </c>
      <c r="AJ58" s="13">
        <f>AI58*VLOOKUP('Données projet'!$B$10,Paramètres!$A$1:$I$89,3,0)*VLOOKUP('Données projet'!$B$10,Paramètres!$A$1:$I$89,5,0)</f>
        <v>247.81488000000007</v>
      </c>
      <c r="AK58" s="13">
        <f t="shared" si="35"/>
        <v>60.117791489820576</v>
      </c>
      <c r="AL58" s="20">
        <f t="shared" si="4"/>
        <v>536.3160695114376</v>
      </c>
      <c r="AM58" s="59">
        <f t="shared" si="5"/>
        <v>829.64940284477098</v>
      </c>
      <c r="AN58" s="59">
        <f ca="1">AVERAGE(OFFSET($AM$3,0,0,'Données projet'!$E$10+1,1))-AVERAGE(OFFSET($H$3,0,0,'Données projet'!$E$10+1,1))</f>
        <v>277.11749933885778</v>
      </c>
      <c r="AO58" s="59">
        <f t="shared" si="36"/>
        <v>244.4970554728738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36.779040392224083</v>
      </c>
      <c r="AV58" s="21">
        <f>EXP(-LN(2)/25)*AV57+(1-EXP(-LN(2)/25))/(LN(2)/25)*Calculateur!AQ58*Calculateur!AS58*VLOOKUP('Données projet'!$B$10,Paramètres!$A$1:$I$89,3,0)*0.475*44/12</f>
        <v>11.065627589642961</v>
      </c>
      <c r="AW58" s="21">
        <f>EXP(-LN(2)/2)*AW57+(1-EXP(-LN(2)/2))/(LN(2)/2)*AQ58*AT58*VLOOKUP('Données projet'!$B$10,Paramètres!$A$1:$I$89,3,0)*0.475*44/12</f>
        <v>0.29521154974980141</v>
      </c>
      <c r="AX58" s="21">
        <f t="shared" si="6"/>
        <v>48.139879531616849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31.30400000000002</v>
      </c>
      <c r="D59" s="11">
        <f t="shared" si="32"/>
        <v>9.6619342771023238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316.22826459517597</v>
      </c>
      <c r="H59" s="67">
        <f t="shared" si="1"/>
        <v>364.6823355326199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446.47692307692301</v>
      </c>
      <c r="L59" s="12">
        <f>VLOOKUP(A59,'Données projet'!$A$35:$I$55,9,0)</f>
        <v>12.837499999999991</v>
      </c>
      <c r="M59" s="12">
        <f t="array" ref="M59">INDEX(L:L,MIN(IF(ISNUMBER(L59:L255),ROW(L59:L255),"")))</f>
        <v>12.837499999999991</v>
      </c>
      <c r="N59" s="13">
        <f>IF('Données projet'!$A$36&gt;35,N58+M59-V58,IF(A59&lt;'Données projet'!$A$36,$K$205^A59,IF(A59='Données projet'!$A$36,'Données projet'!$B$36,N58+M59-V58)))</f>
        <v>446.47692307692279</v>
      </c>
      <c r="O59" s="13">
        <f>N59*VLOOKUP('Données projet'!$B$9,Paramètres!$A$1:$I$89,3,0)*VLOOKUP('Données projet'!$B$9,Paramètres!$A$1:$I$89,5,0)</f>
        <v>266.99319999999983</v>
      </c>
      <c r="P59" s="13">
        <f t="shared" si="33"/>
        <v>64.210735131625498</v>
      </c>
      <c r="Q59" s="20">
        <f t="shared" si="53"/>
        <v>576.84685368758073</v>
      </c>
      <c r="R59" s="59">
        <f t="shared" si="0"/>
        <v>870.18018702091399</v>
      </c>
      <c r="S59" s="59">
        <f ca="1">AVERAGE(OFFSET($R$3,0,0,'Données projet'!$E$9+1,1))-AVERAGE(OFFSET($H$3,0,0,'Données projet'!$E$9+1,1))</f>
        <v>260.31965507630525</v>
      </c>
      <c r="T59" s="59">
        <f t="shared" si="34"/>
        <v>327.31114099338032</v>
      </c>
      <c r="U59" s="15">
        <f>IF(ISNA(VLOOKUP(A59,'Données projet'!$A$35:$I$55,3,0)),0,VLOOKUP(A59,'Données projet'!$A$35:$I$55,3,0))</f>
        <v>7</v>
      </c>
      <c r="V59" s="15">
        <f>IF(ISNA(VLOOKUP(A59,'Données projet'!$A$35:$I$55,4,0)),0,VLOOKUP(A59,'Données projet'!$A$35:$I$55,4,0))</f>
        <v>446.47692307692301</v>
      </c>
      <c r="W59" s="16">
        <f>IF(ISNA(VLOOKUP(A59,'Données projet'!$A$35:$I$55,5,0)),0%,VLOOKUP(A59,'Données projet'!$A$35:$I$55,5,0)*VLOOKUP('Données projet'!$B$9,Paramètres!$A$1:$I$89,7,0))</f>
        <v>0.315</v>
      </c>
      <c r="X59" s="16">
        <f>IF(ISNA(VLOOKUP(A59,'Données projet'!$A$35:$I$55,6,0)),0%,VLOOKUP(A59,'Données projet'!$A$35:$I$55,6,0)*VLOOKUP('Données projet'!$B$9,Paramètres!$A$1:$I$89,7,0))</f>
        <v>7.5600000000000001E-2</v>
      </c>
      <c r="Y59" s="16">
        <f>IF(ISNA(VLOOKUP(A59,'Données projet'!$A$35:$I$55,7,0)),0%,VLOOKUP(A59,'Données projet'!$A$35:$I$55,7,0))</f>
        <v>0.13200000000000001</v>
      </c>
      <c r="Z59" s="21">
        <f>EXP(-LN(2)/35)*Z58+(1-EXP(-LN(2)/35))/(LN(2)/35)*V59*W59*VLOOKUP('Données projet'!$B$9,Paramètres!$A$1:$I$89,3,0)*0.475*44/12</f>
        <v>162.84792782712228</v>
      </c>
      <c r="AA59" s="21">
        <f>EXP(-LN(2)/25)*AA58+(1-EXP(-LN(2)/25))/(LN(2)/25)*Calculateur!V59*Calculateur!X59*VLOOKUP('Données projet'!$B$9,Paramètres!$A$1:$I$89,3,0)*0.475*44/12</f>
        <v>44.200577593110729</v>
      </c>
      <c r="AB59" s="21">
        <f>EXP(-LN(2)/2)*AB58+(1-EXP(-LN(2)/2))/(LN(2)/2)*V59*Y59*VLOOKUP('Données projet'!$B$9,Paramètres!$A$1:$I$89,3,0)*0.475*44/12</f>
        <v>40.406370942809481</v>
      </c>
      <c r="AC59" s="22">
        <f t="shared" si="3"/>
        <v>247.45487636304247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>
        <f>VLOOKUP(A59,'Données projet'!$A$61:$I$81,2,0)</f>
        <v>428.20000000000005</v>
      </c>
      <c r="AG59" s="12">
        <f>VLOOKUP(A59,'Données projet'!$A$61:$I$81,9,0)</f>
        <v>13.793846153846165</v>
      </c>
      <c r="AH59" s="12">
        <f t="array" ref="AH59">INDEX(AG:AG,MIN(IF(ISNUMBER(AG59:AG255),ROW(AG59:AG255),"")))</f>
        <v>13.793846153846165</v>
      </c>
      <c r="AI59" s="13">
        <f>IF('Données projet'!$A$62&gt;35,AI58+AH59-AQ58,IF(A59&lt;'Données projet'!$A$62,$AF$205^A59,IF(A59='Données projet'!$A$62,'Données projet'!$B$62,AI58+AH59-AQ58)))</f>
        <v>428.2000000000001</v>
      </c>
      <c r="AJ59" s="13">
        <f>AI59*VLOOKUP('Données projet'!$B$10,Paramètres!$A$1:$I$89,3,0)*VLOOKUP('Données projet'!$B$10,Paramètres!$A$1:$I$89,5,0)</f>
        <v>256.06360000000012</v>
      </c>
      <c r="AK59" s="13">
        <f t="shared" si="35"/>
        <v>61.882552995500411</v>
      </c>
      <c r="AL59" s="20">
        <f t="shared" si="4"/>
        <v>553.75621646716343</v>
      </c>
      <c r="AM59" s="59">
        <f t="shared" si="5"/>
        <v>847.0895498004968</v>
      </c>
      <c r="AN59" s="59">
        <f ca="1">AVERAGE(OFFSET($AM$3,0,0,'Données projet'!$E$10+1,1))-AVERAGE(OFFSET($H$3,0,0,'Données projet'!$E$10+1,1))</f>
        <v>277.11749933885778</v>
      </c>
      <c r="AO59" s="59">
        <f t="shared" si="36"/>
        <v>244.4970554728738</v>
      </c>
      <c r="AP59" s="15">
        <f>IF(ISNA(VLOOKUP(A59,'Données projet'!$A$61:$I$81,3,0)),0,VLOOKUP(A59,'Données projet'!$A$61:$I$81,3,0))</f>
        <v>6</v>
      </c>
      <c r="AQ59" s="15">
        <f>IF(ISNA(VLOOKUP(A59,'Données projet'!$A$61:$I$81,4,0)),0,VLOOKUP(A59,'Données projet'!$A$61:$I$81,4,0))</f>
        <v>60.092307692307692</v>
      </c>
      <c r="AR59" s="16">
        <f>IF(ISNA(VLOOKUP(A59,'Données projet'!$A$61:$I$81,5,0)),0%,VLOOKUP(A59,'Données projet'!$A$61:$I$81,5,0)*VLOOKUP('Données projet'!$B$10,Paramètres!$A$1:$I$89,7,0))</f>
        <v>0.315</v>
      </c>
      <c r="AS59" s="16">
        <f>IF(ISNA(VLOOKUP(A59,'Données projet'!$A$61:$I$81,6,0)),0%,VLOOKUP(A59,'Données projet'!$A$61:$I$81,6,0)*VLOOKUP('Données projet'!$B$10,Paramètres!$A$1:$I$89,7,0))</f>
        <v>7.5600000000000001E-2</v>
      </c>
      <c r="AT59" s="16">
        <f>IF(ISNA(VLOOKUP(A59,'Données projet'!$A$61:$I$81,7,0)),0%,VLOOKUP(A59,'Données projet'!$A$61:$I$81,7,0))</f>
        <v>0.13200000000000001</v>
      </c>
      <c r="AU59" s="21">
        <f>EXP(-LN(2)/35)*AU58+(1-EXP(-LN(2)/35))/(LN(2)/35)*AQ59*AR59*VLOOKUP('Données projet'!$B$10,Paramètres!$A$1:$I$89,3,0)*0.475*44/12</f>
        <v>51.073988934152091</v>
      </c>
      <c r="AV59" s="21">
        <f>EXP(-LN(2)/25)*AV58+(1-EXP(-LN(2)/25))/(LN(2)/25)*Calculateur!AQ59*Calculateur!AS59*VLOOKUP('Données projet'!$B$10,Paramètres!$A$1:$I$89,3,0)*0.475*44/12</f>
        <v>14.352726717765847</v>
      </c>
      <c r="AW59" s="21">
        <f>EXP(-LN(2)/2)*AW58+(1-EXP(-LN(2)/2))/(LN(2)/2)*AQ59*AT59*VLOOKUP('Données projet'!$B$10,Paramètres!$A$1:$I$89,3,0)*0.475*44/12</f>
        <v>5.5794293043783174</v>
      </c>
      <c r="AX59" s="21">
        <f t="shared" si="6"/>
        <v>71.006144956296254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31.863000000000021</v>
      </c>
      <c r="D60" s="11">
        <f t="shared" si="32"/>
        <v>9.814228399582424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321.71895606695222</v>
      </c>
      <c r="H60" s="67">
        <f t="shared" si="1"/>
        <v>365.92117279593941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-2.2737367544323206E-13</v>
      </c>
      <c r="O60" s="13">
        <f>N60*VLOOKUP('Données projet'!$B$9,Paramètres!$A$1:$I$89,3,0)*VLOOKUP('Données projet'!$B$9,Paramètres!$A$1:$I$89,5,0)</f>
        <v>-1.3596945791505279E-13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260.31965507630525</v>
      </c>
      <c r="T60" s="59">
        <f t="shared" si="34"/>
        <v>327.31114099338032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159.65457928986061</v>
      </c>
      <c r="AA60" s="21">
        <f>EXP(-LN(2)/25)*AA59+(1-EXP(-LN(2)/25))/(LN(2)/25)*Calculateur!V60*Calculateur!X60*VLOOKUP('Données projet'!$B$9,Paramètres!$A$1:$I$89,3,0)*0.475*44/12</f>
        <v>42.991910474419761</v>
      </c>
      <c r="AB60" s="21">
        <f>EXP(-LN(2)/2)*AB59+(1-EXP(-LN(2)/2))/(LN(2)/2)*V60*Y60*VLOOKUP('Données projet'!$B$9,Paramètres!$A$1:$I$89,3,0)*0.475*44/12</f>
        <v>28.571618896799659</v>
      </c>
      <c r="AC60" s="22">
        <f t="shared" si="3"/>
        <v>231.21810866108004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12.05461538461538</v>
      </c>
      <c r="AI60" s="13">
        <f>IF('Données projet'!$A$62&gt;35,AI59+AH60-AQ59,IF(A60&lt;'Données projet'!$A$62,$AF$205^A60,IF(A60='Données projet'!$A$62,'Données projet'!$B$62,AI59+AH60-AQ59)))</f>
        <v>380.16230769230776</v>
      </c>
      <c r="AJ60" s="13">
        <f>AI60*VLOOKUP('Données projet'!$B$10,Paramètres!$A$1:$I$89,3,0)*VLOOKUP('Données projet'!$B$10,Paramètres!$A$1:$I$89,5,0)</f>
        <v>227.33706000000004</v>
      </c>
      <c r="AK60" s="13">
        <f t="shared" si="35"/>
        <v>55.70650197157245</v>
      </c>
      <c r="AL60" s="20">
        <f t="shared" si="4"/>
        <v>492.9675371004887</v>
      </c>
      <c r="AM60" s="59">
        <f t="shared" si="5"/>
        <v>786.30087043382196</v>
      </c>
      <c r="AN60" s="59">
        <f ca="1">AVERAGE(OFFSET($AM$3,0,0,'Données projet'!$E$10+1,1))-AVERAGE(OFFSET($H$3,0,0,'Données projet'!$E$10+1,1))</f>
        <v>277.11749933885778</v>
      </c>
      <c r="AO60" s="59">
        <f t="shared" si="36"/>
        <v>244.4970554728738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50.07245916321061</v>
      </c>
      <c r="AV60" s="21">
        <f>EXP(-LN(2)/25)*AV59+(1-EXP(-LN(2)/25))/(LN(2)/25)*Calculateur!AQ60*Calculateur!AS60*VLOOKUP('Données projet'!$B$10,Paramètres!$A$1:$I$89,3,0)*0.475*44/12</f>
        <v>13.960250650891446</v>
      </c>
      <c r="AW60" s="21">
        <f>EXP(-LN(2)/2)*AW59+(1-EXP(-LN(2)/2))/(LN(2)/2)*AQ60*AT60*VLOOKUP('Données projet'!$B$10,Paramètres!$A$1:$I$89,3,0)*0.475*44/12</f>
        <v>3.9452522962768501</v>
      </c>
      <c r="AX60" s="21">
        <f t="shared" si="6"/>
        <v>67.977962110378897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32.422000000000018</v>
      </c>
      <c r="D61" s="11">
        <f t="shared" si="32"/>
        <v>9.9662118219155289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327.20724915162879</v>
      </c>
      <c r="H61" s="67">
        <f t="shared" si="1"/>
        <v>367.15946892316958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-2.2737367544323206E-13</v>
      </c>
      <c r="O61" s="13">
        <f>N61*VLOOKUP('Données projet'!$B$9,Paramètres!$A$1:$I$89,3,0)*VLOOKUP('Données projet'!$B$9,Paramètres!$A$1:$I$89,5,0)</f>
        <v>-1.3596945791505279E-13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260.31965507630525</v>
      </c>
      <c r="T61" s="59">
        <f t="shared" si="34"/>
        <v>327.31114099338032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156.52385036966436</v>
      </c>
      <c r="AA61" s="21">
        <f>EXP(-LN(2)/25)*AA60+(1-EXP(-LN(2)/25))/(LN(2)/25)*Calculateur!V61*Calculateur!X61*VLOOKUP('Données projet'!$B$9,Paramètres!$A$1:$I$89,3,0)*0.475*44/12</f>
        <v>41.81629442165044</v>
      </c>
      <c r="AB61" s="21">
        <f>EXP(-LN(2)/2)*AB60+(1-EXP(-LN(2)/2))/(LN(2)/2)*V61*Y61*VLOOKUP('Données projet'!$B$9,Paramètres!$A$1:$I$89,3,0)*0.475*44/12</f>
        <v>20.203185471404744</v>
      </c>
      <c r="AC61" s="22">
        <f t="shared" si="3"/>
        <v>218.54333026271954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12.05461538461538</v>
      </c>
      <c r="AI61" s="13">
        <f>IF('Données projet'!$A$62&gt;35,AI60+AH61-AQ60,IF(A61&lt;'Données projet'!$A$62,$AF$205^A61,IF(A61='Données projet'!$A$62,'Données projet'!$B$62,AI60+AH61-AQ60)))</f>
        <v>392.21692307692314</v>
      </c>
      <c r="AJ61" s="13">
        <f>AI61*VLOOKUP('Données projet'!$B$10,Paramètres!$A$1:$I$89,3,0)*VLOOKUP('Données projet'!$B$10,Paramètres!$A$1:$I$89,5,0)</f>
        <v>234.54572000000007</v>
      </c>
      <c r="AK61" s="13">
        <f t="shared" si="35"/>
        <v>57.264450118616011</v>
      </c>
      <c r="AL61" s="20">
        <f t="shared" si="4"/>
        <v>508.23604628992302</v>
      </c>
      <c r="AM61" s="59">
        <f t="shared" si="5"/>
        <v>801.56937962325628</v>
      </c>
      <c r="AN61" s="59">
        <f ca="1">AVERAGE(OFFSET($AM$3,0,0,'Données projet'!$E$10+1,1))-AVERAGE(OFFSET($H$3,0,0,'Données projet'!$E$10+1,1))</f>
        <v>277.11749933885778</v>
      </c>
      <c r="AO61" s="59">
        <f t="shared" si="36"/>
        <v>244.4970554728738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49.09056878020445</v>
      </c>
      <c r="AV61" s="21">
        <f>EXP(-LN(2)/25)*AV60+(1-EXP(-LN(2)/25))/(LN(2)/25)*Calculateur!AQ61*Calculateur!AS61*VLOOKUP('Données projet'!$B$10,Paramètres!$A$1:$I$89,3,0)*0.475*44/12</f>
        <v>13.578506862705144</v>
      </c>
      <c r="AW61" s="21">
        <f>EXP(-LN(2)/2)*AW60+(1-EXP(-LN(2)/2))/(LN(2)/2)*AQ61*AT61*VLOOKUP('Données projet'!$B$10,Paramètres!$A$1:$I$89,3,0)*0.475*44/12</f>
        <v>2.7897146521891591</v>
      </c>
      <c r="AX61" s="21">
        <f t="shared" si="6"/>
        <v>65.458790295098751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32.981000000000016</v>
      </c>
      <c r="D62" s="11">
        <f t="shared" si="32"/>
        <v>10.117890519143426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332.69318997233535</v>
      </c>
      <c r="H62" s="67">
        <f t="shared" si="1"/>
        <v>368.39723432084145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-2.2737367544323206E-13</v>
      </c>
      <c r="O62" s="13">
        <f>N62*VLOOKUP('Données projet'!$B$9,Paramètres!$A$1:$I$89,3,0)*VLOOKUP('Données projet'!$B$9,Paramètres!$A$1:$I$89,5,0)</f>
        <v>-1.3596945791505279E-13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260.31965507630525</v>
      </c>
      <c r="T62" s="59">
        <f t="shared" si="34"/>
        <v>327.31114099338032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153.45451313403709</v>
      </c>
      <c r="AA62" s="21">
        <f>EXP(-LN(2)/25)*AA61+(1-EXP(-LN(2)/25))/(LN(2)/25)*Calculateur!V62*Calculateur!X62*VLOOKUP('Données projet'!$B$9,Paramètres!$A$1:$I$89,3,0)*0.475*44/12</f>
        <v>40.672825651667054</v>
      </c>
      <c r="AB62" s="21">
        <f>EXP(-LN(2)/2)*AB61+(1-EXP(-LN(2)/2))/(LN(2)/2)*V62*Y62*VLOOKUP('Données projet'!$B$9,Paramètres!$A$1:$I$89,3,0)*0.475*44/12</f>
        <v>14.285809448399831</v>
      </c>
      <c r="AC62" s="22">
        <f t="shared" si="3"/>
        <v>208.41314823410397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12.05461538461538</v>
      </c>
      <c r="AI62" s="13">
        <f>IF('Données projet'!$A$62&gt;35,AI61+AH62-AQ61,IF(A62&lt;'Données projet'!$A$62,$AF$205^A62,IF(A62='Données projet'!$A$62,'Données projet'!$B$62,AI61+AH62-AQ61)))</f>
        <v>404.27153846153851</v>
      </c>
      <c r="AJ62" s="13">
        <f>AI62*VLOOKUP('Données projet'!$B$10,Paramètres!$A$1:$I$89,3,0)*VLOOKUP('Données projet'!$B$10,Paramètres!$A$1:$I$89,5,0)</f>
        <v>241.75438000000005</v>
      </c>
      <c r="AK62" s="13">
        <f t="shared" si="35"/>
        <v>58.816833733689712</v>
      </c>
      <c r="AL62" s="20">
        <f t="shared" si="4"/>
        <v>523.49486391950961</v>
      </c>
      <c r="AM62" s="59">
        <f t="shared" si="5"/>
        <v>816.82819725284298</v>
      </c>
      <c r="AN62" s="59">
        <f ca="1">AVERAGE(OFFSET($AM$3,0,0,'Données projet'!$E$10+1,1))-AVERAGE(OFFSET($H$3,0,0,'Données projet'!$E$10+1,1))</f>
        <v>277.11749933885778</v>
      </c>
      <c r="AO62" s="59">
        <f t="shared" si="36"/>
        <v>244.4970554728738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48.12793266871504</v>
      </c>
      <c r="AV62" s="21">
        <f>EXP(-LN(2)/25)*AV61+(1-EXP(-LN(2)/25))/(LN(2)/25)*Calculateur!AQ62*Calculateur!AS62*VLOOKUP('Données projet'!$B$10,Paramètres!$A$1:$I$89,3,0)*0.475*44/12</f>
        <v>13.207201878481829</v>
      </c>
      <c r="AW62" s="21">
        <f>EXP(-LN(2)/2)*AW61+(1-EXP(-LN(2)/2))/(LN(2)/2)*AQ62*AT62*VLOOKUP('Données projet'!$B$10,Paramètres!$A$1:$I$89,3,0)*0.475*44/12</f>
        <v>1.9726261481384255</v>
      </c>
      <c r="AX62" s="21">
        <f t="shared" si="6"/>
        <v>63.307760695335297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33.540000000000013</v>
      </c>
      <c r="D63" s="11">
        <f t="shared" si="32"/>
        <v>10.269270252156671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338.17682299910427</v>
      </c>
      <c r="H63" s="67">
        <f t="shared" si="1"/>
        <v>369.63447902250618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-2.2737367544323206E-13</v>
      </c>
      <c r="O63" s="13">
        <f>N63*VLOOKUP('Données projet'!$B$9,Paramètres!$A$1:$I$89,3,0)*VLOOKUP('Données projet'!$B$9,Paramètres!$A$1:$I$89,5,0)</f>
        <v>-1.3596945791505279E-13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260.31965507630525</v>
      </c>
      <c r="T63" s="59">
        <f t="shared" si="34"/>
        <v>327.31114099338032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150.4453637294896</v>
      </c>
      <c r="AA63" s="21">
        <f>EXP(-LN(2)/25)*AA62+(1-EXP(-LN(2)/25))/(LN(2)/25)*Calculateur!V63*Calculateur!X63*VLOOKUP('Données projet'!$B$9,Paramètres!$A$1:$I$89,3,0)*0.475*44/12</f>
        <v>39.560625095331275</v>
      </c>
      <c r="AB63" s="21">
        <f>EXP(-LN(2)/2)*AB62+(1-EXP(-LN(2)/2))/(LN(2)/2)*V63*Y63*VLOOKUP('Données projet'!$B$9,Paramètres!$A$1:$I$89,3,0)*0.475*44/12</f>
        <v>10.101592735702374</v>
      </c>
      <c r="AC63" s="22">
        <f t="shared" si="3"/>
        <v>200.10758156052324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12.05461538461538</v>
      </c>
      <c r="AI63" s="13">
        <f>IF('Données projet'!$A$62&gt;35,AI62+AH63-AQ62,IF(A63&lt;'Données projet'!$A$62,$AF$205^A63,IF(A63='Données projet'!$A$62,'Données projet'!$B$62,AI62+AH63-AQ62)))</f>
        <v>416.32615384615389</v>
      </c>
      <c r="AJ63" s="13">
        <f>AI63*VLOOKUP('Données projet'!$B$10,Paramètres!$A$1:$I$89,3,0)*VLOOKUP('Données projet'!$B$10,Paramètres!$A$1:$I$89,5,0)</f>
        <v>248.96304000000006</v>
      </c>
      <c r="AK63" s="13">
        <f t="shared" si="35"/>
        <v>60.363837788674616</v>
      </c>
      <c r="AL63" s="20">
        <f t="shared" si="4"/>
        <v>538.7443121486084</v>
      </c>
      <c r="AM63" s="59">
        <f t="shared" si="5"/>
        <v>832.07764548194177</v>
      </c>
      <c r="AN63" s="59">
        <f ca="1">AVERAGE(OFFSET($AM$3,0,0,'Données projet'!$E$10+1,1))-AVERAGE(OFFSET($H$3,0,0,'Données projet'!$E$10+1,1))</f>
        <v>277.11749933885778</v>
      </c>
      <c r="AO63" s="59">
        <f t="shared" si="36"/>
        <v>244.4970554728738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47.18417326422189</v>
      </c>
      <c r="AV63" s="21">
        <f>EXP(-LN(2)/25)*AV62+(1-EXP(-LN(2)/25))/(LN(2)/25)*Calculateur!AQ63*Calculateur!AS63*VLOOKUP('Données projet'!$B$10,Paramètres!$A$1:$I$89,3,0)*0.475*44/12</f>
        <v>12.846050248578182</v>
      </c>
      <c r="AW63" s="21">
        <f>EXP(-LN(2)/2)*AW62+(1-EXP(-LN(2)/2))/(LN(2)/2)*AQ63*AT63*VLOOKUP('Données projet'!$B$10,Paramètres!$A$1:$I$89,3,0)*0.475*44/12</f>
        <v>1.3948573260945798</v>
      </c>
      <c r="AX63" s="21">
        <f t="shared" si="6"/>
        <v>61.425080838894651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34.099000000000011</v>
      </c>
      <c r="D64" s="11">
        <f t="shared" si="32"/>
        <v>10.420356578808908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343.65819113466529</v>
      </c>
      <c r="H64" s="67">
        <f t="shared" si="1"/>
        <v>370.87121270809217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-2.2737367544323206E-13</v>
      </c>
      <c r="O64" s="13">
        <f>N64*VLOOKUP('Données projet'!$B$9,Paramètres!$A$1:$I$89,3,0)*VLOOKUP('Données projet'!$B$9,Paramètres!$A$1:$I$89,5,0)</f>
        <v>-1.3596945791505279E-13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260.31965507630525</v>
      </c>
      <c r="T64" s="59">
        <f t="shared" si="34"/>
        <v>327.31114099338032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147.49522190936537</v>
      </c>
      <c r="AA64" s="21">
        <f>EXP(-LN(2)/25)*AA63+(1-EXP(-LN(2)/25))/(LN(2)/25)*Calculateur!V64*Calculateur!X64*VLOOKUP('Données projet'!$B$9,Paramètres!$A$1:$I$89,3,0)*0.475*44/12</f>
        <v>38.478837721696586</v>
      </c>
      <c r="AB64" s="21">
        <f>EXP(-LN(2)/2)*AB63+(1-EXP(-LN(2)/2))/(LN(2)/2)*V64*Y64*VLOOKUP('Données projet'!$B$9,Paramètres!$A$1:$I$89,3,0)*0.475*44/12</f>
        <v>7.1429047241999166</v>
      </c>
      <c r="AC64" s="22">
        <f t="shared" si="3"/>
        <v>193.11696435526187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12.05461538461538</v>
      </c>
      <c r="AI64" s="13">
        <f>IF('Données projet'!$A$62&gt;35,AI63+AH64-AQ63,IF(A64&lt;'Données projet'!$A$62,$AF$205^A64,IF(A64='Données projet'!$A$62,'Données projet'!$B$62,AI63+AH64-AQ63)))</f>
        <v>428.38076923076926</v>
      </c>
      <c r="AJ64" s="13">
        <f>AI64*VLOOKUP('Données projet'!$B$10,Paramètres!$A$1:$I$89,3,0)*VLOOKUP('Données projet'!$B$10,Paramètres!$A$1:$I$89,5,0)</f>
        <v>256.17170000000004</v>
      </c>
      <c r="AK64" s="13">
        <f t="shared" si="35"/>
        <v>61.90563593470165</v>
      </c>
      <c r="AL64" s="20">
        <f t="shared" si="4"/>
        <v>553.98469341960538</v>
      </c>
      <c r="AM64" s="59">
        <f t="shared" si="5"/>
        <v>847.31802675293875</v>
      </c>
      <c r="AN64" s="59">
        <f ca="1">AVERAGE(OFFSET($AM$3,0,0,'Données projet'!$E$10+1,1))-AVERAGE(OFFSET($H$3,0,0,'Données projet'!$E$10+1,1))</f>
        <v>277.11749933885778</v>
      </c>
      <c r="AO64" s="59">
        <f t="shared" si="36"/>
        <v>244.4970554728738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46.258920406014447</v>
      </c>
      <c r="AV64" s="21">
        <f>EXP(-LN(2)/25)*AV63+(1-EXP(-LN(2)/25))/(LN(2)/25)*Calculateur!AQ64*Calculateur!AS64*VLOOKUP('Données projet'!$B$10,Paramètres!$A$1:$I$89,3,0)*0.475*44/12</f>
        <v>12.49477432898639</v>
      </c>
      <c r="AW64" s="21">
        <f>EXP(-LN(2)/2)*AW63+(1-EXP(-LN(2)/2))/(LN(2)/2)*AQ64*AT64*VLOOKUP('Données projet'!$B$10,Paramètres!$A$1:$I$89,3,0)*0.475*44/12</f>
        <v>0.98631307406921287</v>
      </c>
      <c r="AX64" s="21">
        <f t="shared" si="6"/>
        <v>59.74000780907005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34.658000000000008</v>
      </c>
      <c r="D65" s="11">
        <f t="shared" si="32"/>
        <v>10.571154864281649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349.13733579445488</v>
      </c>
      <c r="H65" s="67">
        <f t="shared" si="1"/>
        <v>372.10744472195717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-2.2737367544323206E-13</v>
      </c>
      <c r="O65" s="13">
        <f>N65*VLOOKUP('Données projet'!$B$9,Paramètres!$A$1:$I$89,3,0)*VLOOKUP('Données projet'!$B$9,Paramètres!$A$1:$I$89,5,0)</f>
        <v>-1.3596945791505279E-13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260.31965507630525</v>
      </c>
      <c r="T65" s="59">
        <f t="shared" si="34"/>
        <v>327.31114099338032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144.60293057092494</v>
      </c>
      <c r="AA65" s="21">
        <f>EXP(-LN(2)/25)*AA64+(1-EXP(-LN(2)/25))/(LN(2)/25)*Calculateur!V65*Calculateur!X65*VLOOKUP('Données projet'!$B$9,Paramètres!$A$1:$I$89,3,0)*0.475*44/12</f>
        <v>37.426631880682663</v>
      </c>
      <c r="AB65" s="21">
        <f>EXP(-LN(2)/2)*AB64+(1-EXP(-LN(2)/2))/(LN(2)/2)*V65*Y65*VLOOKUP('Données projet'!$B$9,Paramètres!$A$1:$I$89,3,0)*0.475*44/12</f>
        <v>5.0507963678511878</v>
      </c>
      <c r="AC65" s="22">
        <f t="shared" si="3"/>
        <v>187.08035881945878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12.05461538461538</v>
      </c>
      <c r="AI65" s="13">
        <f>IF('Données projet'!$A$62&gt;35,AI64+AH65-AQ64,IF(A65&lt;'Données projet'!$A$62,$AF$205^A65,IF(A65='Données projet'!$A$62,'Données projet'!$B$62,AI64+AH65-AQ64)))</f>
        <v>440.43538461538463</v>
      </c>
      <c r="AJ65" s="13">
        <f>AI65*VLOOKUP('Données projet'!$B$10,Paramètres!$A$1:$I$89,3,0)*VLOOKUP('Données projet'!$B$10,Paramètres!$A$1:$I$89,5,0)</f>
        <v>263.38036</v>
      </c>
      <c r="AK65" s="13">
        <f t="shared" si="35"/>
        <v>63.442391493835359</v>
      </c>
      <c r="AL65" s="20">
        <f t="shared" si="4"/>
        <v>569.21629218509656</v>
      </c>
      <c r="AM65" s="59">
        <f t="shared" si="5"/>
        <v>862.54962551842982</v>
      </c>
      <c r="AN65" s="59">
        <f ca="1">AVERAGE(OFFSET($AM$3,0,0,'Données projet'!$E$10+1,1))-AVERAGE(OFFSET($H$3,0,0,'Données projet'!$E$10+1,1))</f>
        <v>277.11749933885778</v>
      </c>
      <c r="AO65" s="59">
        <f t="shared" si="36"/>
        <v>244.4970554728738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45.351811192007936</v>
      </c>
      <c r="AV65" s="21">
        <f>EXP(-LN(2)/25)*AV64+(1-EXP(-LN(2)/25))/(LN(2)/25)*Calculateur!AQ65*Calculateur!AS65*VLOOKUP('Données projet'!$B$10,Paramètres!$A$1:$I$89,3,0)*0.475*44/12</f>
        <v>12.153104067888632</v>
      </c>
      <c r="AW65" s="21">
        <f>EXP(-LN(2)/2)*AW64+(1-EXP(-LN(2)/2))/(LN(2)/2)*AQ65*AT65*VLOOKUP('Données projet'!$B$10,Paramètres!$A$1:$I$89,3,0)*0.475*44/12</f>
        <v>0.69742866304729001</v>
      </c>
      <c r="AX65" s="21">
        <f t="shared" si="6"/>
        <v>58.202343922943861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35.217000000000006</v>
      </c>
      <c r="D66" s="11">
        <f t="shared" si="32"/>
        <v>10.721670290761447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354.6142969813165</v>
      </c>
      <c r="H66" s="67">
        <f t="shared" si="1"/>
        <v>373.34318408974286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-2.2737367544323206E-13</v>
      </c>
      <c r="O66" s="13">
        <f>N66*VLOOKUP('Données projet'!$B$9,Paramètres!$A$1:$I$89,3,0)*VLOOKUP('Données projet'!$B$9,Paramètres!$A$1:$I$89,5,0)</f>
        <v>-1.3596945791505279E-13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260.31965507630525</v>
      </c>
      <c r="T66" s="59">
        <f t="shared" si="34"/>
        <v>327.31114099338032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141.76735530150782</v>
      </c>
      <c r="AA66" s="21">
        <f>EXP(-LN(2)/25)*AA65+(1-EXP(-LN(2)/25))/(LN(2)/25)*Calculateur!V66*Calculateur!X66*VLOOKUP('Données projet'!$B$9,Paramètres!$A$1:$I$89,3,0)*0.475*44/12</f>
        <v>36.403198663724368</v>
      </c>
      <c r="AB66" s="21">
        <f>EXP(-LN(2)/2)*AB65+(1-EXP(-LN(2)/2))/(LN(2)/2)*V66*Y66*VLOOKUP('Données projet'!$B$9,Paramètres!$A$1:$I$89,3,0)*0.475*44/12</f>
        <v>3.5714523620999592</v>
      </c>
      <c r="AC66" s="22">
        <f t="shared" si="3"/>
        <v>181.74200632733215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12.05461538461538</v>
      </c>
      <c r="AI66" s="13">
        <f>IF('Données projet'!$A$62&gt;35,AI65+AH66-AQ65,IF(A66&lt;'Données projet'!$A$62,$AF$205^A66,IF(A66='Données projet'!$A$62,'Données projet'!$B$62,AI65+AH66-AQ65)))</f>
        <v>452.49</v>
      </c>
      <c r="AJ66" s="13">
        <f>AI66*VLOOKUP('Données projet'!$B$10,Paramètres!$A$1:$I$89,3,0)*VLOOKUP('Données projet'!$B$10,Paramètres!$A$1:$I$89,5,0)</f>
        <v>270.58902000000006</v>
      </c>
      <c r="AK66" s="13">
        <f t="shared" si="35"/>
        <v>64.974258339135972</v>
      </c>
      <c r="AL66" s="20">
        <f t="shared" si="4"/>
        <v>584.43937644066193</v>
      </c>
      <c r="AM66" s="59">
        <f t="shared" si="5"/>
        <v>877.7727097739953</v>
      </c>
      <c r="AN66" s="59">
        <f ca="1">AVERAGE(OFFSET($AM$3,0,0,'Données projet'!$E$10+1,1))-AVERAGE(OFFSET($H$3,0,0,'Données projet'!$E$10+1,1))</f>
        <v>277.11749933885778</v>
      </c>
      <c r="AO66" s="59">
        <f t="shared" si="36"/>
        <v>244.4970554728738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44.462489836406107</v>
      </c>
      <c r="AV66" s="21">
        <f>EXP(-LN(2)/25)*AV65+(1-EXP(-LN(2)/25))/(LN(2)/25)*Calculateur!AQ66*Calculateur!AS66*VLOOKUP('Données projet'!$B$10,Paramètres!$A$1:$I$89,3,0)*0.475*44/12</f>
        <v>11.820776798048252</v>
      </c>
      <c r="AW66" s="21">
        <f>EXP(-LN(2)/2)*AW65+(1-EXP(-LN(2)/2))/(LN(2)/2)*AQ66*AT66*VLOOKUP('Données projet'!$B$10,Paramètres!$A$1:$I$89,3,0)*0.475*44/12</f>
        <v>0.49315653703460649</v>
      </c>
      <c r="AX66" s="21">
        <f t="shared" si="6"/>
        <v>56.776423171488965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35.776000000000003</v>
      </c>
      <c r="D67" s="11">
        <f t="shared" si="32"/>
        <v>10.871907866485202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360.0891133553244</v>
      </c>
      <c r="H67" s="67">
        <f t="shared" si="1"/>
        <v>374.57843953412839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-2.2737367544323206E-13</v>
      </c>
      <c r="O67" s="13">
        <f>N67*VLOOKUP('Données projet'!$B$9,Paramètres!$A$1:$I$89,3,0)*VLOOKUP('Données projet'!$B$9,Paramètres!$A$1:$I$89,5,0)</f>
        <v>-1.3596945791505279E-13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260.31965507630525</v>
      </c>
      <c r="T67" s="59">
        <f t="shared" si="34"/>
        <v>327.31114099338032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138.98738393359383</v>
      </c>
      <c r="AA67" s="21">
        <f>EXP(-LN(2)/25)*AA66+(1-EXP(-LN(2)/25))/(LN(2)/25)*Calculateur!V67*Calculateur!X67*VLOOKUP('Données projet'!$B$9,Paramètres!$A$1:$I$89,3,0)*0.475*44/12</f>
        <v>35.407751281903806</v>
      </c>
      <c r="AB67" s="21">
        <f>EXP(-LN(2)/2)*AB66+(1-EXP(-LN(2)/2))/(LN(2)/2)*V67*Y67*VLOOKUP('Données projet'!$B$9,Paramètres!$A$1:$I$89,3,0)*0.475*44/12</f>
        <v>2.5253981839255943</v>
      </c>
      <c r="AC67" s="22">
        <f t="shared" si="3"/>
        <v>176.92053339942325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12.05461538461538</v>
      </c>
      <c r="AI67" s="13">
        <f>IF('Données projet'!$A$62&gt;35,AI66+AH67-AQ66,IF(A67&lt;'Données projet'!$A$62,$AF$205^A67,IF(A67='Données projet'!$A$62,'Données projet'!$B$62,AI66+AH67-AQ66)))</f>
        <v>464.54461538461538</v>
      </c>
      <c r="AJ67" s="13">
        <f>AI67*VLOOKUP('Données projet'!$B$10,Paramètres!$A$1:$I$89,3,0)*VLOOKUP('Données projet'!$B$10,Paramètres!$A$1:$I$89,5,0)</f>
        <v>277.79768000000001</v>
      </c>
      <c r="AK67" s="13">
        <f t="shared" si="35"/>
        <v>66.501381678302167</v>
      </c>
      <c r="AL67" s="20">
        <f t="shared" si="4"/>
        <v>599.65419908970955</v>
      </c>
      <c r="AM67" s="59">
        <f t="shared" si="5"/>
        <v>892.98753242304292</v>
      </c>
      <c r="AN67" s="59">
        <f ca="1">AVERAGE(OFFSET($AM$3,0,0,'Données projet'!$E$10+1,1))-AVERAGE(OFFSET($H$3,0,0,'Données projet'!$E$10+1,1))</f>
        <v>277.11749933885778</v>
      </c>
      <c r="AO67" s="59">
        <f t="shared" si="36"/>
        <v>244.4970554728738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43.590607530155161</v>
      </c>
      <c r="AV67" s="21">
        <f>EXP(-LN(2)/25)*AV66+(1-EXP(-LN(2)/25))/(LN(2)/25)*Calculateur!AQ67*Calculateur!AS67*VLOOKUP('Données projet'!$B$10,Paramètres!$A$1:$I$89,3,0)*0.475*44/12</f>
        <v>11.497537034877988</v>
      </c>
      <c r="AW67" s="21">
        <f>EXP(-LN(2)/2)*AW66+(1-EXP(-LN(2)/2))/(LN(2)/2)*AQ67*AT67*VLOOKUP('Données projet'!$B$10,Paramètres!$A$1:$I$89,3,0)*0.475*44/12</f>
        <v>0.34871433152364506</v>
      </c>
      <c r="AX67" s="21">
        <f t="shared" si="6"/>
        <v>55.436858896556792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36.335000000000001</v>
      </c>
      <c r="D68" s="11">
        <f t="shared" si="32"/>
        <v>11.02187243420407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365.56182229911923</v>
      </c>
      <c r="H68" s="67">
        <f t="shared" ref="H68:H131" si="56">(B68+E68+F68)*44/12+(C68+D68)*0.475*44/12</f>
        <v>375.81321948957208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-2.2737367544323206E-13</v>
      </c>
      <c r="O68" s="13">
        <f>N68*VLOOKUP('Données projet'!$B$9,Paramètres!$A$1:$I$89,3,0)*VLOOKUP('Données projet'!$B$9,Paramètres!$A$1:$I$89,5,0)</f>
        <v>-1.3596945791505279E-13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260.31965507630525</v>
      </c>
      <c r="T68" s="59">
        <f t="shared" si="34"/>
        <v>327.31114099338032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136.26192610858953</v>
      </c>
      <c r="AA68" s="21">
        <f>EXP(-LN(2)/25)*AA67+(1-EXP(-LN(2)/25))/(LN(2)/25)*Calculateur!V68*Calculateur!X68*VLOOKUP('Données projet'!$B$9,Paramètres!$A$1:$I$89,3,0)*0.475*44/12</f>
        <v>34.43952446108743</v>
      </c>
      <c r="AB68" s="21">
        <f>EXP(-LN(2)/2)*AB67+(1-EXP(-LN(2)/2))/(LN(2)/2)*V68*Y68*VLOOKUP('Données projet'!$B$9,Paramètres!$A$1:$I$89,3,0)*0.475*44/12</f>
        <v>1.7857261810499798</v>
      </c>
      <c r="AC68" s="22">
        <f t="shared" ref="AC68:AC131" si="57">SUM(Z68:AB68)</f>
        <v>172.48717675072695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12.05461538461538</v>
      </c>
      <c r="AI68" s="13">
        <f>IF('Données projet'!$A$62&gt;35,AI67+AH68-AQ67,IF(A68&lt;'Données projet'!$A$62,$AF$205^A68,IF(A68='Données projet'!$A$62,'Données projet'!$B$62,AI67+AH68-AQ67)))</f>
        <v>476.59923076923076</v>
      </c>
      <c r="AJ68" s="13">
        <f>AI68*VLOOKUP('Données projet'!$B$10,Paramètres!$A$1:$I$89,3,0)*VLOOKUP('Données projet'!$B$10,Paramètres!$A$1:$I$89,5,0)</f>
        <v>285.00634000000002</v>
      </c>
      <c r="AK68" s="13">
        <f t="shared" si="35"/>
        <v>68.023898753685756</v>
      </c>
      <c r="AL68" s="20">
        <f t="shared" ref="AL68:AL131" si="58">(AJ68+AK68)*0.475*44/12</f>
        <v>614.86099916266949</v>
      </c>
      <c r="AM68" s="59">
        <f t="shared" ref="AM68:AM131" si="59">AL68+(AD68+AE68)*44/12</f>
        <v>908.19433249600274</v>
      </c>
      <c r="AN68" s="59">
        <f ca="1">AVERAGE(OFFSET($AM$3,0,0,'Données projet'!$E$10+1,1))-AVERAGE(OFFSET($H$3,0,0,'Données projet'!$E$10+1,1))</f>
        <v>277.11749933885778</v>
      </c>
      <c r="AO68" s="59">
        <f t="shared" si="36"/>
        <v>244.4970554728738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42.735822304134096</v>
      </c>
      <c r="AV68" s="21">
        <f>EXP(-LN(2)/25)*AV67+(1-EXP(-LN(2)/25))/(LN(2)/25)*Calculateur!AQ68*Calculateur!AS68*VLOOKUP('Données projet'!$B$10,Paramètres!$A$1:$I$89,3,0)*0.475*44/12</f>
        <v>11.183136280030055</v>
      </c>
      <c r="AW68" s="21">
        <f>EXP(-LN(2)/2)*AW67+(1-EXP(-LN(2)/2))/(LN(2)/2)*AQ68*AT68*VLOOKUP('Données projet'!$B$10,Paramètres!$A$1:$I$89,3,0)*0.475*44/12</f>
        <v>0.2465782685173033</v>
      </c>
      <c r="AX68" s="21">
        <f t="shared" ref="AX68:AX131" si="60">SUM(AU68:AW68)</f>
        <v>54.165536852681456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36.893999999999998</v>
      </c>
      <c r="D69" s="11">
        <f t="shared" ref="D69:D132" si="86">IFERROR(EXP(-1.0587+0.8836*LN(C69)+0.284),0)</f>
        <v>11.17156867911179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371.03245997910858</v>
      </c>
      <c r="H69" s="67">
        <f t="shared" si="56"/>
        <v>377.04753211611967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-2.2737367544323206E-13</v>
      </c>
      <c r="O69" s="13">
        <f>N69*VLOOKUP('Données projet'!$B$9,Paramètres!$A$1:$I$89,3,0)*VLOOKUP('Données projet'!$B$9,Paramètres!$A$1:$I$89,5,0)</f>
        <v>-1.3596945791505279E-13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260.31965507630525</v>
      </c>
      <c r="T69" s="59">
        <f t="shared" ref="T69:T132" si="88">$T$3</f>
        <v>327.31114099338032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133.58991284916843</v>
      </c>
      <c r="AA69" s="21">
        <f>EXP(-LN(2)/25)*AA68+(1-EXP(-LN(2)/25))/(LN(2)/25)*Calculateur!V69*Calculateur!X69*VLOOKUP('Données projet'!$B$9,Paramètres!$A$1:$I$89,3,0)*0.475*44/12</f>
        <v>33.497773853603114</v>
      </c>
      <c r="AB69" s="21">
        <f>EXP(-LN(2)/2)*AB68+(1-EXP(-LN(2)/2))/(LN(2)/2)*V69*Y69*VLOOKUP('Données projet'!$B$9,Paramètres!$A$1:$I$89,3,0)*0.475*44/12</f>
        <v>1.2626990919627974</v>
      </c>
      <c r="AC69" s="22">
        <f t="shared" si="57"/>
        <v>168.35038579473434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488.65384615384613</v>
      </c>
      <c r="AG69" s="12">
        <f>VLOOKUP(A69,'Données projet'!$A$61:$I$81,9,0)</f>
        <v>12.05461538461538</v>
      </c>
      <c r="AH69" s="12">
        <f t="array" ref="AH69">INDEX(AG:AG,MIN(IF(ISNUMBER(AG69:AG265),ROW(AG69:AG265),"")))</f>
        <v>12.05461538461538</v>
      </c>
      <c r="AI69" s="13">
        <f>IF('Données projet'!$A$62&gt;35,AI68+AH69-AQ68,IF(A69&lt;'Données projet'!$A$62,$AF$205^A69,IF(A69='Données projet'!$A$62,'Données projet'!$B$62,AI68+AH69-AQ68)))</f>
        <v>488.65384615384613</v>
      </c>
      <c r="AJ69" s="13">
        <f>AI69*VLOOKUP('Données projet'!$B$10,Paramètres!$A$1:$I$89,3,0)*VLOOKUP('Données projet'!$B$10,Paramètres!$A$1:$I$89,5,0)</f>
        <v>292.21500000000003</v>
      </c>
      <c r="AK69" s="13">
        <f t="shared" ref="AK69:AK132" si="89">EXP(-1.0587+0.8836*LN(AJ69)+0.284)</f>
        <v>69.541939469490984</v>
      </c>
      <c r="AL69" s="20">
        <f t="shared" si="58"/>
        <v>630.06000290936356</v>
      </c>
      <c r="AM69" s="59">
        <f t="shared" si="59"/>
        <v>923.39333624269693</v>
      </c>
      <c r="AN69" s="59">
        <f ca="1">AVERAGE(OFFSET($AM$3,0,0,'Données projet'!$E$10+1,1))-AVERAGE(OFFSET($H$3,0,0,'Données projet'!$E$10+1,1))</f>
        <v>277.11749933885778</v>
      </c>
      <c r="AO69" s="59">
        <f t="shared" ref="AO69:AO132" si="90">$AO$3</f>
        <v>244.4970554728738</v>
      </c>
      <c r="AP69" s="15">
        <f>IF(ISNA(VLOOKUP(A69,'Données projet'!$A$61:$I$81,3,0)),0,VLOOKUP(A69,'Données projet'!$A$61:$I$81,3,0))</f>
        <v>7</v>
      </c>
      <c r="AQ69" s="15">
        <f>IF(ISNA(VLOOKUP(A69,'Données projet'!$A$61:$I$81,4,0)),0,VLOOKUP(A69,'Données projet'!$A$61:$I$81,4,0))</f>
        <v>68.146153846153851</v>
      </c>
      <c r="AR69" s="16">
        <f>IF(ISNA(VLOOKUP(A69,'Données projet'!$A$61:$I$81,5,0)),0%,VLOOKUP(A69,'Données projet'!$A$61:$I$81,5,0)*VLOOKUP('Données projet'!$B$10,Paramètres!$A$1:$I$89,7,0))</f>
        <v>0.315</v>
      </c>
      <c r="AS69" s="16">
        <f>IF(ISNA(VLOOKUP(A69,'Données projet'!$A$61:$I$81,6,0)),0%,VLOOKUP(A69,'Données projet'!$A$61:$I$81,6,0)*VLOOKUP('Données projet'!$B$10,Paramètres!$A$1:$I$89,7,0))</f>
        <v>7.5600000000000001E-2</v>
      </c>
      <c r="AT69" s="16">
        <f>IF(ISNA(VLOOKUP(A69,'Données projet'!$A$61:$I$81,7,0)),0%,VLOOKUP(A69,'Données projet'!$A$61:$I$81,7,0))</f>
        <v>0.13200000000000001</v>
      </c>
      <c r="AU69" s="21">
        <f>EXP(-LN(2)/35)*AU68+(1-EXP(-LN(2)/35))/(LN(2)/35)*AQ69*AR69*VLOOKUP('Données projet'!$B$10,Paramètres!$A$1:$I$89,3,0)*0.475*44/12</f>
        <v>58.926496901088441</v>
      </c>
      <c r="AV69" s="21">
        <f>EXP(-LN(2)/25)*AV68+(1-EXP(-LN(2)/25))/(LN(2)/25)*Calculateur!AQ69*Calculateur!AS69*VLOOKUP('Données projet'!$B$10,Paramètres!$A$1:$I$89,3,0)*0.475*44/12</f>
        <v>14.948128718413415</v>
      </c>
      <c r="AW69" s="21">
        <f>EXP(-LN(2)/2)*AW68+(1-EXP(-LN(2)/2))/(LN(2)/2)*AQ69*AT69*VLOOKUP('Données projet'!$B$10,Paramètres!$A$1:$I$89,3,0)*0.475*44/12</f>
        <v>6.2648439306852666</v>
      </c>
      <c r="AX69" s="21">
        <f t="shared" si="60"/>
        <v>80.13946955018713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37.452999999999996</v>
      </c>
      <c r="D70" s="11">
        <f t="shared" si="86"/>
        <v>11.321001136278802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376.50106140285385</v>
      </c>
      <c r="H70" s="67">
        <f t="shared" si="56"/>
        <v>378.2813853123522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-2.2737367544323206E-13</v>
      </c>
      <c r="O70" s="13">
        <f>N70*VLOOKUP('Données projet'!$B$9,Paramètres!$A$1:$I$89,3,0)*VLOOKUP('Données projet'!$B$9,Paramètres!$A$1:$I$89,5,0)</f>
        <v>-1.3596945791505279E-13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260.31965507630525</v>
      </c>
      <c r="T70" s="59">
        <f t="shared" si="88"/>
        <v>327.31114099338032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130.9702961399974</v>
      </c>
      <c r="AA70" s="21">
        <f>EXP(-LN(2)/25)*AA69+(1-EXP(-LN(2)/25))/(LN(2)/25)*Calculateur!V70*Calculateur!X70*VLOOKUP('Données projet'!$B$9,Paramètres!$A$1:$I$89,3,0)*0.475*44/12</f>
        <v>32.58177546600497</v>
      </c>
      <c r="AB70" s="21">
        <f>EXP(-LN(2)/2)*AB69+(1-EXP(-LN(2)/2))/(LN(2)/2)*V70*Y70*VLOOKUP('Données projet'!$B$9,Paramètres!$A$1:$I$89,3,0)*0.475*44/12</f>
        <v>0.89286309052499013</v>
      </c>
      <c r="AC70" s="22">
        <f t="shared" si="57"/>
        <v>164.44493469652735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9.9715384615384544</v>
      </c>
      <c r="AI70" s="13">
        <f>IF('Données projet'!$A$62&gt;35,AI69+AH70-AQ69,IF(A70&lt;'Données projet'!$A$62,$AF$205^A70,IF(A70='Données projet'!$A$62,'Données projet'!$B$62,AI69+AH70-AQ69)))</f>
        <v>430.47923076923075</v>
      </c>
      <c r="AJ70" s="13">
        <f>AI70*VLOOKUP('Données projet'!$B$10,Paramètres!$A$1:$I$89,3,0)*VLOOKUP('Données projet'!$B$10,Paramètres!$A$1:$I$89,5,0)</f>
        <v>257.42658</v>
      </c>
      <c r="AK70" s="13">
        <f t="shared" si="89"/>
        <v>62.173511644566837</v>
      </c>
      <c r="AL70" s="20">
        <f t="shared" si="58"/>
        <v>556.63682628095387</v>
      </c>
      <c r="AM70" s="59">
        <f t="shared" si="59"/>
        <v>849.97015961428724</v>
      </c>
      <c r="AN70" s="59">
        <f ca="1">AVERAGE(OFFSET($AM$3,0,0,'Données projet'!$E$10+1,1))-AVERAGE(OFFSET($H$3,0,0,'Données projet'!$E$10+1,1))</f>
        <v>277.11749933885778</v>
      </c>
      <c r="AO70" s="59">
        <f t="shared" si="90"/>
        <v>244.4970554728738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57.770984238472266</v>
      </c>
      <c r="AV70" s="21">
        <f>EXP(-LN(2)/25)*AV69+(1-EXP(-LN(2)/25))/(LN(2)/25)*Calculateur!AQ70*Calculateur!AS70*VLOOKUP('Données projet'!$B$10,Paramètres!$A$1:$I$89,3,0)*0.475*44/12</f>
        <v>14.539371352520474</v>
      </c>
      <c r="AW70" s="21">
        <f>EXP(-LN(2)/2)*AW69+(1-EXP(-LN(2)/2))/(LN(2)/2)*AQ70*AT70*VLOOKUP('Données projet'!$B$10,Paramètres!$A$1:$I$89,3,0)*0.475*44/12</f>
        <v>4.4299136264629375</v>
      </c>
      <c r="AX70" s="21">
        <f t="shared" si="60"/>
        <v>76.740269217455676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38.011999999999993</v>
      </c>
      <c r="D71" s="11">
        <f t="shared" si="86"/>
        <v>11.470174197629985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381.96766047293323</v>
      </c>
      <c r="H71" s="67">
        <f t="shared" si="56"/>
        <v>379.51478672753888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-2.2737367544323206E-13</v>
      </c>
      <c r="O71" s="13">
        <f>N71*VLOOKUP('Données projet'!$B$9,Paramètres!$A$1:$I$89,3,0)*VLOOKUP('Données projet'!$B$9,Paramètres!$A$1:$I$89,5,0)</f>
        <v>-1.3596945791505279E-13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260.31965507630525</v>
      </c>
      <c r="T71" s="59">
        <f t="shared" si="88"/>
        <v>327.31114099338032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128.4020485166848</v>
      </c>
      <c r="AA71" s="21">
        <f>EXP(-LN(2)/25)*AA70+(1-EXP(-LN(2)/25))/(LN(2)/25)*Calculateur!V71*Calculateur!X71*VLOOKUP('Données projet'!$B$9,Paramètres!$A$1:$I$89,3,0)*0.475*44/12</f>
        <v>31.69082510248596</v>
      </c>
      <c r="AB71" s="21">
        <f>EXP(-LN(2)/2)*AB70+(1-EXP(-LN(2)/2))/(LN(2)/2)*V71*Y71*VLOOKUP('Données projet'!$B$9,Paramètres!$A$1:$I$89,3,0)*0.475*44/12</f>
        <v>0.63134954598139881</v>
      </c>
      <c r="AC71" s="22">
        <f t="shared" si="57"/>
        <v>160.72422316515215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9.9715384615384544</v>
      </c>
      <c r="AI71" s="13">
        <f>IF('Données projet'!$A$62&gt;35,AI70+AH71-AQ70,IF(A71&lt;'Données projet'!$A$62,$AF$205^A71,IF(A71='Données projet'!$A$62,'Données projet'!$B$62,AI70+AH71-AQ70)))</f>
        <v>440.4507692307692</v>
      </c>
      <c r="AJ71" s="13">
        <f>AI71*VLOOKUP('Données projet'!$B$10,Paramètres!$A$1:$I$89,3,0)*VLOOKUP('Données projet'!$B$10,Paramètres!$A$1:$I$89,5,0)</f>
        <v>263.38956000000002</v>
      </c>
      <c r="AK71" s="13">
        <f t="shared" si="89"/>
        <v>63.444349611612601</v>
      </c>
      <c r="AL71" s="20">
        <f t="shared" si="58"/>
        <v>569.23572590689196</v>
      </c>
      <c r="AM71" s="59">
        <f t="shared" si="59"/>
        <v>862.56905924022522</v>
      </c>
      <c r="AN71" s="59">
        <f ca="1">AVERAGE(OFFSET($AM$3,0,0,'Données projet'!$E$10+1,1))-AVERAGE(OFFSET($H$3,0,0,'Données projet'!$E$10+1,1))</f>
        <v>277.11749933885778</v>
      </c>
      <c r="AO71" s="59">
        <f t="shared" si="90"/>
        <v>244.4970554728738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56.638130474376865</v>
      </c>
      <c r="AV71" s="21">
        <f>EXP(-LN(2)/25)*AV70+(1-EXP(-LN(2)/25))/(LN(2)/25)*Calculateur!AQ71*Calculateur!AS71*VLOOKUP('Données projet'!$B$10,Paramètres!$A$1:$I$89,3,0)*0.475*44/12</f>
        <v>14.141791478293493</v>
      </c>
      <c r="AW71" s="21">
        <f>EXP(-LN(2)/2)*AW70+(1-EXP(-LN(2)/2))/(LN(2)/2)*AQ71*AT71*VLOOKUP('Données projet'!$B$10,Paramètres!$A$1:$I$89,3,0)*0.475*44/12</f>
        <v>3.1324219653426337</v>
      </c>
      <c r="AX71" s="21">
        <f t="shared" si="60"/>
        <v>73.912343918012994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38.570999999999991</v>
      </c>
      <c r="D72" s="11">
        <f t="shared" si="86"/>
        <v>11.619092118500239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387.43229003754567</v>
      </c>
      <c r="H72" s="67">
        <f t="shared" si="56"/>
        <v>380.74774377305454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-2.2737367544323206E-13</v>
      </c>
      <c r="O72" s="13">
        <f>N72*VLOOKUP('Données projet'!$B$9,Paramètres!$A$1:$I$89,3,0)*VLOOKUP('Données projet'!$B$9,Paramètres!$A$1:$I$89,5,0)</f>
        <v>-1.3596945791505279E-13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260.31965507630525</v>
      </c>
      <c r="T72" s="59">
        <f t="shared" si="88"/>
        <v>327.31114099338032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125.884162662789</v>
      </c>
      <c r="AA72" s="21">
        <f>EXP(-LN(2)/25)*AA71+(1-EXP(-LN(2)/25))/(LN(2)/25)*Calculateur!V72*Calculateur!X72*VLOOKUP('Données projet'!$B$9,Paramètres!$A$1:$I$89,3,0)*0.475*44/12</f>
        <v>30.824237823510419</v>
      </c>
      <c r="AB72" s="21">
        <f>EXP(-LN(2)/2)*AB71+(1-EXP(-LN(2)/2))/(LN(2)/2)*V72*Y72*VLOOKUP('Données projet'!$B$9,Paramètres!$A$1:$I$89,3,0)*0.475*44/12</f>
        <v>0.44643154526249512</v>
      </c>
      <c r="AC72" s="22">
        <f t="shared" si="57"/>
        <v>157.15483203156191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9.9715384615384544</v>
      </c>
      <c r="AI72" s="13">
        <f>IF('Données projet'!$A$62&gt;35,AI71+AH72-AQ71,IF(A72&lt;'Données projet'!$A$62,$AF$205^A72,IF(A72='Données projet'!$A$62,'Données projet'!$B$62,AI71+AH72-AQ71)))</f>
        <v>450.42230769230764</v>
      </c>
      <c r="AJ72" s="13">
        <f>AI72*VLOOKUP('Données projet'!$B$10,Paramètres!$A$1:$I$89,3,0)*VLOOKUP('Données projet'!$B$10,Paramètres!$A$1:$I$89,5,0)</f>
        <v>269.35253999999998</v>
      </c>
      <c r="AK72" s="13">
        <f t="shared" si="89"/>
        <v>64.711842740845071</v>
      </c>
      <c r="AL72" s="20">
        <f t="shared" si="58"/>
        <v>581.8287999403052</v>
      </c>
      <c r="AM72" s="59">
        <f t="shared" si="59"/>
        <v>875.16213327363857</v>
      </c>
      <c r="AN72" s="59">
        <f ca="1">AVERAGE(OFFSET($AM$3,0,0,'Données projet'!$E$10+1,1))-AVERAGE(OFFSET($H$3,0,0,'Données projet'!$E$10+1,1))</f>
        <v>277.11749933885778</v>
      </c>
      <c r="AO72" s="59">
        <f t="shared" si="90"/>
        <v>244.4970554728738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55.527491281622808</v>
      </c>
      <c r="AV72" s="21">
        <f>EXP(-LN(2)/25)*AV71+(1-EXP(-LN(2)/25))/(LN(2)/25)*Calculateur!AQ72*Calculateur!AS72*VLOOKUP('Données projet'!$B$10,Paramètres!$A$1:$I$89,3,0)*0.475*44/12</f>
        <v>13.755083446635066</v>
      </c>
      <c r="AW72" s="21">
        <f>EXP(-LN(2)/2)*AW71+(1-EXP(-LN(2)/2))/(LN(2)/2)*AQ72*AT72*VLOOKUP('Données projet'!$B$10,Paramètres!$A$1:$I$89,3,0)*0.475*44/12</f>
        <v>2.2149568132314692</v>
      </c>
      <c r="AX72" s="21">
        <f t="shared" si="60"/>
        <v>71.497531541489337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39.129999999999988</v>
      </c>
      <c r="D73" s="11">
        <f t="shared" si="86"/>
        <v>11.767759023799293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392.89498193809976</v>
      </c>
      <c r="H73" s="67">
        <f t="shared" si="56"/>
        <v>381.98026363311709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-2.2737367544323206E-13</v>
      </c>
      <c r="O73" s="13">
        <f>N73*VLOOKUP('Données projet'!$B$9,Paramètres!$A$1:$I$89,3,0)*VLOOKUP('Données projet'!$B$9,Paramètres!$A$1:$I$89,5,0)</f>
        <v>-1.3596945791505279E-13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260.31965507630525</v>
      </c>
      <c r="T73" s="59">
        <f t="shared" si="88"/>
        <v>327.31114099338032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123.41565101472936</v>
      </c>
      <c r="AA73" s="21">
        <f>EXP(-LN(2)/25)*AA72+(1-EXP(-LN(2)/25))/(LN(2)/25)*Calculateur!V73*Calculateur!X73*VLOOKUP('Données projet'!$B$9,Paramètres!$A$1:$I$89,3,0)*0.475*44/12</f>
        <v>29.981347419250309</v>
      </c>
      <c r="AB73" s="21">
        <f>EXP(-LN(2)/2)*AB72+(1-EXP(-LN(2)/2))/(LN(2)/2)*V73*Y73*VLOOKUP('Données projet'!$B$9,Paramètres!$A$1:$I$89,3,0)*0.475*44/12</f>
        <v>0.31567477299069946</v>
      </c>
      <c r="AC73" s="22">
        <f t="shared" si="57"/>
        <v>153.71267320697035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9.9715384615384544</v>
      </c>
      <c r="AI73" s="13">
        <f>IF('Données projet'!$A$62&gt;35,AI72+AH73-AQ72,IF(A73&lt;'Données projet'!$A$62,$AF$205^A73,IF(A73='Données projet'!$A$62,'Données projet'!$B$62,AI72+AH73-AQ72)))</f>
        <v>460.39384615384608</v>
      </c>
      <c r="AJ73" s="13">
        <f>AI73*VLOOKUP('Données projet'!$B$10,Paramètres!$A$1:$I$89,3,0)*VLOOKUP('Données projet'!$B$10,Paramètres!$A$1:$I$89,5,0)</f>
        <v>275.31551999999994</v>
      </c>
      <c r="AK73" s="13">
        <f t="shared" si="89"/>
        <v>65.976073607419792</v>
      </c>
      <c r="AL73" s="20">
        <f t="shared" si="58"/>
        <v>594.41619219958932</v>
      </c>
      <c r="AM73" s="59">
        <f t="shared" si="59"/>
        <v>887.74952553292269</v>
      </c>
      <c r="AN73" s="59">
        <f ca="1">AVERAGE(OFFSET($AM$3,0,0,'Données projet'!$E$10+1,1))-AVERAGE(OFFSET($H$3,0,0,'Données projet'!$E$10+1,1))</f>
        <v>277.11749933885778</v>
      </c>
      <c r="AO73" s="59">
        <f t="shared" si="90"/>
        <v>244.4970554728738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54.438631046015637</v>
      </c>
      <c r="AV73" s="21">
        <f>EXP(-LN(2)/25)*AV72+(1-EXP(-LN(2)/25))/(LN(2)/25)*Calculateur!AQ73*Calculateur!AS73*VLOOKUP('Données projet'!$B$10,Paramètres!$A$1:$I$89,3,0)*0.475*44/12</f>
        <v>13.378949966438428</v>
      </c>
      <c r="AW73" s="21">
        <f>EXP(-LN(2)/2)*AW72+(1-EXP(-LN(2)/2))/(LN(2)/2)*AQ73*AT73*VLOOKUP('Données projet'!$B$10,Paramètres!$A$1:$I$89,3,0)*0.475*44/12</f>
        <v>1.5662109826713173</v>
      </c>
      <c r="AX73" s="21">
        <f t="shared" si="60"/>
        <v>69.383791995125392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39.688999999999986</v>
      </c>
      <c r="D74" s="11">
        <f t="shared" si="86"/>
        <v>11.916178913814131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398.35576705400371</v>
      </c>
      <c r="H74" s="67">
        <f t="shared" si="56"/>
        <v>383.21235327489291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-2.2737367544323206E-13</v>
      </c>
      <c r="O74" s="13">
        <f>N74*VLOOKUP('Données projet'!$B$9,Paramètres!$A$1:$I$89,3,0)*VLOOKUP('Données projet'!$B$9,Paramètres!$A$1:$I$89,5,0)</f>
        <v>-1.3596945791505279E-13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260.31965507630525</v>
      </c>
      <c r="T74" s="59">
        <f t="shared" si="88"/>
        <v>327.31114099338032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120.99554537444475</v>
      </c>
      <c r="AA74" s="21">
        <f>EXP(-LN(2)/25)*AA73+(1-EXP(-LN(2)/25))/(LN(2)/25)*Calculateur!V74*Calculateur!X74*VLOOKUP('Données projet'!$B$9,Paramètres!$A$1:$I$89,3,0)*0.475*44/12</f>
        <v>29.161505897420373</v>
      </c>
      <c r="AB74" s="21">
        <f>EXP(-LN(2)/2)*AB73+(1-EXP(-LN(2)/2))/(LN(2)/2)*V74*Y74*VLOOKUP('Données projet'!$B$9,Paramètres!$A$1:$I$89,3,0)*0.475*44/12</f>
        <v>0.22321577263124759</v>
      </c>
      <c r="AC74" s="22">
        <f t="shared" si="57"/>
        <v>150.38026704449638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9.9715384615384544</v>
      </c>
      <c r="AI74" s="13">
        <f>IF('Données projet'!$A$62&gt;35,AI73+AH74-AQ73,IF(A74&lt;'Données projet'!$A$62,$AF$205^A74,IF(A74='Données projet'!$A$62,'Données projet'!$B$62,AI73+AH74-AQ73)))</f>
        <v>470.36538461538453</v>
      </c>
      <c r="AJ74" s="13">
        <f>AI74*VLOOKUP('Données projet'!$B$10,Paramètres!$A$1:$I$89,3,0)*VLOOKUP('Données projet'!$B$10,Paramètres!$A$1:$I$89,5,0)</f>
        <v>281.27849999999995</v>
      </c>
      <c r="AK74" s="13">
        <f t="shared" si="89"/>
        <v>67.23712100524989</v>
      </c>
      <c r="AL74" s="20">
        <f t="shared" si="58"/>
        <v>606.99803991747683</v>
      </c>
      <c r="AM74" s="59">
        <f t="shared" si="59"/>
        <v>900.3313732508102</v>
      </c>
      <c r="AN74" s="59">
        <f ca="1">AVERAGE(OFFSET($AM$3,0,0,'Données projet'!$E$10+1,1))-AVERAGE(OFFSET($H$3,0,0,'Données projet'!$E$10+1,1))</f>
        <v>277.11749933885778</v>
      </c>
      <c r="AO74" s="59">
        <f t="shared" si="90"/>
        <v>244.4970554728738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53.371122695489554</v>
      </c>
      <c r="AV74" s="21">
        <f>EXP(-LN(2)/25)*AV73+(1-EXP(-LN(2)/25))/(LN(2)/25)*Calculateur!AQ74*Calculateur!AS74*VLOOKUP('Données projet'!$B$10,Paramètres!$A$1:$I$89,3,0)*0.475*44/12</f>
        <v>13.013101876037769</v>
      </c>
      <c r="AW74" s="21">
        <f>EXP(-LN(2)/2)*AW73+(1-EXP(-LN(2)/2))/(LN(2)/2)*AQ74*AT74*VLOOKUP('Données projet'!$B$10,Paramètres!$A$1:$I$89,3,0)*0.475*44/12</f>
        <v>1.1074784066157348</v>
      </c>
      <c r="AX74" s="21">
        <f t="shared" si="60"/>
        <v>67.491702978143067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40.247999999999983</v>
      </c>
      <c r="D75" s="11">
        <f t="shared" si="86"/>
        <v>12.064355669675358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403.81467534486228</v>
      </c>
      <c r="H75" s="67">
        <f t="shared" si="56"/>
        <v>384.44401945801786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-2.2737367544323206E-13</v>
      </c>
      <c r="O75" s="13">
        <f>N75*VLOOKUP('Données projet'!$B$9,Paramètres!$A$1:$I$89,3,0)*VLOOKUP('Données projet'!$B$9,Paramètres!$A$1:$I$89,5,0)</f>
        <v>-1.3596945791505279E-13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260.31965507630525</v>
      </c>
      <c r="T75" s="59">
        <f t="shared" si="88"/>
        <v>327.31114099338032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118.62289652964742</v>
      </c>
      <c r="AA75" s="21">
        <f>EXP(-LN(2)/25)*AA74+(1-EXP(-LN(2)/25))/(LN(2)/25)*Calculateur!V75*Calculateur!X75*VLOOKUP('Données projet'!$B$9,Paramètres!$A$1:$I$89,3,0)*0.475*44/12</f>
        <v>28.364082985118468</v>
      </c>
      <c r="AB75" s="21">
        <f>EXP(-LN(2)/2)*AB74+(1-EXP(-LN(2)/2))/(LN(2)/2)*V75*Y75*VLOOKUP('Données projet'!$B$9,Paramètres!$A$1:$I$89,3,0)*0.475*44/12</f>
        <v>0.15783738649534973</v>
      </c>
      <c r="AC75" s="22">
        <f t="shared" si="57"/>
        <v>147.14481690126124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9.9715384615384544</v>
      </c>
      <c r="AI75" s="13">
        <f>IF('Données projet'!$A$62&gt;35,AI74+AH75-AQ74,IF(A75&lt;'Données projet'!$A$62,$AF$205^A75,IF(A75='Données projet'!$A$62,'Données projet'!$B$62,AI74+AH75-AQ74)))</f>
        <v>480.33692307692297</v>
      </c>
      <c r="AJ75" s="13">
        <f>AI75*VLOOKUP('Données projet'!$B$10,Paramètres!$A$1:$I$89,3,0)*VLOOKUP('Données projet'!$B$10,Paramètres!$A$1:$I$89,5,0)</f>
        <v>287.24147999999997</v>
      </c>
      <c r="AK75" s="13">
        <f t="shared" si="89"/>
        <v>68.495060196585953</v>
      </c>
      <c r="AL75" s="20">
        <f t="shared" si="58"/>
        <v>619.57447417572041</v>
      </c>
      <c r="AM75" s="59">
        <f t="shared" si="59"/>
        <v>912.90780750905378</v>
      </c>
      <c r="AN75" s="59">
        <f ca="1">AVERAGE(OFFSET($AM$3,0,0,'Données projet'!$E$10+1,1))-AVERAGE(OFFSET($H$3,0,0,'Données projet'!$E$10+1,1))</f>
        <v>277.11749933885778</v>
      </c>
      <c r="AO75" s="59">
        <f t="shared" si="90"/>
        <v>244.4970554728738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52.324547532601493</v>
      </c>
      <c r="AV75" s="21">
        <f>EXP(-LN(2)/25)*AV74+(1-EXP(-LN(2)/25))/(LN(2)/25)*Calculateur!AQ75*Calculateur!AS75*VLOOKUP('Données projet'!$B$10,Paramètres!$A$1:$I$89,3,0)*0.475*44/12</f>
        <v>12.657257920908231</v>
      </c>
      <c r="AW75" s="21">
        <f>EXP(-LN(2)/2)*AW74+(1-EXP(-LN(2)/2))/(LN(2)/2)*AQ75*AT75*VLOOKUP('Données projet'!$B$10,Paramètres!$A$1:$I$89,3,0)*0.475*44/12</f>
        <v>0.78310549133565877</v>
      </c>
      <c r="AX75" s="21">
        <f t="shared" si="60"/>
        <v>65.764910944845383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40.806999999999981</v>
      </c>
      <c r="D76" s="11">
        <f t="shared" si="86"/>
        <v>12.212293058511113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409.27173589026114</v>
      </c>
      <c r="H76" s="67">
        <f t="shared" si="56"/>
        <v>385.67526874357344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-2.2737367544323206E-13</v>
      </c>
      <c r="O76" s="13">
        <f>N76*VLOOKUP('Données projet'!$B$9,Paramètres!$A$1:$I$89,3,0)*VLOOKUP('Données projet'!$B$9,Paramètres!$A$1:$I$89,5,0)</f>
        <v>-1.3596945791505279E-13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260.31965507630525</v>
      </c>
      <c r="T76" s="59">
        <f t="shared" si="88"/>
        <v>327.31114099338032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116.29677388152366</v>
      </c>
      <c r="AA76" s="21">
        <f>EXP(-LN(2)/25)*AA75+(1-EXP(-LN(2)/25))/(LN(2)/25)*Calculateur!V76*Calculateur!X76*VLOOKUP('Données projet'!$B$9,Paramètres!$A$1:$I$89,3,0)*0.475*44/12</f>
        <v>27.588465644288107</v>
      </c>
      <c r="AB76" s="21">
        <f>EXP(-LN(2)/2)*AB75+(1-EXP(-LN(2)/2))/(LN(2)/2)*V76*Y76*VLOOKUP('Données projet'!$B$9,Paramètres!$A$1:$I$89,3,0)*0.475*44/12</f>
        <v>0.11160788631562379</v>
      </c>
      <c r="AC76" s="22">
        <f t="shared" si="57"/>
        <v>143.99684741212738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9.9715384615384544</v>
      </c>
      <c r="AI76" s="13">
        <f>IF('Données projet'!$A$62&gt;35,AI75+AH76-AQ75,IF(A76&lt;'Données projet'!$A$62,$AF$205^A76,IF(A76='Données projet'!$A$62,'Données projet'!$B$62,AI75+AH76-AQ75)))</f>
        <v>490.30846153846142</v>
      </c>
      <c r="AJ76" s="13">
        <f>AI76*VLOOKUP('Données projet'!$B$10,Paramètres!$A$1:$I$89,3,0)*VLOOKUP('Données projet'!$B$10,Paramètres!$A$1:$I$89,5,0)</f>
        <v>293.20445999999993</v>
      </c>
      <c r="AK76" s="13">
        <f t="shared" si="89"/>
        <v>69.749963140285985</v>
      </c>
      <c r="AL76" s="20">
        <f t="shared" si="58"/>
        <v>632.14562030266472</v>
      </c>
      <c r="AM76" s="59">
        <f t="shared" si="59"/>
        <v>925.4789536359981</v>
      </c>
      <c r="AN76" s="59">
        <f ca="1">AVERAGE(OFFSET($AM$3,0,0,'Données projet'!$E$10+1,1))-AVERAGE(OFFSET($H$3,0,0,'Données projet'!$E$10+1,1))</f>
        <v>277.11749933885778</v>
      </c>
      <c r="AO76" s="59">
        <f t="shared" si="90"/>
        <v>244.4970554728738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51.298495070309848</v>
      </c>
      <c r="AV76" s="21">
        <f>EXP(-LN(2)/25)*AV75+(1-EXP(-LN(2)/25))/(LN(2)/25)*Calculateur!AQ76*Calculateur!AS76*VLOOKUP('Données projet'!$B$10,Paramètres!$A$1:$I$89,3,0)*0.475*44/12</f>
        <v>12.311144537444729</v>
      </c>
      <c r="AW76" s="21">
        <f>EXP(-LN(2)/2)*AW75+(1-EXP(-LN(2)/2))/(LN(2)/2)*AQ76*AT76*VLOOKUP('Données projet'!$B$10,Paramètres!$A$1:$I$89,3,0)*0.475*44/12</f>
        <v>0.55373920330786752</v>
      </c>
      <c r="AX76" s="21">
        <f t="shared" si="60"/>
        <v>64.163378811062444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41.365999999999978</v>
      </c>
      <c r="D77" s="11">
        <f t="shared" si="86"/>
        <v>12.359994738310659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414.72697692731026</v>
      </c>
      <c r="H77" s="67">
        <f t="shared" si="56"/>
        <v>386.90610750255769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-2.2737367544323206E-13</v>
      </c>
      <c r="O77" s="13">
        <f>N77*VLOOKUP('Données projet'!$B$9,Paramètres!$A$1:$I$89,3,0)*VLOOKUP('Données projet'!$B$9,Paramètres!$A$1:$I$89,5,0)</f>
        <v>-1.3596945791505279E-13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260.31965507630525</v>
      </c>
      <c r="T77" s="59">
        <f t="shared" si="88"/>
        <v>327.31114099338032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114.01626507973489</v>
      </c>
      <c r="AA77" s="21">
        <f>EXP(-LN(2)/25)*AA76+(1-EXP(-LN(2)/25))/(LN(2)/25)*Calculateur!V77*Calculateur!X77*VLOOKUP('Données projet'!$B$9,Paramètres!$A$1:$I$89,3,0)*0.475*44/12</f>
        <v>26.834057600430693</v>
      </c>
      <c r="AB77" s="21">
        <f>EXP(-LN(2)/2)*AB76+(1-EXP(-LN(2)/2))/(LN(2)/2)*V77*Y77*VLOOKUP('Données projet'!$B$9,Paramètres!$A$1:$I$89,3,0)*0.475*44/12</f>
        <v>7.8918693247674865E-2</v>
      </c>
      <c r="AC77" s="22">
        <f t="shared" si="57"/>
        <v>140.92924137341328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9.9715384615384544</v>
      </c>
      <c r="AI77" s="13">
        <f>IF('Données projet'!$A$62&gt;35,AI76+AH77-AQ76,IF(A77&lt;'Données projet'!$A$62,$AF$205^A77,IF(A77='Données projet'!$A$62,'Données projet'!$B$62,AI76+AH77-AQ76)))</f>
        <v>500.27999999999986</v>
      </c>
      <c r="AJ77" s="13">
        <f>AI77*VLOOKUP('Données projet'!$B$10,Paramètres!$A$1:$I$89,3,0)*VLOOKUP('Données projet'!$B$10,Paramètres!$A$1:$I$89,5,0)</f>
        <v>299.16743999999994</v>
      </c>
      <c r="AK77" s="13">
        <f t="shared" si="89"/>
        <v>71.001898700991546</v>
      </c>
      <c r="AL77" s="20">
        <f t="shared" si="58"/>
        <v>644.71159823756022</v>
      </c>
      <c r="AM77" s="59">
        <f t="shared" si="59"/>
        <v>938.0449315708936</v>
      </c>
      <c r="AN77" s="59">
        <f ca="1">AVERAGE(OFFSET($AM$3,0,0,'Données projet'!$E$10+1,1))-AVERAGE(OFFSET($H$3,0,0,'Données projet'!$E$10+1,1))</f>
        <v>277.11749933885778</v>
      </c>
      <c r="AO77" s="59">
        <f t="shared" si="90"/>
        <v>244.4970554728738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50.292562870973534</v>
      </c>
      <c r="AV77" s="21">
        <f>EXP(-LN(2)/25)*AV76+(1-EXP(-LN(2)/25))/(LN(2)/25)*Calculateur!AQ77*Calculateur!AS77*VLOOKUP('Données projet'!$B$10,Paramètres!$A$1:$I$89,3,0)*0.475*44/12</f>
        <v>11.97449564265335</v>
      </c>
      <c r="AW77" s="21">
        <f>EXP(-LN(2)/2)*AW76+(1-EXP(-LN(2)/2))/(LN(2)/2)*AQ77*AT77*VLOOKUP('Données projet'!$B$10,Paramètres!$A$1:$I$89,3,0)*0.475*44/12</f>
        <v>0.39155274566782944</v>
      </c>
      <c r="AX77" s="21">
        <f t="shared" si="60"/>
        <v>62.658611259294716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41.924999999999976</v>
      </c>
      <c r="D78" s="11">
        <f t="shared" si="86"/>
        <v>12.507464262517514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420.18042588609995</v>
      </c>
      <c r="H78" s="67">
        <f t="shared" si="56"/>
        <v>388.13654192388464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-2.2737367544323206E-13</v>
      </c>
      <c r="O78" s="13">
        <f>N78*VLOOKUP('Données projet'!$B$9,Paramètres!$A$1:$I$89,3,0)*VLOOKUP('Données projet'!$B$9,Paramètres!$A$1:$I$89,5,0)</f>
        <v>-1.3596945791505279E-13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260.31965507630525</v>
      </c>
      <c r="T78" s="59">
        <f t="shared" si="88"/>
        <v>327.31114099338032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111.78047566457619</v>
      </c>
      <c r="AA78" s="21">
        <f>EXP(-LN(2)/25)*AA77+(1-EXP(-LN(2)/25))/(LN(2)/25)*Calculateur!V78*Calculateur!X78*VLOOKUP('Données projet'!$B$9,Paramètres!$A$1:$I$89,3,0)*0.475*44/12</f>
        <v>26.100278884205157</v>
      </c>
      <c r="AB78" s="21">
        <f>EXP(-LN(2)/2)*AB77+(1-EXP(-LN(2)/2))/(LN(2)/2)*V78*Y78*VLOOKUP('Données projet'!$B$9,Paramètres!$A$1:$I$89,3,0)*0.475*44/12</f>
        <v>5.5803943157811897E-2</v>
      </c>
      <c r="AC78" s="22">
        <f t="shared" si="57"/>
        <v>137.93655849193914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9.9715384615384544</v>
      </c>
      <c r="AI78" s="13">
        <f>IF('Données projet'!$A$62&gt;35,AI77+AH78-AQ77,IF(A78&lt;'Données projet'!$A$62,$AF$205^A78,IF(A78='Données projet'!$A$62,'Données projet'!$B$62,AI77+AH78-AQ77)))</f>
        <v>510.2515384615383</v>
      </c>
      <c r="AJ78" s="13">
        <f>AI78*VLOOKUP('Données projet'!$B$10,Paramètres!$A$1:$I$89,3,0)*VLOOKUP('Données projet'!$B$10,Paramètres!$A$1:$I$89,5,0)</f>
        <v>305.13041999999996</v>
      </c>
      <c r="AK78" s="13">
        <f t="shared" si="89"/>
        <v>72.250932841155517</v>
      </c>
      <c r="AL78" s="20">
        <f t="shared" si="58"/>
        <v>657.27252286501243</v>
      </c>
      <c r="AM78" s="59">
        <f t="shared" si="59"/>
        <v>950.60585619834569</v>
      </c>
      <c r="AN78" s="59">
        <f ca="1">AVERAGE(OFFSET($AM$3,0,0,'Données projet'!$E$10+1,1))-AVERAGE(OFFSET($H$3,0,0,'Données projet'!$E$10+1,1))</f>
        <v>277.11749933885778</v>
      </c>
      <c r="AO78" s="59">
        <f t="shared" si="90"/>
        <v>244.4970554728738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49.306356388508149</v>
      </c>
      <c r="AV78" s="21">
        <f>EXP(-LN(2)/25)*AV77+(1-EXP(-LN(2)/25))/(LN(2)/25)*Calculateur!AQ78*Calculateur!AS78*VLOOKUP('Données projet'!$B$10,Paramètres!$A$1:$I$89,3,0)*0.475*44/12</f>
        <v>11.647052429593636</v>
      </c>
      <c r="AW78" s="21">
        <f>EXP(-LN(2)/2)*AW77+(1-EXP(-LN(2)/2))/(LN(2)/2)*AQ78*AT78*VLOOKUP('Données projet'!$B$10,Paramètres!$A$1:$I$89,3,0)*0.475*44/12</f>
        <v>0.27686960165393376</v>
      </c>
      <c r="AX78" s="21">
        <f t="shared" si="60"/>
        <v>61.23027841975572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42.483999999999973</v>
      </c>
      <c r="D79" s="11">
        <f t="shared" si="86"/>
        <v>12.654705084370672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425.63210942321194</v>
      </c>
      <c r="H79" s="67">
        <f t="shared" si="56"/>
        <v>389.36657802194554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-2.2737367544323206E-13</v>
      </c>
      <c r="O79" s="13">
        <f>N79*VLOOKUP('Données projet'!$B$9,Paramètres!$A$1:$I$89,3,0)*VLOOKUP('Données projet'!$B$9,Paramètres!$A$1:$I$89,5,0)</f>
        <v>-1.3596945791505279E-13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260.31965507630525</v>
      </c>
      <c r="T79" s="59">
        <f t="shared" si="88"/>
        <v>327.31114099338032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109.58852871615186</v>
      </c>
      <c r="AA79" s="21">
        <f>EXP(-LN(2)/25)*AA78+(1-EXP(-LN(2)/25))/(LN(2)/25)*Calculateur!V79*Calculateur!X79*VLOOKUP('Données projet'!$B$9,Paramètres!$A$1:$I$89,3,0)*0.475*44/12</f>
        <v>25.386565385562552</v>
      </c>
      <c r="AB79" s="21">
        <f>EXP(-LN(2)/2)*AB78+(1-EXP(-LN(2)/2))/(LN(2)/2)*V79*Y79*VLOOKUP('Données projet'!$B$9,Paramètres!$A$1:$I$89,3,0)*0.475*44/12</f>
        <v>3.9459346623837432E-2</v>
      </c>
      <c r="AC79" s="22">
        <f t="shared" si="57"/>
        <v>135.01455344833823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>
        <f>VLOOKUP(A79,'Données projet'!$A$61:$I$81,2,0)</f>
        <v>520.22307692307686</v>
      </c>
      <c r="AG79" s="12">
        <f>VLOOKUP(A79,'Données projet'!$A$61:$I$81,9,0)</f>
        <v>9.9715384615384544</v>
      </c>
      <c r="AH79" s="12">
        <f t="array" ref="AH79">INDEX(AG:AG,MIN(IF(ISNUMBER(AG79:AG275),ROW(AG79:AG275),"")))</f>
        <v>9.9715384615384544</v>
      </c>
      <c r="AI79" s="13">
        <f>IF('Données projet'!$A$62&gt;35,AI78+AH79-AQ78,IF(A79&lt;'Données projet'!$A$62,$AF$205^A79,IF(A79='Données projet'!$A$62,'Données projet'!$B$62,AI78+AH79-AQ78)))</f>
        <v>520.22307692307675</v>
      </c>
      <c r="AJ79" s="13">
        <f>AI79*VLOOKUP('Données projet'!$B$10,Paramètres!$A$1:$I$89,3,0)*VLOOKUP('Données projet'!$B$10,Paramètres!$A$1:$I$89,5,0)</f>
        <v>311.09339999999992</v>
      </c>
      <c r="AK79" s="13">
        <f t="shared" si="89"/>
        <v>73.497128797635312</v>
      </c>
      <c r="AL79" s="20">
        <f t="shared" si="58"/>
        <v>669.82850432254793</v>
      </c>
      <c r="AM79" s="59">
        <f t="shared" si="59"/>
        <v>963.1618376558813</v>
      </c>
      <c r="AN79" s="59">
        <f ca="1">AVERAGE(OFFSET($AM$3,0,0,'Données projet'!$E$10+1,1))-AVERAGE(OFFSET($H$3,0,0,'Données projet'!$E$10+1,1))</f>
        <v>277.11749933885778</v>
      </c>
      <c r="AO79" s="59">
        <f t="shared" si="90"/>
        <v>244.4970554728738</v>
      </c>
      <c r="AP79" s="15">
        <f>IF(ISNA(VLOOKUP(A79,'Données projet'!$A$61:$I$81,3,0)),0,VLOOKUP(A79,'Données projet'!$A$61:$I$81,3,0))</f>
        <v>8</v>
      </c>
      <c r="AQ79" s="15">
        <f>IF(ISNA(VLOOKUP(A79,'Données projet'!$A$61:$I$81,4,0)),0,VLOOKUP(A79,'Données projet'!$A$61:$I$81,4,0))</f>
        <v>520.22307692307686</v>
      </c>
      <c r="AR79" s="16">
        <f>IF(ISNA(VLOOKUP(A79,'Données projet'!$A$61:$I$81,5,0)),0%,VLOOKUP(A79,'Données projet'!$A$61:$I$81,5,0)*VLOOKUP('Données projet'!$B$10,Paramètres!$A$1:$I$89,7,0))</f>
        <v>0.315</v>
      </c>
      <c r="AS79" s="16">
        <f>IF(ISNA(VLOOKUP(A79,'Données projet'!$A$61:$I$81,6,0)),0%,VLOOKUP(A79,'Données projet'!$A$61:$I$81,6,0)*VLOOKUP('Données projet'!$B$10,Paramètres!$A$1:$I$89,7,0))</f>
        <v>7.5600000000000001E-2</v>
      </c>
      <c r="AT79" s="16">
        <f>IF(ISNA(VLOOKUP(A79,'Données projet'!$A$61:$I$81,7,0)),0%,VLOOKUP(A79,'Données projet'!$A$61:$I$81,7,0))</f>
        <v>0.13200000000000001</v>
      </c>
      <c r="AU79" s="21">
        <f>EXP(-LN(2)/35)*AU78+(1-EXP(-LN(2)/35))/(LN(2)/35)*AQ79*AR79*VLOOKUP('Données projet'!$B$10,Paramètres!$A$1:$I$89,3,0)*0.475*44/12</f>
        <v>178.3354045436154</v>
      </c>
      <c r="AV79" s="21">
        <f>EXP(-LN(2)/25)*AV78+(1-EXP(-LN(2)/25))/(LN(2)/25)*Calculateur!AQ79*Calculateur!AS79*VLOOKUP('Données projet'!$B$10,Paramètres!$A$1:$I$89,3,0)*0.475*44/12</f>
        <v>42.404740514995794</v>
      </c>
      <c r="AW79" s="21">
        <f>EXP(-LN(2)/2)*AW78+(1-EXP(-LN(2)/2))/(LN(2)/2)*AQ79*AT79*VLOOKUP('Données projet'!$B$10,Paramètres!$A$1:$I$89,3,0)*0.475*44/12</f>
        <v>46.690135716440125</v>
      </c>
      <c r="AX79" s="21">
        <f t="shared" si="60"/>
        <v>267.4302807750513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43.042999999999971</v>
      </c>
      <c r="D80" s="11">
        <f t="shared" si="86"/>
        <v>12.80172056101086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431.08205345341702</v>
      </c>
      <c r="H80" s="67">
        <f t="shared" si="56"/>
        <v>390.59622164376049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-2.2737367544323206E-13</v>
      </c>
      <c r="O80" s="13">
        <f>N80*VLOOKUP('Données projet'!$B$9,Paramètres!$A$1:$I$89,3,0)*VLOOKUP('Données projet'!$B$9,Paramètres!$A$1:$I$89,5,0)</f>
        <v>-1.3596945791505279E-13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260.31965507630525</v>
      </c>
      <c r="T80" s="59">
        <f t="shared" si="88"/>
        <v>327.31114099338032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107.4395645104305</v>
      </c>
      <c r="AA80" s="21">
        <f>EXP(-LN(2)/25)*AA79+(1-EXP(-LN(2)/25))/(LN(2)/25)*Calculateur!V80*Calculateur!X80*VLOOKUP('Données projet'!$B$9,Paramètres!$A$1:$I$89,3,0)*0.475*44/12</f>
        <v>24.692368420072892</v>
      </c>
      <c r="AB80" s="21">
        <f>EXP(-LN(2)/2)*AB79+(1-EXP(-LN(2)/2))/(LN(2)/2)*V80*Y80*VLOOKUP('Données projet'!$B$9,Paramètres!$A$1:$I$89,3,0)*0.475*44/12</f>
        <v>2.7901971578905949E-2</v>
      </c>
      <c r="AC80" s="22">
        <f t="shared" si="57"/>
        <v>132.15983490208228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-1.1368683772161603E-13</v>
      </c>
      <c r="AJ80" s="13">
        <f>AI80*VLOOKUP('Données projet'!$B$10,Paramètres!$A$1:$I$89,3,0)*VLOOKUP('Données projet'!$B$10,Paramètres!$A$1:$I$89,5,0)</f>
        <v>-6.7984728957526396E-14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277.11749933885778</v>
      </c>
      <c r="AO80" s="59">
        <f t="shared" si="90"/>
        <v>244.4970554728738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174.83835603437134</v>
      </c>
      <c r="AV80" s="21">
        <f>EXP(-LN(2)/25)*AV79+(1-EXP(-LN(2)/25))/(LN(2)/25)*Calculateur!AQ80*Calculateur!AS80*VLOOKUP('Données projet'!$B$10,Paramètres!$A$1:$I$89,3,0)*0.475*44/12</f>
        <v>41.245180655644845</v>
      </c>
      <c r="AW80" s="21">
        <f>EXP(-LN(2)/2)*AW79+(1-EXP(-LN(2)/2))/(LN(2)/2)*AQ80*AT80*VLOOKUP('Données projet'!$B$10,Paramètres!$A$1:$I$89,3,0)*0.475*44/12</f>
        <v>33.014911579615038</v>
      </c>
      <c r="AX80" s="21">
        <f t="shared" si="60"/>
        <v>249.09844826963123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43.601999999999968</v>
      </c>
      <c r="D81" s="11">
        <f t="shared" si="86"/>
        <v>12.948513957367386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436.53028317967784</v>
      </c>
      <c r="H81" s="67">
        <f t="shared" si="56"/>
        <v>391.82547847574813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-2.2737367544323206E-13</v>
      </c>
      <c r="O81" s="13">
        <f>N81*VLOOKUP('Données projet'!$B$9,Paramètres!$A$1:$I$89,3,0)*VLOOKUP('Données projet'!$B$9,Paramètres!$A$1:$I$89,5,0)</f>
        <v>-1.3596945791505279E-13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260.31965507630525</v>
      </c>
      <c r="T81" s="59">
        <f t="shared" si="88"/>
        <v>327.31114099338032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105.33274018204459</v>
      </c>
      <c r="AA81" s="21">
        <f>EXP(-LN(2)/25)*AA80+(1-EXP(-LN(2)/25))/(LN(2)/25)*Calculateur!V81*Calculateur!X81*VLOOKUP('Données projet'!$B$9,Paramètres!$A$1:$I$89,3,0)*0.475*44/12</f>
        <v>24.017154307110779</v>
      </c>
      <c r="AB81" s="21">
        <f>EXP(-LN(2)/2)*AB80+(1-EXP(-LN(2)/2))/(LN(2)/2)*V81*Y81*VLOOKUP('Données projet'!$B$9,Paramètres!$A$1:$I$89,3,0)*0.475*44/12</f>
        <v>1.9729673311918716E-2</v>
      </c>
      <c r="AC81" s="22">
        <f t="shared" si="57"/>
        <v>129.36962416246729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-1.1368683772161603E-13</v>
      </c>
      <c r="AJ81" s="13">
        <f>AI81*VLOOKUP('Données projet'!$B$10,Paramètres!$A$1:$I$89,3,0)*VLOOKUP('Données projet'!$B$10,Paramètres!$A$1:$I$89,5,0)</f>
        <v>-6.7984728957526396E-14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277.11749933885778</v>
      </c>
      <c r="AO81" s="59">
        <f t="shared" si="90"/>
        <v>244.4970554728738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171.4098825134046</v>
      </c>
      <c r="AV81" s="21">
        <f>EXP(-LN(2)/25)*AV80+(1-EXP(-LN(2)/25))/(LN(2)/25)*Calculateur!AQ81*Calculateur!AS81*VLOOKUP('Données projet'!$B$10,Paramètres!$A$1:$I$89,3,0)*0.475*44/12</f>
        <v>40.117329021626453</v>
      </c>
      <c r="AW81" s="21">
        <f>EXP(-LN(2)/2)*AW80+(1-EXP(-LN(2)/2))/(LN(2)/2)*AQ81*AT81*VLOOKUP('Données projet'!$B$10,Paramètres!$A$1:$I$89,3,0)*0.475*44/12</f>
        <v>23.345067858220066</v>
      </c>
      <c r="AX81" s="21">
        <f t="shared" si="60"/>
        <v>234.87227939325112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44.160999999999966</v>
      </c>
      <c r="D82" s="11">
        <f t="shared" si="86"/>
        <v>13.095088449839977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441.9768231215715</v>
      </c>
      <c r="H82" s="67">
        <f t="shared" si="56"/>
        <v>393.05435405013787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-2.2737367544323206E-13</v>
      </c>
      <c r="O82" s="13">
        <f>N82*VLOOKUP('Données projet'!$B$9,Paramètres!$A$1:$I$89,3,0)*VLOOKUP('Données projet'!$B$9,Paramètres!$A$1:$I$89,5,0)</f>
        <v>-1.3596945791505279E-13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260.31965507630525</v>
      </c>
      <c r="T82" s="59">
        <f t="shared" si="88"/>
        <v>327.31114099338032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103.26722939370238</v>
      </c>
      <c r="AA82" s="21">
        <f>EXP(-LN(2)/25)*AA81+(1-EXP(-LN(2)/25))/(LN(2)/25)*Calculateur!V82*Calculateur!X82*VLOOKUP('Données projet'!$B$9,Paramètres!$A$1:$I$89,3,0)*0.475*44/12</f>
        <v>23.360403959575581</v>
      </c>
      <c r="AB82" s="21">
        <f>EXP(-LN(2)/2)*AB81+(1-EXP(-LN(2)/2))/(LN(2)/2)*V82*Y82*VLOOKUP('Données projet'!$B$9,Paramètres!$A$1:$I$89,3,0)*0.475*44/12</f>
        <v>1.3950985789452974E-2</v>
      </c>
      <c r="AC82" s="22">
        <f t="shared" si="57"/>
        <v>126.64158433906741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-1.1368683772161603E-13</v>
      </c>
      <c r="AJ82" s="13">
        <f>AI82*VLOOKUP('Données projet'!$B$10,Paramètres!$A$1:$I$89,3,0)*VLOOKUP('Données projet'!$B$10,Paramètres!$A$1:$I$89,5,0)</f>
        <v>-6.7984728957526396E-14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277.11749933885778</v>
      </c>
      <c r="AO82" s="59">
        <f t="shared" si="90"/>
        <v>244.4970554728738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168.04863926702163</v>
      </c>
      <c r="AV82" s="21">
        <f>EXP(-LN(2)/25)*AV81+(1-EXP(-LN(2)/25))/(LN(2)/25)*Calculateur!AQ82*Calculateur!AS82*VLOOKUP('Données projet'!$B$10,Paramètres!$A$1:$I$89,3,0)*0.475*44/12</f>
        <v>39.020318549851432</v>
      </c>
      <c r="AW82" s="21">
        <f>EXP(-LN(2)/2)*AW81+(1-EXP(-LN(2)/2))/(LN(2)/2)*AQ82*AT82*VLOOKUP('Données projet'!$B$10,Paramètres!$A$1:$I$89,3,0)*0.475*44/12</f>
        <v>16.507455789807523</v>
      </c>
      <c r="AX82" s="21">
        <f t="shared" si="60"/>
        <v>223.57641360668057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44.719999999999963</v>
      </c>
      <c r="D83" s="11">
        <f t="shared" si="86"/>
        <v>13.24144712978892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447.42169714222996</v>
      </c>
      <c r="H83" s="67">
        <f t="shared" si="56"/>
        <v>394.28285375104895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-2.2737367544323206E-13</v>
      </c>
      <c r="O83" s="13">
        <f>N83*VLOOKUP('Données projet'!$B$9,Paramètres!$A$1:$I$89,3,0)*VLOOKUP('Données projet'!$B$9,Paramètres!$A$1:$I$89,5,0)</f>
        <v>-1.3596945791505279E-13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260.31965507630525</v>
      </c>
      <c r="T83" s="59">
        <f t="shared" si="88"/>
        <v>327.31114099338032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101.24222201208238</v>
      </c>
      <c r="AA83" s="21">
        <f>EXP(-LN(2)/25)*AA82+(1-EXP(-LN(2)/25))/(LN(2)/25)*Calculateur!V83*Calculateur!X83*VLOOKUP('Données projet'!$B$9,Paramètres!$A$1:$I$89,3,0)*0.475*44/12</f>
        <v>22.721612484830732</v>
      </c>
      <c r="AB83" s="21">
        <f>EXP(-LN(2)/2)*AB82+(1-EXP(-LN(2)/2))/(LN(2)/2)*V83*Y83*VLOOKUP('Données projet'!$B$9,Paramètres!$A$1:$I$89,3,0)*0.475*44/12</f>
        <v>9.8648366559593581E-3</v>
      </c>
      <c r="AC83" s="22">
        <f t="shared" si="57"/>
        <v>123.97369933356907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-1.1368683772161603E-13</v>
      </c>
      <c r="AJ83" s="13">
        <f>AI83*VLOOKUP('Données projet'!$B$10,Paramètres!$A$1:$I$89,3,0)*VLOOKUP('Données projet'!$B$10,Paramètres!$A$1:$I$89,5,0)</f>
        <v>-6.7984728957526396E-14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277.11749933885778</v>
      </c>
      <c r="AO83" s="59">
        <f t="shared" si="90"/>
        <v>244.4970554728738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164.7533079505443</v>
      </c>
      <c r="AV83" s="21">
        <f>EXP(-LN(2)/25)*AV82+(1-EXP(-LN(2)/25))/(LN(2)/25)*Calculateur!AQ83*Calculateur!AS83*VLOOKUP('Données projet'!$B$10,Paramètres!$A$1:$I$89,3,0)*0.475*44/12</f>
        <v>37.953305887116372</v>
      </c>
      <c r="AW83" s="21">
        <f>EXP(-LN(2)/2)*AW82+(1-EXP(-LN(2)/2))/(LN(2)/2)*AQ83*AT83*VLOOKUP('Données projet'!$B$10,Paramètres!$A$1:$I$89,3,0)*0.475*44/12</f>
        <v>11.672533929110037</v>
      </c>
      <c r="AX83" s="21">
        <f t="shared" si="60"/>
        <v>214.3791477667707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45.278999999999961</v>
      </c>
      <c r="D84" s="11">
        <f t="shared" si="86"/>
        <v>13.387593006845686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452.86492847389621</v>
      </c>
      <c r="H84" s="67">
        <f t="shared" si="56"/>
        <v>395.51098282025612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-2.2737367544323206E-13</v>
      </c>
      <c r="O84" s="13">
        <f>N84*VLOOKUP('Données projet'!$B$9,Paramètres!$A$1:$I$89,3,0)*VLOOKUP('Données projet'!$B$9,Paramètres!$A$1:$I$89,5,0)</f>
        <v>-1.3596945791505279E-13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260.31965507630525</v>
      </c>
      <c r="T84" s="59">
        <f t="shared" si="88"/>
        <v>327.31114099338032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99.256923790083405</v>
      </c>
      <c r="AA84" s="21">
        <f>EXP(-LN(2)/25)*AA83+(1-EXP(-LN(2)/25))/(LN(2)/25)*Calculateur!V84*Calculateur!X84*VLOOKUP('Données projet'!$B$9,Paramètres!$A$1:$I$89,3,0)*0.475*44/12</f>
        <v>22.100288796555365</v>
      </c>
      <c r="AB84" s="21">
        <f>EXP(-LN(2)/2)*AB83+(1-EXP(-LN(2)/2))/(LN(2)/2)*V84*Y84*VLOOKUP('Données projet'!$B$9,Paramètres!$A$1:$I$89,3,0)*0.475*44/12</f>
        <v>6.9754928947264871E-3</v>
      </c>
      <c r="AC84" s="22">
        <f t="shared" si="57"/>
        <v>121.36418807953349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-1.1368683772161603E-13</v>
      </c>
      <c r="AJ84" s="13">
        <f>AI84*VLOOKUP('Données projet'!$B$10,Paramètres!$A$1:$I$89,3,0)*VLOOKUP('Données projet'!$B$10,Paramètres!$A$1:$I$89,5,0)</f>
        <v>-6.7984728957526396E-14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277.11749933885778</v>
      </c>
      <c r="AO84" s="59">
        <f t="shared" si="90"/>
        <v>244.4970554728738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161.52259607122946</v>
      </c>
      <c r="AV84" s="21">
        <f>EXP(-LN(2)/25)*AV83+(1-EXP(-LN(2)/25))/(LN(2)/25)*Calculateur!AQ84*Calculateur!AS84*VLOOKUP('Données projet'!$B$10,Paramètres!$A$1:$I$89,3,0)*0.475*44/12</f>
        <v>36.915470741755563</v>
      </c>
      <c r="AW84" s="21">
        <f>EXP(-LN(2)/2)*AW83+(1-EXP(-LN(2)/2))/(LN(2)/2)*AQ84*AT84*VLOOKUP('Données projet'!$B$10,Paramètres!$A$1:$I$89,3,0)*0.475*44/12</f>
        <v>8.2537278949037631</v>
      </c>
      <c r="AX84" s="21">
        <f t="shared" si="60"/>
        <v>206.69179470788879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45.837999999999958</v>
      </c>
      <c r="D85" s="11">
        <f t="shared" si="86"/>
        <v>13.533529012055453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458.30653974218217</v>
      </c>
      <c r="H85" s="67">
        <f t="shared" si="56"/>
        <v>396.73874636266316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-2.2737367544323206E-13</v>
      </c>
      <c r="O85" s="13">
        <f>N85*VLOOKUP('Données projet'!$B$9,Paramètres!$A$1:$I$89,3,0)*VLOOKUP('Données projet'!$B$9,Paramètres!$A$1:$I$89,5,0)</f>
        <v>-1.3596945791505279E-13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260.31965507630525</v>
      </c>
      <c r="T85" s="59">
        <f t="shared" si="88"/>
        <v>327.31114099338032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97.310556055305483</v>
      </c>
      <c r="AA85" s="21">
        <f>EXP(-LN(2)/25)*AA84+(1-EXP(-LN(2)/25))/(LN(2)/25)*Calculateur!V85*Calculateur!X85*VLOOKUP('Données projet'!$B$9,Paramètres!$A$1:$I$89,3,0)*0.475*44/12</f>
        <v>21.495955237209881</v>
      </c>
      <c r="AB85" s="21">
        <f>EXP(-LN(2)/2)*AB84+(1-EXP(-LN(2)/2))/(LN(2)/2)*V85*Y85*VLOOKUP('Données projet'!$B$9,Paramètres!$A$1:$I$89,3,0)*0.475*44/12</f>
        <v>4.9324183279796791E-3</v>
      </c>
      <c r="AC85" s="22">
        <f t="shared" si="57"/>
        <v>118.81144371084335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-1.1368683772161603E-13</v>
      </c>
      <c r="AJ85" s="13">
        <f>AI85*VLOOKUP('Données projet'!$B$10,Paramètres!$A$1:$I$89,3,0)*VLOOKUP('Données projet'!$B$10,Paramètres!$A$1:$I$89,5,0)</f>
        <v>-6.7984728957526396E-14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277.11749933885778</v>
      </c>
      <c r="AO85" s="59">
        <f t="shared" si="90"/>
        <v>244.4970554728738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158.35523648132829</v>
      </c>
      <c r="AV85" s="21">
        <f>EXP(-LN(2)/25)*AV84+(1-EXP(-LN(2)/25))/(LN(2)/25)*Calculateur!AQ85*Calculateur!AS85*VLOOKUP('Données projet'!$B$10,Paramètres!$A$1:$I$89,3,0)*0.475*44/12</f>
        <v>35.906015253022019</v>
      </c>
      <c r="AW85" s="21">
        <f>EXP(-LN(2)/2)*AW84+(1-EXP(-LN(2)/2))/(LN(2)/2)*AQ85*AT85*VLOOKUP('Données projet'!$B$10,Paramètres!$A$1:$I$89,3,0)*0.475*44/12</f>
        <v>5.8362669645550191</v>
      </c>
      <c r="AX85" s="21">
        <f t="shared" si="60"/>
        <v>200.09751869890533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46.396999999999956</v>
      </c>
      <c r="D86" s="11">
        <f t="shared" si="86"/>
        <v>13.679258000861923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463.7465529891092</v>
      </c>
      <c r="H86" s="67">
        <f t="shared" si="56"/>
        <v>397.96614935150109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-2.2737367544323206E-13</v>
      </c>
      <c r="O86" s="13">
        <f>N86*VLOOKUP('Données projet'!$B$9,Paramètres!$A$1:$I$89,3,0)*VLOOKUP('Données projet'!$B$9,Paramètres!$A$1:$I$89,5,0)</f>
        <v>-1.3596945791505279E-13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260.31965507630525</v>
      </c>
      <c r="T86" s="59">
        <f t="shared" si="88"/>
        <v>327.31114099338032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95.402355404639451</v>
      </c>
      <c r="AA86" s="21">
        <f>EXP(-LN(2)/25)*AA85+(1-EXP(-LN(2)/25))/(LN(2)/25)*Calculateur!V86*Calculateur!X86*VLOOKUP('Données projet'!$B$9,Paramètres!$A$1:$I$89,3,0)*0.475*44/12</f>
        <v>20.90814721082522</v>
      </c>
      <c r="AB86" s="21">
        <f>EXP(-LN(2)/2)*AB85+(1-EXP(-LN(2)/2))/(LN(2)/2)*V86*Y86*VLOOKUP('Données projet'!$B$9,Paramètres!$A$1:$I$89,3,0)*0.475*44/12</f>
        <v>3.4877464473632436E-3</v>
      </c>
      <c r="AC86" s="22">
        <f t="shared" si="57"/>
        <v>116.31399036191203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-1.1368683772161603E-13</v>
      </c>
      <c r="AJ86" s="13">
        <f>AI86*VLOOKUP('Données projet'!$B$10,Paramètres!$A$1:$I$89,3,0)*VLOOKUP('Données projet'!$B$10,Paramètres!$A$1:$I$89,5,0)</f>
        <v>-6.7984728957526396E-14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277.11749933885778</v>
      </c>
      <c r="AO86" s="59">
        <f t="shared" si="90"/>
        <v>244.4970554728738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155.2499868810865</v>
      </c>
      <c r="AV86" s="21">
        <f>EXP(-LN(2)/25)*AV85+(1-EXP(-LN(2)/25))/(LN(2)/25)*Calculateur!AQ86*Calculateur!AS86*VLOOKUP('Données projet'!$B$10,Paramètres!$A$1:$I$89,3,0)*0.475*44/12</f>
        <v>34.924163377712851</v>
      </c>
      <c r="AW86" s="21">
        <f>EXP(-LN(2)/2)*AW85+(1-EXP(-LN(2)/2))/(LN(2)/2)*AQ86*AT86*VLOOKUP('Données projet'!$B$10,Paramètres!$A$1:$I$89,3,0)*0.475*44/12</f>
        <v>4.1268639474518825</v>
      </c>
      <c r="AX86" s="21">
        <f t="shared" si="60"/>
        <v>194.30101420625124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46.955999999999953</v>
      </c>
      <c r="D87" s="11">
        <f t="shared" si="86"/>
        <v>13.824782755944199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469.18498969500752</v>
      </c>
      <c r="H87" s="67">
        <f t="shared" si="56"/>
        <v>399.19319663326939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-2.2737367544323206E-13</v>
      </c>
      <c r="O87" s="13">
        <f>N87*VLOOKUP('Données projet'!$B$9,Paramètres!$A$1:$I$89,3,0)*VLOOKUP('Données projet'!$B$9,Paramètres!$A$1:$I$89,5,0)</f>
        <v>-1.3596945791505279E-13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260.31965507630525</v>
      </c>
      <c r="T87" s="59">
        <f t="shared" si="88"/>
        <v>327.31114099338032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93.531573404845517</v>
      </c>
      <c r="AA87" s="21">
        <f>EXP(-LN(2)/25)*AA86+(1-EXP(-LN(2)/25))/(LN(2)/25)*Calculateur!V87*Calculateur!X87*VLOOKUP('Données projet'!$B$9,Paramètres!$A$1:$I$89,3,0)*0.475*44/12</f>
        <v>20.336412825833527</v>
      </c>
      <c r="AB87" s="21">
        <f>EXP(-LN(2)/2)*AB86+(1-EXP(-LN(2)/2))/(LN(2)/2)*V87*Y87*VLOOKUP('Données projet'!$B$9,Paramètres!$A$1:$I$89,3,0)*0.475*44/12</f>
        <v>2.4662091639898395E-3</v>
      </c>
      <c r="AC87" s="22">
        <f t="shared" si="57"/>
        <v>113.87045243984302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-1.1368683772161603E-13</v>
      </c>
      <c r="AJ87" s="13">
        <f>AI87*VLOOKUP('Données projet'!$B$10,Paramètres!$A$1:$I$89,3,0)*VLOOKUP('Données projet'!$B$10,Paramètres!$A$1:$I$89,5,0)</f>
        <v>-6.7984728957526396E-14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277.11749933885778</v>
      </c>
      <c r="AO87" s="59">
        <f t="shared" si="90"/>
        <v>244.4970554728738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152.20562933149023</v>
      </c>
      <c r="AV87" s="21">
        <f>EXP(-LN(2)/25)*AV86+(1-EXP(-LN(2)/25))/(LN(2)/25)*Calculateur!AQ87*Calculateur!AS87*VLOOKUP('Données projet'!$B$10,Paramètres!$A$1:$I$89,3,0)*0.475*44/12</f>
        <v>33.969160293567363</v>
      </c>
      <c r="AW87" s="21">
        <f>EXP(-LN(2)/2)*AW86+(1-EXP(-LN(2)/2))/(LN(2)/2)*AQ87*AT87*VLOOKUP('Données projet'!$B$10,Paramètres!$A$1:$I$89,3,0)*0.475*44/12</f>
        <v>2.91813348227751</v>
      </c>
      <c r="AX87" s="21">
        <f t="shared" si="60"/>
        <v>189.09292310733511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47.514999999999951</v>
      </c>
      <c r="D88" s="11">
        <f t="shared" si="86"/>
        <v>13.970105989914776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474.62187079934182</v>
      </c>
      <c r="H88" s="67">
        <f t="shared" si="56"/>
        <v>400.41989293243478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-2.2737367544323206E-13</v>
      </c>
      <c r="O88" s="13">
        <f>N88*VLOOKUP('Données projet'!$B$9,Paramètres!$A$1:$I$89,3,0)*VLOOKUP('Données projet'!$B$9,Paramètres!$A$1:$I$89,5,0)</f>
        <v>-1.3596945791505279E-13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260.31965507630525</v>
      </c>
      <c r="T88" s="59">
        <f t="shared" si="88"/>
        <v>327.31114099338032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91.697476299003185</v>
      </c>
      <c r="AA88" s="21">
        <f>EXP(-LN(2)/25)*AA87+(1-EXP(-LN(2)/25))/(LN(2)/25)*Calculateur!V88*Calculateur!X88*VLOOKUP('Données projet'!$B$9,Paramètres!$A$1:$I$89,3,0)*0.475*44/12</f>
        <v>19.780312547665638</v>
      </c>
      <c r="AB88" s="21">
        <f>EXP(-LN(2)/2)*AB87+(1-EXP(-LN(2)/2))/(LN(2)/2)*V88*Y88*VLOOKUP('Données projet'!$B$9,Paramètres!$A$1:$I$89,3,0)*0.475*44/12</f>
        <v>1.7438732236816218E-3</v>
      </c>
      <c r="AC88" s="22">
        <f t="shared" si="57"/>
        <v>111.47953271989252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-1.1368683772161603E-13</v>
      </c>
      <c r="AJ88" s="13">
        <f>AI88*VLOOKUP('Données projet'!$B$10,Paramètres!$A$1:$I$89,3,0)*VLOOKUP('Données projet'!$B$10,Paramètres!$A$1:$I$89,5,0)</f>
        <v>-6.7984728957526396E-14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277.11749933885778</v>
      </c>
      <c r="AO88" s="59">
        <f t="shared" si="90"/>
        <v>244.4970554728738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149.22096977656679</v>
      </c>
      <c r="AV88" s="21">
        <f>EXP(-LN(2)/25)*AV87+(1-EXP(-LN(2)/25))/(LN(2)/25)*Calculateur!AQ88*Calculateur!AS88*VLOOKUP('Données projet'!$B$10,Paramètres!$A$1:$I$89,3,0)*0.475*44/12</f>
        <v>33.040271818979264</v>
      </c>
      <c r="AW88" s="21">
        <f>EXP(-LN(2)/2)*AW87+(1-EXP(-LN(2)/2))/(LN(2)/2)*AQ88*AT88*VLOOKUP('Données projet'!$B$10,Paramètres!$A$1:$I$89,3,0)*0.475*44/12</f>
        <v>2.0634319737259412</v>
      </c>
      <c r="AX88" s="21">
        <f t="shared" si="60"/>
        <v>184.32467356927199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48.073999999999948</v>
      </c>
      <c r="D89" s="11">
        <f t="shared" si="86"/>
        <v>14.115230347886868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480.05721672052988</v>
      </c>
      <c r="H89" s="67">
        <f t="shared" si="56"/>
        <v>401.64624285590287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-2.2737367544323206E-13</v>
      </c>
      <c r="O89" s="13">
        <f>N89*VLOOKUP('Données projet'!$B$9,Paramètres!$A$1:$I$89,3,0)*VLOOKUP('Données projet'!$B$9,Paramètres!$A$1:$I$89,5,0)</f>
        <v>-1.3596945791505279E-13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260.31965507630525</v>
      </c>
      <c r="T89" s="59">
        <f t="shared" si="88"/>
        <v>327.31114099338032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89.899344718717657</v>
      </c>
      <c r="AA89" s="21">
        <f>EXP(-LN(2)/25)*AA88+(1-EXP(-LN(2)/25))/(LN(2)/25)*Calculateur!V89*Calculateur!X89*VLOOKUP('Données projet'!$B$9,Paramètres!$A$1:$I$89,3,0)*0.475*44/12</f>
        <v>19.239418860848293</v>
      </c>
      <c r="AB89" s="21">
        <f>EXP(-LN(2)/2)*AB88+(1-EXP(-LN(2)/2))/(LN(2)/2)*V89*Y89*VLOOKUP('Données projet'!$B$9,Paramètres!$A$1:$I$89,3,0)*0.475*44/12</f>
        <v>1.2331045819949198E-3</v>
      </c>
      <c r="AC89" s="22">
        <f t="shared" si="57"/>
        <v>109.13999668414795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-1.1368683772161603E-13</v>
      </c>
      <c r="AJ89" s="13">
        <f>AI89*VLOOKUP('Données projet'!$B$10,Paramètres!$A$1:$I$89,3,0)*VLOOKUP('Données projet'!$B$10,Paramètres!$A$1:$I$89,5,0)</f>
        <v>-6.7984728957526396E-14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277.11749933885778</v>
      </c>
      <c r="AO89" s="59">
        <f t="shared" si="90"/>
        <v>244.4970554728738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146.29483757505281</v>
      </c>
      <c r="AV89" s="21">
        <f>EXP(-LN(2)/25)*AV88+(1-EXP(-LN(2)/25))/(LN(2)/25)*Calculateur!AQ89*Calculateur!AS89*VLOOKUP('Données projet'!$B$10,Paramètres!$A$1:$I$89,3,0)*0.475*44/12</f>
        <v>32.136783848576897</v>
      </c>
      <c r="AW89" s="21">
        <f>EXP(-LN(2)/2)*AW88+(1-EXP(-LN(2)/2))/(LN(2)/2)*AQ89*AT89*VLOOKUP('Données projet'!$B$10,Paramètres!$A$1:$I$89,3,0)*0.475*44/12</f>
        <v>1.459066741138755</v>
      </c>
      <c r="AX89" s="21">
        <f t="shared" si="60"/>
        <v>179.89068816476845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48.632999999999946</v>
      </c>
      <c r="D90" s="11">
        <f t="shared" si="86"/>
        <v>14.260158409918965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485.49104737481269</v>
      </c>
      <c r="H90" s="67">
        <f t="shared" si="56"/>
        <v>402.87225089727542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-2.2737367544323206E-13</v>
      </c>
      <c r="O90" s="13">
        <f>N90*VLOOKUP('Données projet'!$B$9,Paramètres!$A$1:$I$89,3,0)*VLOOKUP('Données projet'!$B$9,Paramètres!$A$1:$I$89,5,0)</f>
        <v>-1.3596945791505279E-13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260.31965507630525</v>
      </c>
      <c r="T90" s="59">
        <f t="shared" si="88"/>
        <v>327.31114099338032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88.136473401969553</v>
      </c>
      <c r="AA90" s="21">
        <f>EXP(-LN(2)/25)*AA89+(1-EXP(-LN(2)/25))/(LN(2)/25)*Calculateur!V90*Calculateur!X90*VLOOKUP('Données projet'!$B$9,Paramètres!$A$1:$I$89,3,0)*0.475*44/12</f>
        <v>18.713315940341332</v>
      </c>
      <c r="AB90" s="21">
        <f>EXP(-LN(2)/2)*AB89+(1-EXP(-LN(2)/2))/(LN(2)/2)*V90*Y90*VLOOKUP('Données projet'!$B$9,Paramètres!$A$1:$I$89,3,0)*0.475*44/12</f>
        <v>8.7193661184081089E-4</v>
      </c>
      <c r="AC90" s="22">
        <f t="shared" si="57"/>
        <v>106.85066127892273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-1.1368683772161603E-13</v>
      </c>
      <c r="AJ90" s="13">
        <f>AI90*VLOOKUP('Données projet'!$B$10,Paramètres!$A$1:$I$89,3,0)*VLOOKUP('Données projet'!$B$10,Paramètres!$A$1:$I$89,5,0)</f>
        <v>-6.7984728957526396E-14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277.11749933885778</v>
      </c>
      <c r="AO90" s="59">
        <f t="shared" si="90"/>
        <v>244.4970554728738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143.42608504124613</v>
      </c>
      <c r="AV90" s="21">
        <f>EXP(-LN(2)/25)*AV89+(1-EXP(-LN(2)/25))/(LN(2)/25)*Calculateur!AQ90*Calculateur!AS90*VLOOKUP('Données projet'!$B$10,Paramètres!$A$1:$I$89,3,0)*0.475*44/12</f>
        <v>31.258001804237548</v>
      </c>
      <c r="AW90" s="21">
        <f>EXP(-LN(2)/2)*AW89+(1-EXP(-LN(2)/2))/(LN(2)/2)*AQ90*AT90*VLOOKUP('Données projet'!$B$10,Paramètres!$A$1:$I$89,3,0)*0.475*44/12</f>
        <v>1.0317159868629706</v>
      </c>
      <c r="AX90" s="21">
        <f t="shared" si="60"/>
        <v>175.71580283234664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49.191999999999943</v>
      </c>
      <c r="D91" s="11">
        <f t="shared" si="86"/>
        <v>14.404892693343806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490.92338219423249</v>
      </c>
      <c r="H91" s="67">
        <f t="shared" si="56"/>
        <v>404.09792144090699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-2.2737367544323206E-13</v>
      </c>
      <c r="O91" s="13">
        <f>N91*VLOOKUP('Données projet'!$B$9,Paramètres!$A$1:$I$89,3,0)*VLOOKUP('Données projet'!$B$9,Paramètres!$A$1:$I$89,5,0)</f>
        <v>-1.3596945791505279E-13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260.31965507630525</v>
      </c>
      <c r="T91" s="59">
        <f t="shared" si="88"/>
        <v>327.31114099338032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86.408170916497554</v>
      </c>
      <c r="AA91" s="21">
        <f>EXP(-LN(2)/25)*AA90+(1-EXP(-LN(2)/25))/(LN(2)/25)*Calculateur!V91*Calculateur!X91*VLOOKUP('Données projet'!$B$9,Paramètres!$A$1:$I$89,3,0)*0.475*44/12</f>
        <v>18.201599331862184</v>
      </c>
      <c r="AB91" s="21">
        <f>EXP(-LN(2)/2)*AB90+(1-EXP(-LN(2)/2))/(LN(2)/2)*V91*Y91*VLOOKUP('Données projet'!$B$9,Paramètres!$A$1:$I$89,3,0)*0.475*44/12</f>
        <v>6.1655229099745988E-4</v>
      </c>
      <c r="AC91" s="22">
        <f t="shared" si="57"/>
        <v>104.61038680065073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-1.1368683772161603E-13</v>
      </c>
      <c r="AJ91" s="13">
        <f>AI91*VLOOKUP('Données projet'!$B$10,Paramètres!$A$1:$I$89,3,0)*VLOOKUP('Données projet'!$B$10,Paramètres!$A$1:$I$89,5,0)</f>
        <v>-6.7984728957526396E-14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277.11749933885778</v>
      </c>
      <c r="AO91" s="59">
        <f t="shared" si="90"/>
        <v>244.4970554728738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140.61358699486109</v>
      </c>
      <c r="AV91" s="21">
        <f>EXP(-LN(2)/25)*AV90+(1-EXP(-LN(2)/25))/(LN(2)/25)*Calculateur!AQ91*Calculateur!AS91*VLOOKUP('Données projet'!$B$10,Paramètres!$A$1:$I$89,3,0)*0.475*44/12</f>
        <v>30.403250101113798</v>
      </c>
      <c r="AW91" s="21">
        <f>EXP(-LN(2)/2)*AW90+(1-EXP(-LN(2)/2))/(LN(2)/2)*AQ91*AT91*VLOOKUP('Données projet'!$B$10,Paramètres!$A$1:$I$89,3,0)*0.475*44/12</f>
        <v>0.7295333705693775</v>
      </c>
      <c r="AX91" s="21">
        <f t="shared" si="60"/>
        <v>171.74637046654428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49.750999999999941</v>
      </c>
      <c r="D92" s="11">
        <f t="shared" si="86"/>
        <v>14.549435654988406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496.35424014376969</v>
      </c>
      <c r="H92" s="67">
        <f t="shared" si="56"/>
        <v>405.32325876577136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-2.2737367544323206E-13</v>
      </c>
      <c r="O92" s="13">
        <f>N92*VLOOKUP('Données projet'!$B$9,Paramètres!$A$1:$I$89,3,0)*VLOOKUP('Données projet'!$B$9,Paramètres!$A$1:$I$89,5,0)</f>
        <v>-1.3596945791505279E-13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260.31965507630525</v>
      </c>
      <c r="T92" s="59">
        <f t="shared" si="88"/>
        <v>327.31114099338032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84.713759388605226</v>
      </c>
      <c r="AA92" s="21">
        <f>EXP(-LN(2)/25)*AA91+(1-EXP(-LN(2)/25))/(LN(2)/25)*Calculateur!V92*Calculateur!X92*VLOOKUP('Données projet'!$B$9,Paramètres!$A$1:$I$89,3,0)*0.475*44/12</f>
        <v>17.703875640951903</v>
      </c>
      <c r="AB92" s="21">
        <f>EXP(-LN(2)/2)*AB91+(1-EXP(-LN(2)/2))/(LN(2)/2)*V92*Y92*VLOOKUP('Données projet'!$B$9,Paramètres!$A$1:$I$89,3,0)*0.475*44/12</f>
        <v>4.3596830592040545E-4</v>
      </c>
      <c r="AC92" s="22">
        <f t="shared" si="57"/>
        <v>102.41807099786305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-1.1368683772161603E-13</v>
      </c>
      <c r="AJ92" s="13">
        <f>AI92*VLOOKUP('Données projet'!$B$10,Paramètres!$A$1:$I$89,3,0)*VLOOKUP('Données projet'!$B$10,Paramètres!$A$1:$I$89,5,0)</f>
        <v>-6.7984728957526396E-14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277.11749933885778</v>
      </c>
      <c r="AO92" s="59">
        <f t="shared" si="90"/>
        <v>244.4970554728738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137.85624031971128</v>
      </c>
      <c r="AV92" s="21">
        <f>EXP(-LN(2)/25)*AV91+(1-EXP(-LN(2)/25))/(LN(2)/25)*Calculateur!AQ92*Calculateur!AS92*VLOOKUP('Données projet'!$B$10,Paramètres!$A$1:$I$89,3,0)*0.475*44/12</f>
        <v>29.571871628261405</v>
      </c>
      <c r="AW92" s="21">
        <f>EXP(-LN(2)/2)*AW91+(1-EXP(-LN(2)/2))/(LN(2)/2)*AQ92*AT92*VLOOKUP('Données projet'!$B$10,Paramètres!$A$1:$I$89,3,0)*0.475*44/12</f>
        <v>0.51585799343148531</v>
      </c>
      <c r="AX92" s="21">
        <f t="shared" si="60"/>
        <v>167.94396994140419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50.309999999999938</v>
      </c>
      <c r="D93" s="11">
        <f t="shared" si="86"/>
        <v>14.693789693291537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501.7836397376887</v>
      </c>
      <c r="H93" s="67">
        <f t="shared" si="56"/>
        <v>406.54826704914933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-2.2737367544323206E-13</v>
      </c>
      <c r="O93" s="13">
        <f>N93*VLOOKUP('Données projet'!$B$9,Paramètres!$A$1:$I$89,3,0)*VLOOKUP('Données projet'!$B$9,Paramètres!$A$1:$I$89,5,0)</f>
        <v>-1.3596945791505279E-13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260.31965507630525</v>
      </c>
      <c r="T93" s="59">
        <f t="shared" si="88"/>
        <v>327.31114099338032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83.052574237285882</v>
      </c>
      <c r="AA93" s="21">
        <f>EXP(-LN(2)/25)*AA92+(1-EXP(-LN(2)/25))/(LN(2)/25)*Calculateur!V93*Calculateur!X93*VLOOKUP('Données projet'!$B$9,Paramètres!$A$1:$I$89,3,0)*0.475*44/12</f>
        <v>17.219762230543715</v>
      </c>
      <c r="AB93" s="21">
        <f>EXP(-LN(2)/2)*AB92+(1-EXP(-LN(2)/2))/(LN(2)/2)*V93*Y93*VLOOKUP('Données projet'!$B$9,Paramètres!$A$1:$I$89,3,0)*0.475*44/12</f>
        <v>3.0827614549872994E-4</v>
      </c>
      <c r="AC93" s="22">
        <f t="shared" si="57"/>
        <v>100.27264474397511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-1.1368683772161603E-13</v>
      </c>
      <c r="AJ93" s="13">
        <f>AI93*VLOOKUP('Données projet'!$B$10,Paramètres!$A$1:$I$89,3,0)*VLOOKUP('Données projet'!$B$10,Paramètres!$A$1:$I$89,5,0)</f>
        <v>-6.7984728957526396E-14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277.11749933885778</v>
      </c>
      <c r="AO93" s="59">
        <f t="shared" si="90"/>
        <v>244.4970554728738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135.15296353104571</v>
      </c>
      <c r="AV93" s="21">
        <f>EXP(-LN(2)/25)*AV92+(1-EXP(-LN(2)/25))/(LN(2)/25)*Calculateur!AQ93*Calculateur!AS93*VLOOKUP('Données projet'!$B$10,Paramètres!$A$1:$I$89,3,0)*0.475*44/12</f>
        <v>28.763227243469455</v>
      </c>
      <c r="AW93" s="21">
        <f>EXP(-LN(2)/2)*AW92+(1-EXP(-LN(2)/2))/(LN(2)/2)*AQ93*AT93*VLOOKUP('Données projet'!$B$10,Paramètres!$A$1:$I$89,3,0)*0.475*44/12</f>
        <v>0.36476668528468875</v>
      </c>
      <c r="AX93" s="21">
        <f t="shared" si="60"/>
        <v>164.28095745979985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50.868999999999936</v>
      </c>
      <c r="D94" s="11">
        <f t="shared" si="86"/>
        <v>14.837957150324335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507.21159905513474</v>
      </c>
      <c r="H94" s="67">
        <f t="shared" si="56"/>
        <v>407.77295037014807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-2.2737367544323206E-13</v>
      </c>
      <c r="O94" s="13">
        <f>N94*VLOOKUP('Données projet'!$B$9,Paramètres!$A$1:$I$89,3,0)*VLOOKUP('Données projet'!$B$9,Paramètres!$A$1:$I$89,5,0)</f>
        <v>-1.3596945791505279E-13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260.31965507630525</v>
      </c>
      <c r="T94" s="59">
        <f t="shared" si="88"/>
        <v>327.31114099338032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81.423963913561025</v>
      </c>
      <c r="AA94" s="21">
        <f>EXP(-LN(2)/25)*AA93+(1-EXP(-LN(2)/25))/(LN(2)/25)*Calculateur!V94*Calculateur!X94*VLOOKUP('Données projet'!$B$9,Paramètres!$A$1:$I$89,3,0)*0.475*44/12</f>
        <v>16.748886926801557</v>
      </c>
      <c r="AB94" s="21">
        <f>EXP(-LN(2)/2)*AB93+(1-EXP(-LN(2)/2))/(LN(2)/2)*V94*Y94*VLOOKUP('Données projet'!$B$9,Paramètres!$A$1:$I$89,3,0)*0.475*44/12</f>
        <v>2.1798415296020272E-4</v>
      </c>
      <c r="AC94" s="22">
        <f t="shared" si="57"/>
        <v>98.173068824515539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-1.1368683772161603E-13</v>
      </c>
      <c r="AJ94" s="13">
        <f>AI94*VLOOKUP('Données projet'!$B$10,Paramètres!$A$1:$I$89,3,0)*VLOOKUP('Données projet'!$B$10,Paramètres!$A$1:$I$89,5,0)</f>
        <v>-6.7984728957526396E-14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277.11749933885778</v>
      </c>
      <c r="AO94" s="59">
        <f t="shared" si="90"/>
        <v>244.4970554728738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132.50269635136988</v>
      </c>
      <c r="AV94" s="21">
        <f>EXP(-LN(2)/25)*AV93+(1-EXP(-LN(2)/25))/(LN(2)/25)*Calculateur!AQ94*Calculateur!AS94*VLOOKUP('Données projet'!$B$10,Paramètres!$A$1:$I$89,3,0)*0.475*44/12</f>
        <v>27.976695281904401</v>
      </c>
      <c r="AW94" s="21">
        <f>EXP(-LN(2)/2)*AW93+(1-EXP(-LN(2)/2))/(LN(2)/2)*AQ94*AT94*VLOOKUP('Données projet'!$B$10,Paramètres!$A$1:$I$89,3,0)*0.475*44/12</f>
        <v>0.25792899671574265</v>
      </c>
      <c r="AX94" s="21">
        <f t="shared" si="60"/>
        <v>160.73732062999002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51.427999999999933</v>
      </c>
      <c r="D95" s="11">
        <f t="shared" si="86"/>
        <v>14.981940313719656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512.63813575502843</v>
      </c>
      <c r="H95" s="67">
        <f t="shared" si="56"/>
        <v>408.9973127130616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-2.2737367544323206E-13</v>
      </c>
      <c r="O95" s="13">
        <f>N95*VLOOKUP('Données projet'!$B$9,Paramètres!$A$1:$I$89,3,0)*VLOOKUP('Données projet'!$B$9,Paramètres!$A$1:$I$89,5,0)</f>
        <v>-1.3596945791505279E-13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260.31965507630525</v>
      </c>
      <c r="T95" s="59">
        <f t="shared" si="88"/>
        <v>327.31114099338032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79.82728964493019</v>
      </c>
      <c r="AA95" s="21">
        <f>EXP(-LN(2)/25)*AA94+(1-EXP(-LN(2)/25))/(LN(2)/25)*Calculateur!V95*Calculateur!X95*VLOOKUP('Données projet'!$B$9,Paramètres!$A$1:$I$89,3,0)*0.475*44/12</f>
        <v>16.290887733002485</v>
      </c>
      <c r="AB95" s="21">
        <f>EXP(-LN(2)/2)*AB94+(1-EXP(-LN(2)/2))/(LN(2)/2)*V95*Y95*VLOOKUP('Données projet'!$B$9,Paramètres!$A$1:$I$89,3,0)*0.475*44/12</f>
        <v>1.5413807274936497E-4</v>
      </c>
      <c r="AC95" s="22">
        <f t="shared" si="57"/>
        <v>96.118331516005426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-1.1368683772161603E-13</v>
      </c>
      <c r="AJ95" s="13">
        <f>AI95*VLOOKUP('Données projet'!$B$10,Paramètres!$A$1:$I$89,3,0)*VLOOKUP('Données projet'!$B$10,Paramètres!$A$1:$I$89,5,0)</f>
        <v>-6.7984728957526396E-14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277.11749933885778</v>
      </c>
      <c r="AO95" s="59">
        <f t="shared" si="90"/>
        <v>244.4970554728738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129.9043992945841</v>
      </c>
      <c r="AV95" s="21">
        <f>EXP(-LN(2)/25)*AV94+(1-EXP(-LN(2)/25))/(LN(2)/25)*Calculateur!AQ95*Calculateur!AS95*VLOOKUP('Données projet'!$B$10,Paramètres!$A$1:$I$89,3,0)*0.475*44/12</f>
        <v>27.211671078190264</v>
      </c>
      <c r="AW95" s="21">
        <f>EXP(-LN(2)/2)*AW94+(1-EXP(-LN(2)/2))/(LN(2)/2)*AQ95*AT95*VLOOKUP('Données projet'!$B$10,Paramètres!$A$1:$I$89,3,0)*0.475*44/12</f>
        <v>0.18238334264234438</v>
      </c>
      <c r="AX95" s="21">
        <f t="shared" si="60"/>
        <v>157.29845371541668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51.986999999999931</v>
      </c>
      <c r="D96" s="11">
        <f t="shared" si="86"/>
        <v>15.125741418515025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518.06326709029088</v>
      </c>
      <c r="H96" s="67">
        <f t="shared" si="56"/>
        <v>410.22135797058019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-2.2737367544323206E-13</v>
      </c>
      <c r="O96" s="13">
        <f>N96*VLOOKUP('Données projet'!$B$9,Paramètres!$A$1:$I$89,3,0)*VLOOKUP('Données projet'!$B$9,Paramètres!$A$1:$I$89,5,0)</f>
        <v>-1.3596945791505279E-13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260.31965507630525</v>
      </c>
      <c r="T96" s="59">
        <f t="shared" si="88"/>
        <v>327.31114099338032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78.261925184832066</v>
      </c>
      <c r="AA96" s="21">
        <f>EXP(-LN(2)/25)*AA95+(1-EXP(-LN(2)/25))/(LN(2)/25)*Calculateur!V96*Calculateur!X96*VLOOKUP('Données projet'!$B$9,Paramètres!$A$1:$I$89,3,0)*0.475*44/12</f>
        <v>15.84541255124298</v>
      </c>
      <c r="AB96" s="21">
        <f>EXP(-LN(2)/2)*AB95+(1-EXP(-LN(2)/2))/(LN(2)/2)*V96*Y96*VLOOKUP('Données projet'!$B$9,Paramètres!$A$1:$I$89,3,0)*0.475*44/12</f>
        <v>1.0899207648010136E-4</v>
      </c>
      <c r="AC96" s="22">
        <f t="shared" si="57"/>
        <v>94.107446728151515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-1.1368683772161603E-13</v>
      </c>
      <c r="AJ96" s="13">
        <f>AI96*VLOOKUP('Données projet'!$B$10,Paramètres!$A$1:$I$89,3,0)*VLOOKUP('Données projet'!$B$10,Paramètres!$A$1:$I$89,5,0)</f>
        <v>-6.7984728957526396E-14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277.11749933885778</v>
      </c>
      <c r="AO96" s="59">
        <f t="shared" si="90"/>
        <v>244.4970554728738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127.35705325827718</v>
      </c>
      <c r="AV96" s="21">
        <f>EXP(-LN(2)/25)*AV95+(1-EXP(-LN(2)/25))/(LN(2)/25)*Calculateur!AQ96*Calculateur!AS96*VLOOKUP('Données projet'!$B$10,Paramètres!$A$1:$I$89,3,0)*0.475*44/12</f>
        <v>26.467566501557563</v>
      </c>
      <c r="AW96" s="21">
        <f>EXP(-LN(2)/2)*AW95+(1-EXP(-LN(2)/2))/(LN(2)/2)*AQ96*AT96*VLOOKUP('Données projet'!$B$10,Paramètres!$A$1:$I$89,3,0)*0.475*44/12</f>
        <v>0.12896449835787133</v>
      </c>
      <c r="AX96" s="21">
        <f t="shared" si="60"/>
        <v>153.95358425819262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52.545999999999928</v>
      </c>
      <c r="D97" s="11">
        <f t="shared" si="86"/>
        <v>15.269362648914145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523.487009921442</v>
      </c>
      <c r="H97" s="67">
        <f t="shared" si="56"/>
        <v>411.44508994685867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-2.2737367544323206E-13</v>
      </c>
      <c r="O97" s="13">
        <f>N97*VLOOKUP('Données projet'!$B$9,Paramètres!$A$1:$I$89,3,0)*VLOOKUP('Données projet'!$B$9,Paramètres!$A$1:$I$89,5,0)</f>
        <v>-1.3596945791505279E-13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260.31965507630525</v>
      </c>
      <c r="T97" s="59">
        <f t="shared" si="88"/>
        <v>327.31114099338032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76.727256567018429</v>
      </c>
      <c r="AA97" s="21">
        <f>EXP(-LN(2)/25)*AA96+(1-EXP(-LN(2)/25))/(LN(2)/25)*Calculateur!V97*Calculateur!X97*VLOOKUP('Données projet'!$B$9,Paramètres!$A$1:$I$89,3,0)*0.475*44/12</f>
        <v>15.41211891175521</v>
      </c>
      <c r="AB97" s="21">
        <f>EXP(-LN(2)/2)*AB96+(1-EXP(-LN(2)/2))/(LN(2)/2)*V97*Y97*VLOOKUP('Données projet'!$B$9,Paramètres!$A$1:$I$89,3,0)*0.475*44/12</f>
        <v>7.7069036374682485E-5</v>
      </c>
      <c r="AC97" s="22">
        <f t="shared" si="57"/>
        <v>92.139452547810023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-1.1368683772161603E-13</v>
      </c>
      <c r="AJ97" s="13">
        <f>AI97*VLOOKUP('Données projet'!$B$10,Paramètres!$A$1:$I$89,3,0)*VLOOKUP('Données projet'!$B$10,Paramètres!$A$1:$I$89,5,0)</f>
        <v>-6.7984728957526396E-14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277.11749933885778</v>
      </c>
      <c r="AO97" s="59">
        <f t="shared" si="90"/>
        <v>244.4970554728738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124.85965912401457</v>
      </c>
      <c r="AV97" s="21">
        <f>EXP(-LN(2)/25)*AV96+(1-EXP(-LN(2)/25))/(LN(2)/25)*Calculateur!AQ97*Calculateur!AS97*VLOOKUP('Données projet'!$B$10,Paramètres!$A$1:$I$89,3,0)*0.475*44/12</f>
        <v>25.743809503703641</v>
      </c>
      <c r="AW97" s="21">
        <f>EXP(-LN(2)/2)*AW96+(1-EXP(-LN(2)/2))/(LN(2)/2)*AQ97*AT97*VLOOKUP('Données projet'!$B$10,Paramètres!$A$1:$I$89,3,0)*0.475*44/12</f>
        <v>9.1191671321172188E-2</v>
      </c>
      <c r="AX97" s="21">
        <f t="shared" si="60"/>
        <v>150.69466029903938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53.104999999999926</v>
      </c>
      <c r="D98" s="11">
        <f t="shared" si="86"/>
        <v>15.412806139971298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528.9093807296025</v>
      </c>
      <c r="H98" s="67">
        <f t="shared" si="56"/>
        <v>412.66851236044988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-2.2737367544323206E-13</v>
      </c>
      <c r="O98" s="13">
        <f>N98*VLOOKUP('Données projet'!$B$9,Paramètres!$A$1:$I$89,3,0)*VLOOKUP('Données projet'!$B$9,Paramètres!$A$1:$I$89,5,0)</f>
        <v>-1.3596945791505279E-13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260.31965507630525</v>
      </c>
      <c r="T98" s="59">
        <f t="shared" si="88"/>
        <v>327.31114099338032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75.222681864744686</v>
      </c>
      <c r="AA98" s="21">
        <f>EXP(-LN(2)/25)*AA97+(1-EXP(-LN(2)/25))/(LN(2)/25)*Calculateur!V98*Calculateur!X98*VLOOKUP('Données projet'!$B$9,Paramètres!$A$1:$I$89,3,0)*0.475*44/12</f>
        <v>14.990673709625154</v>
      </c>
      <c r="AB98" s="21">
        <f>EXP(-LN(2)/2)*AB97+(1-EXP(-LN(2)/2))/(LN(2)/2)*V98*Y98*VLOOKUP('Données projet'!$B$9,Paramètres!$A$1:$I$89,3,0)*0.475*44/12</f>
        <v>5.4496038240050681E-5</v>
      </c>
      <c r="AC98" s="22">
        <f t="shared" si="57"/>
        <v>90.213410070408088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-1.1368683772161603E-13</v>
      </c>
      <c r="AJ98" s="13">
        <f>AI98*VLOOKUP('Données projet'!$B$10,Paramètres!$A$1:$I$89,3,0)*VLOOKUP('Données projet'!$B$10,Paramètres!$A$1:$I$89,5,0)</f>
        <v>-6.7984728957526396E-14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277.11749933885778</v>
      </c>
      <c r="AO98" s="59">
        <f t="shared" si="90"/>
        <v>244.4970554728738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122.41123736546484</v>
      </c>
      <c r="AV98" s="21">
        <f>EXP(-LN(2)/25)*AV97+(1-EXP(-LN(2)/25))/(LN(2)/25)*Calculateur!AQ98*Calculateur!AS98*VLOOKUP('Données projet'!$B$10,Paramètres!$A$1:$I$89,3,0)*0.475*44/12</f>
        <v>25.039843679016762</v>
      </c>
      <c r="AW98" s="21">
        <f>EXP(-LN(2)/2)*AW97+(1-EXP(-LN(2)/2))/(LN(2)/2)*AQ98*AT98*VLOOKUP('Données projet'!$B$10,Paramètres!$A$1:$I$89,3,0)*0.475*44/12</f>
        <v>6.4482249178935663E-2</v>
      </c>
      <c r="AX98" s="21">
        <f t="shared" si="60"/>
        <v>147.51556329366053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53.663999999999923</v>
      </c>
      <c r="D99" s="11">
        <f t="shared" si="86"/>
        <v>15.556073979202761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534.33039562893293</v>
      </c>
      <c r="H99" s="67">
        <f t="shared" si="56"/>
        <v>413.89162884711129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-2.2737367544323206E-13</v>
      </c>
      <c r="O99" s="13">
        <f>N99*VLOOKUP('Données projet'!$B$9,Paramètres!$A$1:$I$89,3,0)*VLOOKUP('Données projet'!$B$9,Paramètres!$A$1:$I$89,5,0)</f>
        <v>-1.3596945791505279E-13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260.31965507630525</v>
      </c>
      <c r="T99" s="59">
        <f t="shared" si="88"/>
        <v>327.31114099338032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73.747610954682571</v>
      </c>
      <c r="AA99" s="21">
        <f>EXP(-LN(2)/25)*AA98+(1-EXP(-LN(2)/25))/(LN(2)/25)*Calculateur!V99*Calculateur!X99*VLOOKUP('Données projet'!$B$9,Paramètres!$A$1:$I$89,3,0)*0.475*44/12</f>
        <v>14.580752948710186</v>
      </c>
      <c r="AB99" s="21">
        <f>EXP(-LN(2)/2)*AB98+(1-EXP(-LN(2)/2))/(LN(2)/2)*V99*Y99*VLOOKUP('Données projet'!$B$9,Paramètres!$A$1:$I$89,3,0)*0.475*44/12</f>
        <v>3.8534518187341243E-5</v>
      </c>
      <c r="AC99" s="22">
        <f t="shared" si="57"/>
        <v>88.328402437910938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-1.1368683772161603E-13</v>
      </c>
      <c r="AJ99" s="13">
        <f>AI99*VLOOKUP('Données projet'!$B$10,Paramètres!$A$1:$I$89,3,0)*VLOOKUP('Données projet'!$B$10,Paramètres!$A$1:$I$89,5,0)</f>
        <v>-6.7984728957526396E-14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277.11749933885778</v>
      </c>
      <c r="AO99" s="59">
        <f t="shared" si="90"/>
        <v>244.4970554728738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120.01082766421047</v>
      </c>
      <c r="AV99" s="21">
        <f>EXP(-LN(2)/25)*AV98+(1-EXP(-LN(2)/25))/(LN(2)/25)*Calculateur!AQ99*Calculateur!AS99*VLOOKUP('Données projet'!$B$10,Paramètres!$A$1:$I$89,3,0)*0.475*44/12</f>
        <v>24.355127836825901</v>
      </c>
      <c r="AW99" s="21">
        <f>EXP(-LN(2)/2)*AW98+(1-EXP(-LN(2)/2))/(LN(2)/2)*AQ99*AT99*VLOOKUP('Données projet'!$B$10,Paramètres!$A$1:$I$89,3,0)*0.475*44/12</f>
        <v>4.5595835660586094E-2</v>
      </c>
      <c r="AX99" s="21">
        <f t="shared" si="60"/>
        <v>144.41155133669693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54.222999999999921</v>
      </c>
      <c r="D100" s="11">
        <f t="shared" si="86"/>
        <v>15.699168208129208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539.75007037854073</v>
      </c>
      <c r="H100" s="67">
        <f t="shared" si="56"/>
        <v>415.11444296249152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-2.2737367544323206E-13</v>
      </c>
      <c r="O100" s="13">
        <f>N100*VLOOKUP('Données projet'!$B$9,Paramètres!$A$1:$I$89,3,0)*VLOOKUP('Données projet'!$B$9,Paramètres!$A$1:$I$89,5,0)</f>
        <v>-1.3596945791505279E-13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260.31965507630525</v>
      </c>
      <c r="T100" s="59">
        <f t="shared" si="88"/>
        <v>327.31114099338032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72.301465285462371</v>
      </c>
      <c r="AA100" s="21">
        <f>EXP(-LN(2)/25)*AA99+(1-EXP(-LN(2)/25))/(LN(2)/25)*Calculateur!V100*Calculateur!X100*VLOOKUP('Données projet'!$B$9,Paramètres!$A$1:$I$89,3,0)*0.475*44/12</f>
        <v>14.182041492559234</v>
      </c>
      <c r="AB100" s="21">
        <f>EXP(-LN(2)/2)*AB99+(1-EXP(-LN(2)/2))/(LN(2)/2)*V100*Y100*VLOOKUP('Données projet'!$B$9,Paramètres!$A$1:$I$89,3,0)*0.475*44/12</f>
        <v>2.724801912002534E-5</v>
      </c>
      <c r="AC100" s="22">
        <f t="shared" si="57"/>
        <v>86.483534026040729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-1.1368683772161603E-13</v>
      </c>
      <c r="AJ100" s="13">
        <f>AI100*VLOOKUP('Données projet'!$B$10,Paramètres!$A$1:$I$89,3,0)*VLOOKUP('Données projet'!$B$10,Paramètres!$A$1:$I$89,5,0)</f>
        <v>-6.7984728957526396E-14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277.11749933885778</v>
      </c>
      <c r="AO100" s="59">
        <f t="shared" si="90"/>
        <v>244.4970554728738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117.65748853309233</v>
      </c>
      <c r="AV100" s="21">
        <f>EXP(-LN(2)/25)*AV99+(1-EXP(-LN(2)/25))/(LN(2)/25)*Calculateur!AQ100*Calculateur!AS100*VLOOKUP('Données projet'!$B$10,Paramètres!$A$1:$I$89,3,0)*0.475*44/12</f>
        <v>23.689135585347387</v>
      </c>
      <c r="AW100" s="21">
        <f>EXP(-LN(2)/2)*AW99+(1-EXP(-LN(2)/2))/(LN(2)/2)*AQ100*AT100*VLOOKUP('Données projet'!$B$10,Paramètres!$A$1:$I$89,3,0)*0.475*44/12</f>
        <v>3.2241124589467832E-2</v>
      </c>
      <c r="AX100" s="21">
        <f t="shared" si="60"/>
        <v>141.37886524302917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54.781999999999918</v>
      </c>
      <c r="D101" s="11">
        <f t="shared" si="86"/>
        <v>15.842090823752644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545.1684203938795</v>
      </c>
      <c r="H101" s="67">
        <f t="shared" si="56"/>
        <v>416.33695818470238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-2.2737367544323206E-13</v>
      </c>
      <c r="O101" s="13">
        <f>N101*VLOOKUP('Données projet'!$B$9,Paramètres!$A$1:$I$89,3,0)*VLOOKUP('Données projet'!$B$9,Paramètres!$A$1:$I$89,5,0)</f>
        <v>-1.3596945791505279E-13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260.31965507630525</v>
      </c>
      <c r="T101" s="59">
        <f t="shared" si="88"/>
        <v>327.31114099338032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70.88367765075381</v>
      </c>
      <c r="AA101" s="21">
        <f>EXP(-LN(2)/25)*AA100+(1-EXP(-LN(2)/25))/(LN(2)/25)*Calculateur!V101*Calculateur!X101*VLOOKUP('Données projet'!$B$9,Paramètres!$A$1:$I$89,3,0)*0.475*44/12</f>
        <v>13.794232822144053</v>
      </c>
      <c r="AB101" s="21">
        <f>EXP(-LN(2)/2)*AB100+(1-EXP(-LN(2)/2))/(LN(2)/2)*V101*Y101*VLOOKUP('Données projet'!$B$9,Paramètres!$A$1:$I$89,3,0)*0.475*44/12</f>
        <v>1.9267259093670621E-5</v>
      </c>
      <c r="AC101" s="22">
        <f t="shared" si="57"/>
        <v>84.677929740156955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-1.1368683772161603E-13</v>
      </c>
      <c r="AJ101" s="13">
        <f>AI101*VLOOKUP('Données projet'!$B$10,Paramètres!$A$1:$I$89,3,0)*VLOOKUP('Données projet'!$B$10,Paramètres!$A$1:$I$89,5,0)</f>
        <v>-6.7984728957526396E-14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277.11749933885778</v>
      </c>
      <c r="AO101" s="59">
        <f t="shared" si="90"/>
        <v>244.4970554728738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115.35029694694029</v>
      </c>
      <c r="AV101" s="21">
        <f>EXP(-LN(2)/25)*AV100+(1-EXP(-LN(2)/25))/(LN(2)/25)*Calculateur!AQ101*Calculateur!AS101*VLOOKUP('Données projet'!$B$10,Paramètres!$A$1:$I$89,3,0)*0.475*44/12</f>
        <v>23.041354927008566</v>
      </c>
      <c r="AW101" s="21">
        <f>EXP(-LN(2)/2)*AW100+(1-EXP(-LN(2)/2))/(LN(2)/2)*AQ101*AT101*VLOOKUP('Données projet'!$B$10,Paramètres!$A$1:$I$89,3,0)*0.475*44/12</f>
        <v>2.2797917830293047E-2</v>
      </c>
      <c r="AX101" s="21">
        <f t="shared" si="60"/>
        <v>138.41444979177916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55.340999999999916</v>
      </c>
      <c r="D102" s="11">
        <f t="shared" si="86"/>
        <v>15.984843779971341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550.58546075767288</v>
      </c>
      <c r="H102" s="67">
        <f t="shared" si="56"/>
        <v>417.55917791678326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-2.2737367544323206E-13</v>
      </c>
      <c r="O102" s="13">
        <f>N102*VLOOKUP('Données projet'!$B$9,Paramètres!$A$1:$I$89,3,0)*VLOOKUP('Données projet'!$B$9,Paramètres!$A$1:$I$89,5,0)</f>
        <v>-1.3596945791505279E-13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260.31965507630525</v>
      </c>
      <c r="T102" s="59">
        <f t="shared" si="88"/>
        <v>327.31114099338032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69.493691966796817</v>
      </c>
      <c r="AA102" s="21">
        <f>EXP(-LN(2)/25)*AA101+(1-EXP(-LN(2)/25))/(LN(2)/25)*Calculateur!V102*Calculateur!X102*VLOOKUP('Données projet'!$B$9,Paramètres!$A$1:$I$89,3,0)*0.475*44/12</f>
        <v>13.417028800215347</v>
      </c>
      <c r="AB102" s="21">
        <f>EXP(-LN(2)/2)*AB101+(1-EXP(-LN(2)/2))/(LN(2)/2)*V102*Y102*VLOOKUP('Données projet'!$B$9,Paramètres!$A$1:$I$89,3,0)*0.475*44/12</f>
        <v>1.362400956001267E-5</v>
      </c>
      <c r="AC102" s="22">
        <f t="shared" si="57"/>
        <v>82.91073439102172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-1.1368683772161603E-13</v>
      </c>
      <c r="AJ102" s="13">
        <f>AI102*VLOOKUP('Données projet'!$B$10,Paramètres!$A$1:$I$89,3,0)*VLOOKUP('Données projet'!$B$10,Paramètres!$A$1:$I$89,5,0)</f>
        <v>-6.7984728957526396E-14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277.11749933885778</v>
      </c>
      <c r="AO102" s="59">
        <f t="shared" si="90"/>
        <v>244.4970554728738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113.08834798054478</v>
      </c>
      <c r="AV102" s="21">
        <f>EXP(-LN(2)/25)*AV101+(1-EXP(-LN(2)/25))/(LN(2)/25)*Calculateur!AQ102*Calculateur!AS102*VLOOKUP('Données projet'!$B$10,Paramètres!$A$1:$I$89,3,0)*0.475*44/12</f>
        <v>22.411287864837323</v>
      </c>
      <c r="AW102" s="21">
        <f>EXP(-LN(2)/2)*AW101+(1-EXP(-LN(2)/2))/(LN(2)/2)*AQ102*AT102*VLOOKUP('Données projet'!$B$10,Paramètres!$A$1:$I$89,3,0)*0.475*44/12</f>
        <v>1.6120562294733916E-2</v>
      </c>
      <c r="AX102" s="21">
        <f t="shared" si="60"/>
        <v>135.51575640767683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55.899999999999913</v>
      </c>
      <c r="D103" s="11">
        <f t="shared" si="86"/>
        <v>16.127428988936046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556.00120623038276</v>
      </c>
      <c r="H103" s="67">
        <f t="shared" si="56"/>
        <v>418.78110548906341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-2.2737367544323206E-13</v>
      </c>
      <c r="O103" s="13">
        <f>N103*VLOOKUP('Données projet'!$B$9,Paramètres!$A$1:$I$89,3,0)*VLOOKUP('Données projet'!$B$9,Paramètres!$A$1:$I$89,5,0)</f>
        <v>-1.3596945791505279E-13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260.31965507630525</v>
      </c>
      <c r="T103" s="59">
        <f t="shared" si="88"/>
        <v>327.31114099338032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68.130963054294668</v>
      </c>
      <c r="AA103" s="21">
        <f>EXP(-LN(2)/25)*AA102+(1-EXP(-LN(2)/25))/(LN(2)/25)*Calculateur!V103*Calculateur!X103*VLOOKUP('Données projet'!$B$9,Paramètres!$A$1:$I$89,3,0)*0.475*44/12</f>
        <v>13.050139442102578</v>
      </c>
      <c r="AB103" s="21">
        <f>EXP(-LN(2)/2)*AB102+(1-EXP(-LN(2)/2))/(LN(2)/2)*V103*Y103*VLOOKUP('Données projet'!$B$9,Paramètres!$A$1:$I$89,3,0)*0.475*44/12</f>
        <v>9.6336295468353106E-6</v>
      </c>
      <c r="AC103" s="22">
        <f t="shared" si="57"/>
        <v>81.18111213002679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-1.1368683772161603E-13</v>
      </c>
      <c r="AJ103" s="13">
        <f>AI103*VLOOKUP('Données projet'!$B$10,Paramètres!$A$1:$I$89,3,0)*VLOOKUP('Données projet'!$B$10,Paramètres!$A$1:$I$89,5,0)</f>
        <v>-6.7984728957526396E-14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277.11749933885778</v>
      </c>
      <c r="AO103" s="59">
        <f t="shared" si="90"/>
        <v>244.4970554728738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110.87075445372764</v>
      </c>
      <c r="AV103" s="21">
        <f>EXP(-LN(2)/25)*AV102+(1-EXP(-LN(2)/25))/(LN(2)/25)*Calculateur!AQ103*Calculateur!AS103*VLOOKUP('Données projet'!$B$10,Paramètres!$A$1:$I$89,3,0)*0.475*44/12</f>
        <v>21.79845001961494</v>
      </c>
      <c r="AW103" s="21">
        <f>EXP(-LN(2)/2)*AW102+(1-EXP(-LN(2)/2))/(LN(2)/2)*AQ103*AT103*VLOOKUP('Données projet'!$B$10,Paramètres!$A$1:$I$89,3,0)*0.475*44/12</f>
        <v>1.1398958915146523E-2</v>
      </c>
      <c r="AX103" s="21">
        <f t="shared" si="60"/>
        <v>132.68060343225773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56.458999999999911</v>
      </c>
      <c r="D104" s="11">
        <f t="shared" si="86"/>
        <v>16.269848322350242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561.41567126024688</v>
      </c>
      <c r="H104" s="67">
        <f t="shared" si="56"/>
        <v>420.00274416142651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-2.2737367544323206E-13</v>
      </c>
      <c r="O104" s="13">
        <f>N104*VLOOKUP('Données projet'!$B$9,Paramètres!$A$1:$I$89,3,0)*VLOOKUP('Données projet'!$B$9,Paramètres!$A$1:$I$89,5,0)</f>
        <v>-1.3596945791505279E-13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260.31965507630525</v>
      </c>
      <c r="T104" s="59">
        <f t="shared" si="88"/>
        <v>327.31114099338032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66.794956424584115</v>
      </c>
      <c r="AA104" s="21">
        <f>EXP(-LN(2)/25)*AA103+(1-EXP(-LN(2)/25))/(LN(2)/25)*Calculateur!V104*Calculateur!X104*VLOOKUP('Données projet'!$B$9,Paramètres!$A$1:$I$89,3,0)*0.475*44/12</f>
        <v>12.693282692781276</v>
      </c>
      <c r="AB104" s="21">
        <f>EXP(-LN(2)/2)*AB103+(1-EXP(-LN(2)/2))/(LN(2)/2)*V104*Y104*VLOOKUP('Données projet'!$B$9,Paramètres!$A$1:$I$89,3,0)*0.475*44/12</f>
        <v>6.8120047800063351E-6</v>
      </c>
      <c r="AC104" s="22">
        <f t="shared" si="57"/>
        <v>79.48824592937018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-1.1368683772161603E-13</v>
      </c>
      <c r="AJ104" s="13">
        <f>AI104*VLOOKUP('Données projet'!$B$10,Paramètres!$A$1:$I$89,3,0)*VLOOKUP('Données projet'!$B$10,Paramètres!$A$1:$I$89,5,0)</f>
        <v>-6.7984728957526396E-14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277.11749933885778</v>
      </c>
      <c r="AO104" s="59">
        <f t="shared" si="90"/>
        <v>244.4970554728738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108.6966465833729</v>
      </c>
      <c r="AV104" s="21">
        <f>EXP(-LN(2)/25)*AV103+(1-EXP(-LN(2)/25))/(LN(2)/25)*Calculateur!AQ104*Calculateur!AS104*VLOOKUP('Données projet'!$B$10,Paramètres!$A$1:$I$89,3,0)*0.475*44/12</f>
        <v>21.202370257497904</v>
      </c>
      <c r="AW104" s="21">
        <f>EXP(-LN(2)/2)*AW103+(1-EXP(-LN(2)/2))/(LN(2)/2)*AQ104*AT104*VLOOKUP('Données projet'!$B$10,Paramètres!$A$1:$I$89,3,0)*0.475*44/12</f>
        <v>8.0602811473669579E-3</v>
      </c>
      <c r="AX104" s="21">
        <f t="shared" si="60"/>
        <v>129.90707712201817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57.017999999999908</v>
      </c>
      <c r="D105" s="11">
        <f t="shared" si="86"/>
        <v>16.412103612717605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566.82886999290713</v>
      </c>
      <c r="H105" s="67">
        <f t="shared" si="56"/>
        <v>421.22409712548301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-2.2737367544323206E-13</v>
      </c>
      <c r="O105" s="13">
        <f>N105*VLOOKUP('Données projet'!$B$9,Paramètres!$A$1:$I$89,3,0)*VLOOKUP('Données projet'!$B$9,Paramètres!$A$1:$I$89,5,0)</f>
        <v>-1.3596945791505279E-13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260.31965507630525</v>
      </c>
      <c r="T105" s="59">
        <f t="shared" si="88"/>
        <v>327.31114099338032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65.485148069998615</v>
      </c>
      <c r="AA105" s="21">
        <f>EXP(-LN(2)/25)*AA104+(1-EXP(-LN(2)/25))/(LN(2)/25)*Calculateur!V105*Calculateur!X105*VLOOKUP('Données projet'!$B$9,Paramètres!$A$1:$I$89,3,0)*0.475*44/12</f>
        <v>12.346184210036446</v>
      </c>
      <c r="AB105" s="21">
        <f>EXP(-LN(2)/2)*AB104+(1-EXP(-LN(2)/2))/(LN(2)/2)*V105*Y105*VLOOKUP('Données projet'!$B$9,Paramètres!$A$1:$I$89,3,0)*0.475*44/12</f>
        <v>4.8168147734176553E-6</v>
      </c>
      <c r="AC105" s="22">
        <f t="shared" si="57"/>
        <v>77.831337096849836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-1.1368683772161603E-13</v>
      </c>
      <c r="AJ105" s="13">
        <f>AI105*VLOOKUP('Données projet'!$B$10,Paramètres!$A$1:$I$89,3,0)*VLOOKUP('Données projet'!$B$10,Paramètres!$A$1:$I$89,5,0)</f>
        <v>-6.7984728957526396E-14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277.11749933885778</v>
      </c>
      <c r="AO105" s="59">
        <f t="shared" si="90"/>
        <v>244.4970554728738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106.56517164228094</v>
      </c>
      <c r="AV105" s="21">
        <f>EXP(-LN(2)/25)*AV104+(1-EXP(-LN(2)/25))/(LN(2)/25)*Calculateur!AQ105*Calculateur!AS105*VLOOKUP('Données projet'!$B$10,Paramètres!$A$1:$I$89,3,0)*0.475*44/12</f>
        <v>20.622590327822429</v>
      </c>
      <c r="AW105" s="21">
        <f>EXP(-LN(2)/2)*AW104+(1-EXP(-LN(2)/2))/(LN(2)/2)*AQ105*AT105*VLOOKUP('Données projet'!$B$10,Paramètres!$A$1:$I$89,3,0)*0.475*44/12</f>
        <v>5.6994794575732617E-3</v>
      </c>
      <c r="AX105" s="21">
        <f t="shared" si="60"/>
        <v>127.19346144956094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57.576999999999906</v>
      </c>
      <c r="D106" s="11">
        <f t="shared" si="86"/>
        <v>16.554196654539041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572.24081628065153</v>
      </c>
      <c r="H106" s="67">
        <f t="shared" si="56"/>
        <v>422.44516750665525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-2.2737367544323206E-13</v>
      </c>
      <c r="O106" s="13">
        <f>N106*VLOOKUP('Données projet'!$B$9,Paramètres!$A$1:$I$89,3,0)*VLOOKUP('Données projet'!$B$9,Paramètres!$A$1:$I$89,5,0)</f>
        <v>-1.3596945791505279E-13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260.31965507630525</v>
      </c>
      <c r="T106" s="59">
        <f t="shared" si="88"/>
        <v>327.31114099338032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64.201024258342315</v>
      </c>
      <c r="AA106" s="21">
        <f>EXP(-LN(2)/25)*AA105+(1-EXP(-LN(2)/25))/(LN(2)/25)*Calculateur!V106*Calculateur!X106*VLOOKUP('Données projet'!$B$9,Paramètres!$A$1:$I$89,3,0)*0.475*44/12</f>
        <v>12.00857715355539</v>
      </c>
      <c r="AB106" s="21">
        <f>EXP(-LN(2)/2)*AB105+(1-EXP(-LN(2)/2))/(LN(2)/2)*V106*Y106*VLOOKUP('Données projet'!$B$9,Paramètres!$A$1:$I$89,3,0)*0.475*44/12</f>
        <v>3.4060023900031676E-6</v>
      </c>
      <c r="AC106" s="22">
        <f t="shared" si="57"/>
        <v>76.2096048179001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-1.1368683772161603E-13</v>
      </c>
      <c r="AJ106" s="13">
        <f>AI106*VLOOKUP('Données projet'!$B$10,Paramètres!$A$1:$I$89,3,0)*VLOOKUP('Données projet'!$B$10,Paramètres!$A$1:$I$89,5,0)</f>
        <v>-6.7984728957526396E-14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277.11749933885778</v>
      </c>
      <c r="AO106" s="59">
        <f t="shared" si="90"/>
        <v>244.4970554728738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104.47549362471247</v>
      </c>
      <c r="AV106" s="21">
        <f>EXP(-LN(2)/25)*AV105+(1-EXP(-LN(2)/25))/(LN(2)/25)*Calculateur!AQ106*Calculateur!AS106*VLOOKUP('Données projet'!$B$10,Paramètres!$A$1:$I$89,3,0)*0.475*44/12</f>
        <v>20.058664510813234</v>
      </c>
      <c r="AW106" s="21">
        <f>EXP(-LN(2)/2)*AW105+(1-EXP(-LN(2)/2))/(LN(2)/2)*AQ106*AT106*VLOOKUP('Données projet'!$B$10,Paramètres!$A$1:$I$89,3,0)*0.475*44/12</f>
        <v>4.030140573683479E-3</v>
      </c>
      <c r="AX106" s="21">
        <f t="shared" si="60"/>
        <v>124.53818827609939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58.135999999999903</v>
      </c>
      <c r="D107" s="11">
        <f t="shared" si="86"/>
        <v>16.696129205461904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577.65152369128418</v>
      </c>
      <c r="H107" s="67">
        <f t="shared" si="56"/>
        <v>423.66595836617932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-2.2737367544323206E-13</v>
      </c>
      <c r="O107" s="13">
        <f>N107*VLOOKUP('Données projet'!$B$9,Paramètres!$A$1:$I$89,3,0)*VLOOKUP('Données projet'!$B$9,Paramètres!$A$1:$I$89,5,0)</f>
        <v>-1.3596945791505279E-13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260.31965507630525</v>
      </c>
      <c r="T107" s="59">
        <f t="shared" si="88"/>
        <v>327.31114099338032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62.942081331394412</v>
      </c>
      <c r="AA107" s="21">
        <f>EXP(-LN(2)/25)*AA106+(1-EXP(-LN(2)/25))/(LN(2)/25)*Calculateur!V107*Calculateur!X107*VLOOKUP('Données projet'!$B$9,Paramètres!$A$1:$I$89,3,0)*0.475*44/12</f>
        <v>11.680201979787791</v>
      </c>
      <c r="AB107" s="21">
        <f>EXP(-LN(2)/2)*AB106+(1-EXP(-LN(2)/2))/(LN(2)/2)*V107*Y107*VLOOKUP('Données projet'!$B$9,Paramètres!$A$1:$I$89,3,0)*0.475*44/12</f>
        <v>2.4084073867088277E-6</v>
      </c>
      <c r="AC107" s="22">
        <f t="shared" si="57"/>
        <v>74.622285719589584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-1.1368683772161603E-13</v>
      </c>
      <c r="AJ107" s="13">
        <f>AI107*VLOOKUP('Données projet'!$B$10,Paramètres!$A$1:$I$89,3,0)*VLOOKUP('Données projet'!$B$10,Paramètres!$A$1:$I$89,5,0)</f>
        <v>-6.7984728957526396E-14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277.11749933885778</v>
      </c>
      <c r="AO107" s="59">
        <f t="shared" si="90"/>
        <v>244.4970554728738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102.42679291849078</v>
      </c>
      <c r="AV107" s="21">
        <f>EXP(-LN(2)/25)*AV106+(1-EXP(-LN(2)/25))/(LN(2)/25)*Calculateur!AQ107*Calculateur!AS107*VLOOKUP('Données projet'!$B$10,Paramètres!$A$1:$I$89,3,0)*0.475*44/12</f>
        <v>19.510159274925723</v>
      </c>
      <c r="AW107" s="21">
        <f>EXP(-LN(2)/2)*AW106+(1-EXP(-LN(2)/2))/(LN(2)/2)*AQ107*AT107*VLOOKUP('Données projet'!$B$10,Paramètres!$A$1:$I$89,3,0)*0.475*44/12</f>
        <v>2.8497397287866309E-3</v>
      </c>
      <c r="AX107" s="21">
        <f t="shared" si="60"/>
        <v>121.93980193314529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58.694999999999901</v>
      </c>
      <c r="D108" s="11">
        <f t="shared" si="86"/>
        <v>16.837902987383803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583.06100551664622</v>
      </c>
      <c r="H108" s="67">
        <f t="shared" si="56"/>
        <v>424.88647270302658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-2.2737367544323206E-13</v>
      </c>
      <c r="O108" s="13">
        <f>N108*VLOOKUP('Données projet'!$B$9,Paramètres!$A$1:$I$89,3,0)*VLOOKUP('Données projet'!$B$9,Paramètres!$A$1:$I$89,5,0)</f>
        <v>-1.3596945791505279E-13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260.31965507630525</v>
      </c>
      <c r="T108" s="59">
        <f t="shared" si="88"/>
        <v>327.31114099338032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61.707825507364596</v>
      </c>
      <c r="AA108" s="21">
        <f>EXP(-LN(2)/25)*AA107+(1-EXP(-LN(2)/25))/(LN(2)/25)*Calculateur!V108*Calculateur!X108*VLOOKUP('Données projet'!$B$9,Paramètres!$A$1:$I$89,3,0)*0.475*44/12</f>
        <v>11.360806242415366</v>
      </c>
      <c r="AB108" s="21">
        <f>EXP(-LN(2)/2)*AB107+(1-EXP(-LN(2)/2))/(LN(2)/2)*V108*Y108*VLOOKUP('Données projet'!$B$9,Paramètres!$A$1:$I$89,3,0)*0.475*44/12</f>
        <v>1.7030011950015838E-6</v>
      </c>
      <c r="AC108" s="22">
        <f t="shared" si="57"/>
        <v>73.068633452781157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-1.1368683772161603E-13</v>
      </c>
      <c r="AJ108" s="13">
        <f>AI108*VLOOKUP('Données projet'!$B$10,Paramètres!$A$1:$I$89,3,0)*VLOOKUP('Données projet'!$B$10,Paramètres!$A$1:$I$89,5,0)</f>
        <v>-6.7984728957526396E-14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277.11749933885778</v>
      </c>
      <c r="AO108" s="59">
        <f t="shared" si="90"/>
        <v>244.4970554728738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100.41826598353404</v>
      </c>
      <c r="AV108" s="21">
        <f>EXP(-LN(2)/25)*AV107+(1-EXP(-LN(2)/25))/(LN(2)/25)*Calculateur!AQ108*Calculateur!AS108*VLOOKUP('Données projet'!$B$10,Paramètres!$A$1:$I$89,3,0)*0.475*44/12</f>
        <v>18.976652943558193</v>
      </c>
      <c r="AW108" s="21">
        <f>EXP(-LN(2)/2)*AW107+(1-EXP(-LN(2)/2))/(LN(2)/2)*AQ108*AT108*VLOOKUP('Données projet'!$B$10,Paramètres!$A$1:$I$89,3,0)*0.475*44/12</f>
        <v>2.0150702868417395E-3</v>
      </c>
      <c r="AX108" s="21">
        <f t="shared" si="60"/>
        <v>119.39693399737908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59.253999999999898</v>
      </c>
      <c r="D109" s="11">
        <f t="shared" si="86"/>
        <v>16.97951968751314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588.46927478080249</v>
      </c>
      <c r="H109" s="67">
        <f t="shared" si="56"/>
        <v>426.10671345575184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-2.2737367544323206E-13</v>
      </c>
      <c r="O109" s="13">
        <f>N109*VLOOKUP('Données projet'!$B$9,Paramètres!$A$1:$I$89,3,0)*VLOOKUP('Données projet'!$B$9,Paramètres!$A$1:$I$89,5,0)</f>
        <v>-1.3596945791505279E-13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260.31965507630525</v>
      </c>
      <c r="T109" s="59">
        <f t="shared" si="88"/>
        <v>327.31114099338032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60.497772687222287</v>
      </c>
      <c r="AA109" s="21">
        <f>EXP(-LN(2)/25)*AA108+(1-EXP(-LN(2)/25))/(LN(2)/25)*Calculateur!V109*Calculateur!X109*VLOOKUP('Données projet'!$B$9,Paramètres!$A$1:$I$89,3,0)*0.475*44/12</f>
        <v>11.050144398277682</v>
      </c>
      <c r="AB109" s="21">
        <f>EXP(-LN(2)/2)*AB108+(1-EXP(-LN(2)/2))/(LN(2)/2)*V109*Y109*VLOOKUP('Données projet'!$B$9,Paramètres!$A$1:$I$89,3,0)*0.475*44/12</f>
        <v>1.2042036933544138E-6</v>
      </c>
      <c r="AC109" s="22">
        <f t="shared" si="57"/>
        <v>71.547918289703674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-1.1368683772161603E-13</v>
      </c>
      <c r="AJ109" s="13">
        <f>AI109*VLOOKUP('Données projet'!$B$10,Paramètres!$A$1:$I$89,3,0)*VLOOKUP('Données projet'!$B$10,Paramètres!$A$1:$I$89,5,0)</f>
        <v>-6.7984728957526396E-14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277.11749933885778</v>
      </c>
      <c r="AO109" s="59">
        <f t="shared" si="90"/>
        <v>244.4970554728738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98.449125036691342</v>
      </c>
      <c r="AV109" s="21">
        <f>EXP(-LN(2)/25)*AV108+(1-EXP(-LN(2)/25))/(LN(2)/25)*Calculateur!AQ109*Calculateur!AS109*VLOOKUP('Données projet'!$B$10,Paramètres!$A$1:$I$89,3,0)*0.475*44/12</f>
        <v>18.457735370877788</v>
      </c>
      <c r="AW109" s="21">
        <f>EXP(-LN(2)/2)*AW108+(1-EXP(-LN(2)/2))/(LN(2)/2)*AQ109*AT109*VLOOKUP('Données projet'!$B$10,Paramètres!$A$1:$I$89,3,0)*0.475*44/12</f>
        <v>1.4248698643933154E-3</v>
      </c>
      <c r="AX109" s="21">
        <f t="shared" si="60"/>
        <v>116.90828527743352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59.812999999999896</v>
      </c>
      <c r="D110" s="11">
        <f t="shared" si="86"/>
        <v>17.12098095938844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593.87634424790997</v>
      </c>
      <c r="H110" s="67">
        <f t="shared" si="56"/>
        <v>427.32668350426798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-2.2737367544323206E-13</v>
      </c>
      <c r="O110" s="13">
        <f>N110*VLOOKUP('Données projet'!$B$9,Paramètres!$A$1:$I$89,3,0)*VLOOKUP('Données projet'!$B$9,Paramètres!$A$1:$I$89,5,0)</f>
        <v>-1.3596945791505279E-13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260.31965507630525</v>
      </c>
      <c r="T110" s="59">
        <f t="shared" si="88"/>
        <v>327.31114099338032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59.311448264823625</v>
      </c>
      <c r="AA110" s="21">
        <f>EXP(-LN(2)/25)*AA109+(1-EXP(-LN(2)/25))/(LN(2)/25)*Calculateur!V110*Calculateur!X110*VLOOKUP('Données projet'!$B$9,Paramètres!$A$1:$I$89,3,0)*0.475*44/12</f>
        <v>10.74797761860494</v>
      </c>
      <c r="AB110" s="21">
        <f>EXP(-LN(2)/2)*AB109+(1-EXP(-LN(2)/2))/(LN(2)/2)*V110*Y110*VLOOKUP('Données projet'!$B$9,Paramètres!$A$1:$I$89,3,0)*0.475*44/12</f>
        <v>8.5150059750079189E-7</v>
      </c>
      <c r="AC110" s="22">
        <f t="shared" si="57"/>
        <v>70.059426734929161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-1.1368683772161603E-13</v>
      </c>
      <c r="AJ110" s="13">
        <f>AI110*VLOOKUP('Données projet'!$B$10,Paramètres!$A$1:$I$89,3,0)*VLOOKUP('Données projet'!$B$10,Paramètres!$A$1:$I$89,5,0)</f>
        <v>-6.7984728957526396E-14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277.11749933885778</v>
      </c>
      <c r="AO110" s="59">
        <f t="shared" si="90"/>
        <v>244.4970554728738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96.518597742758843</v>
      </c>
      <c r="AV110" s="21">
        <f>EXP(-LN(2)/25)*AV109+(1-EXP(-LN(2)/25))/(LN(2)/25)*Calculateur!AQ110*Calculateur!AS110*VLOOKUP('Données projet'!$B$10,Paramètres!$A$1:$I$89,3,0)*0.475*44/12</f>
        <v>17.953007626511017</v>
      </c>
      <c r="AW110" s="21">
        <f>EXP(-LN(2)/2)*AW109+(1-EXP(-LN(2)/2))/(LN(2)/2)*AQ110*AT110*VLOOKUP('Données projet'!$B$10,Paramètres!$A$1:$I$89,3,0)*0.475*44/12</f>
        <v>1.0075351434208697E-3</v>
      </c>
      <c r="AX110" s="21">
        <f t="shared" si="60"/>
        <v>114.47261290441328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60.371999999999893</v>
      </c>
      <c r="D111" s="11">
        <f t="shared" si="86"/>
        <v>17.26228842385855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599.28222642978437</v>
      </c>
      <c r="H111" s="67">
        <f t="shared" si="56"/>
        <v>428.54638567155342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-2.2737367544323206E-13</v>
      </c>
      <c r="O111" s="13">
        <f>N111*VLOOKUP('Données projet'!$B$9,Paramètres!$A$1:$I$89,3,0)*VLOOKUP('Données projet'!$B$9,Paramètres!$A$1:$I$89,5,0)</f>
        <v>-1.3596945791505279E-13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260.31965507630525</v>
      </c>
      <c r="T111" s="59">
        <f t="shared" si="88"/>
        <v>327.31114099338032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58.148386940761753</v>
      </c>
      <c r="AA111" s="21">
        <f>EXP(-LN(2)/25)*AA110+(1-EXP(-LN(2)/25))/(LN(2)/25)*Calculateur!V111*Calculateur!X111*VLOOKUP('Données projet'!$B$9,Paramètres!$A$1:$I$89,3,0)*0.475*44/12</f>
        <v>10.45407360541261</v>
      </c>
      <c r="AB111" s="21">
        <f>EXP(-LN(2)/2)*AB110+(1-EXP(-LN(2)/2))/(LN(2)/2)*V111*Y111*VLOOKUP('Données projet'!$B$9,Paramètres!$A$1:$I$89,3,0)*0.475*44/12</f>
        <v>6.0210184667720692E-7</v>
      </c>
      <c r="AC111" s="22">
        <f t="shared" si="57"/>
        <v>68.60246114827622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-1.1368683772161603E-13</v>
      </c>
      <c r="AJ111" s="13">
        <f>AI111*VLOOKUP('Données projet'!$B$10,Paramètres!$A$1:$I$89,3,0)*VLOOKUP('Données projet'!$B$10,Paramètres!$A$1:$I$89,5,0)</f>
        <v>-6.7984728957526396E-14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277.11749933885778</v>
      </c>
      <c r="AO111" s="59">
        <f t="shared" si="90"/>
        <v>244.4970554728738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94.625926911554984</v>
      </c>
      <c r="AV111" s="21">
        <f>EXP(-LN(2)/25)*AV110+(1-EXP(-LN(2)/25))/(LN(2)/25)*Calculateur!AQ111*Calculateur!AS111*VLOOKUP('Données projet'!$B$10,Paramètres!$A$1:$I$89,3,0)*0.475*44/12</f>
        <v>17.462081688856433</v>
      </c>
      <c r="AW111" s="21">
        <f>EXP(-LN(2)/2)*AW110+(1-EXP(-LN(2)/2))/(LN(2)/2)*AQ111*AT111*VLOOKUP('Données projet'!$B$10,Paramètres!$A$1:$I$89,3,0)*0.475*44/12</f>
        <v>7.1243493219665772E-4</v>
      </c>
      <c r="AX111" s="21">
        <f t="shared" si="60"/>
        <v>112.08872103534361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60.930999999999891</v>
      </c>
      <c r="D112" s="11">
        <f t="shared" si="86"/>
        <v>17.403443670025414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604.68693359317786</v>
      </c>
      <c r="H112" s="67">
        <f t="shared" si="56"/>
        <v>429.76582272529407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-2.2737367544323206E-13</v>
      </c>
      <c r="O112" s="13">
        <f>N112*VLOOKUP('Données projet'!$B$9,Paramètres!$A$1:$I$89,3,0)*VLOOKUP('Données projet'!$B$9,Paramètres!$A$1:$I$89,5,0)</f>
        <v>-1.3596945791505279E-13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260.31965507630525</v>
      </c>
      <c r="T112" s="59">
        <f t="shared" si="88"/>
        <v>327.31114099338032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57.008132539867375</v>
      </c>
      <c r="AA112" s="21">
        <f>EXP(-LN(2)/25)*AA111+(1-EXP(-LN(2)/25))/(LN(2)/25)*Calculateur!V112*Calculateur!X112*VLOOKUP('Données projet'!$B$9,Paramètres!$A$1:$I$89,3,0)*0.475*44/12</f>
        <v>10.168206412916764</v>
      </c>
      <c r="AB112" s="21">
        <f>EXP(-LN(2)/2)*AB111+(1-EXP(-LN(2)/2))/(LN(2)/2)*V112*Y112*VLOOKUP('Données projet'!$B$9,Paramètres!$A$1:$I$89,3,0)*0.475*44/12</f>
        <v>4.2575029875039594E-7</v>
      </c>
      <c r="AC112" s="22">
        <f t="shared" si="57"/>
        <v>67.176339378534436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-1.1368683772161603E-13</v>
      </c>
      <c r="AJ112" s="13">
        <f>AI112*VLOOKUP('Données projet'!$B$10,Paramètres!$A$1:$I$89,3,0)*VLOOKUP('Données projet'!$B$10,Paramètres!$A$1:$I$89,5,0)</f>
        <v>-6.7984728957526396E-14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277.11749933885778</v>
      </c>
      <c r="AO112" s="59">
        <f t="shared" si="90"/>
        <v>244.4970554728738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92.770370200935815</v>
      </c>
      <c r="AV112" s="21">
        <f>EXP(-LN(2)/25)*AV111+(1-EXP(-LN(2)/25))/(LN(2)/25)*Calculateur!AQ112*Calculateur!AS112*VLOOKUP('Données projet'!$B$10,Paramètres!$A$1:$I$89,3,0)*0.475*44/12</f>
        <v>16.984580146783689</v>
      </c>
      <c r="AW112" s="21">
        <f>EXP(-LN(2)/2)*AW111+(1-EXP(-LN(2)/2))/(LN(2)/2)*AQ112*AT112*VLOOKUP('Données projet'!$B$10,Paramètres!$A$1:$I$89,3,0)*0.475*44/12</f>
        <v>5.0376757171043487E-4</v>
      </c>
      <c r="AX112" s="21">
        <f t="shared" si="60"/>
        <v>109.75545411529122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61.489999999999888</v>
      </c>
      <c r="D113" s="11">
        <f t="shared" si="86"/>
        <v>17.544448256151377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610.09047776678176</v>
      </c>
      <c r="H113" s="67">
        <f t="shared" si="56"/>
        <v>430.98499737946338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-2.2737367544323206E-13</v>
      </c>
      <c r="O113" s="13">
        <f>N113*VLOOKUP('Données projet'!$B$9,Paramètres!$A$1:$I$89,3,0)*VLOOKUP('Données projet'!$B$9,Paramètres!$A$1:$I$89,5,0)</f>
        <v>-1.3596945791505279E-13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260.31965507630525</v>
      </c>
      <c r="T113" s="59">
        <f t="shared" si="88"/>
        <v>327.31114099338032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55.890237832288022</v>
      </c>
      <c r="AA113" s="21">
        <f>EXP(-LN(2)/25)*AA112+(1-EXP(-LN(2)/25))/(LN(2)/25)*Calculateur!V113*Calculateur!X113*VLOOKUP('Données projet'!$B$9,Paramètres!$A$1:$I$89,3,0)*0.475*44/12</f>
        <v>9.8901562738328188</v>
      </c>
      <c r="AB113" s="21">
        <f>EXP(-LN(2)/2)*AB112+(1-EXP(-LN(2)/2))/(LN(2)/2)*V113*Y113*VLOOKUP('Données projet'!$B$9,Paramètres!$A$1:$I$89,3,0)*0.475*44/12</f>
        <v>3.0105092333860346E-7</v>
      </c>
      <c r="AC113" s="22">
        <f t="shared" si="57"/>
        <v>65.780394407171755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-1.1368683772161603E-13</v>
      </c>
      <c r="AJ113" s="13">
        <f>AI113*VLOOKUP('Données projet'!$B$10,Paramètres!$A$1:$I$89,3,0)*VLOOKUP('Données projet'!$B$10,Paramètres!$A$1:$I$89,5,0)</f>
        <v>-6.7984728957526396E-14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277.11749933885778</v>
      </c>
      <c r="AO113" s="59">
        <f t="shared" si="90"/>
        <v>244.4970554728738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90.951199825634049</v>
      </c>
      <c r="AV113" s="21">
        <f>EXP(-LN(2)/25)*AV112+(1-EXP(-LN(2)/25))/(LN(2)/25)*Calculateur!AQ113*Calculateur!AS113*VLOOKUP('Données projet'!$B$10,Paramètres!$A$1:$I$89,3,0)*0.475*44/12</f>
        <v>16.520135909489639</v>
      </c>
      <c r="AW113" s="21">
        <f>EXP(-LN(2)/2)*AW112+(1-EXP(-LN(2)/2))/(LN(2)/2)*AQ113*AT113*VLOOKUP('Données projet'!$B$10,Paramètres!$A$1:$I$89,3,0)*0.475*44/12</f>
        <v>3.5621746609832886E-4</v>
      </c>
      <c r="AX113" s="21">
        <f t="shared" si="60"/>
        <v>107.47169195258978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62.048999999999886</v>
      </c>
      <c r="D114" s="11">
        <f t="shared" si="86"/>
        <v>17.685303710532441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615.49287074796894</v>
      </c>
      <c r="H114" s="67">
        <f t="shared" si="56"/>
        <v>432.20391229584379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-2.2737367544323206E-13</v>
      </c>
      <c r="O114" s="13">
        <f>N114*VLOOKUP('Données projet'!$B$9,Paramètres!$A$1:$I$89,3,0)*VLOOKUP('Données projet'!$B$9,Paramètres!$A$1:$I$89,5,0)</f>
        <v>-1.3596945791505279E-13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260.31965507630525</v>
      </c>
      <c r="T114" s="59">
        <f t="shared" si="88"/>
        <v>327.31114099338032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54.794264358075857</v>
      </c>
      <c r="AA114" s="21">
        <f>EXP(-LN(2)/25)*AA113+(1-EXP(-LN(2)/25))/(LN(2)/25)*Calculateur!V114*Calculateur!X114*VLOOKUP('Données projet'!$B$9,Paramètres!$A$1:$I$89,3,0)*0.475*44/12</f>
        <v>9.6197094304241464</v>
      </c>
      <c r="AB114" s="21">
        <f>EXP(-LN(2)/2)*AB113+(1-EXP(-LN(2)/2))/(LN(2)/2)*V114*Y114*VLOOKUP('Données projet'!$B$9,Paramètres!$A$1:$I$89,3,0)*0.475*44/12</f>
        <v>2.1287514937519797E-7</v>
      </c>
      <c r="AC114" s="22">
        <f t="shared" si="57"/>
        <v>64.413974001375152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-1.1368683772161603E-13</v>
      </c>
      <c r="AJ114" s="13">
        <f>AI114*VLOOKUP('Données projet'!$B$10,Paramètres!$A$1:$I$89,3,0)*VLOOKUP('Données projet'!$B$10,Paramètres!$A$1:$I$89,5,0)</f>
        <v>-6.7984728957526396E-14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277.11749933885778</v>
      </c>
      <c r="AO114" s="59">
        <f t="shared" si="90"/>
        <v>244.4970554728738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89.167702271807585</v>
      </c>
      <c r="AV114" s="21">
        <f>EXP(-LN(2)/25)*AV113+(1-EXP(-LN(2)/25))/(LN(2)/25)*Calculateur!AQ114*Calculateur!AS114*VLOOKUP('Données projet'!$B$10,Paramètres!$A$1:$I$89,3,0)*0.475*44/12</f>
        <v>16.068391924288456</v>
      </c>
      <c r="AW114" s="21">
        <f>EXP(-LN(2)/2)*AW113+(1-EXP(-LN(2)/2))/(LN(2)/2)*AQ114*AT114*VLOOKUP('Données projet'!$B$10,Paramètres!$A$1:$I$89,3,0)*0.475*44/12</f>
        <v>2.5188378585521743E-4</v>
      </c>
      <c r="AX114" s="21">
        <f t="shared" si="60"/>
        <v>105.2363460798819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62.607999999999883</v>
      </c>
      <c r="D115" s="11">
        <f t="shared" si="86"/>
        <v>17.826011532339194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620.89412410928401</v>
      </c>
      <c r="H115" s="67">
        <f t="shared" si="56"/>
        <v>433.42257008549052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-2.2737367544323206E-13</v>
      </c>
      <c r="O115" s="13">
        <f>N115*VLOOKUP('Données projet'!$B$9,Paramètres!$A$1:$I$89,3,0)*VLOOKUP('Données projet'!$B$9,Paramètres!$A$1:$I$89,5,0)</f>
        <v>-1.3596945791505279E-13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260.31965507630525</v>
      </c>
      <c r="T115" s="59">
        <f t="shared" si="88"/>
        <v>327.31114099338032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53.719782255215179</v>
      </c>
      <c r="AA115" s="21">
        <f>EXP(-LN(2)/25)*AA114+(1-EXP(-LN(2)/25))/(LN(2)/25)*Calculateur!V115*Calculateur!X115*VLOOKUP('Données projet'!$B$9,Paramètres!$A$1:$I$89,3,0)*0.475*44/12</f>
        <v>9.3566579701706658</v>
      </c>
      <c r="AB115" s="21">
        <f>EXP(-LN(2)/2)*AB114+(1-EXP(-LN(2)/2))/(LN(2)/2)*V115*Y115*VLOOKUP('Données projet'!$B$9,Paramètres!$A$1:$I$89,3,0)*0.475*44/12</f>
        <v>1.5052546166930173E-7</v>
      </c>
      <c r="AC115" s="22">
        <f t="shared" si="57"/>
        <v>63.076440375911304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-1.1368683772161603E-13</v>
      </c>
      <c r="AJ115" s="13">
        <f>AI115*VLOOKUP('Données projet'!$B$10,Paramètres!$A$1:$I$89,3,0)*VLOOKUP('Données projet'!$B$10,Paramètres!$A$1:$I$89,5,0)</f>
        <v>-6.7984728957526396E-14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277.11749933885778</v>
      </c>
      <c r="AO115" s="59">
        <f t="shared" si="90"/>
        <v>244.4970554728738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87.419178017185558</v>
      </c>
      <c r="AV115" s="21">
        <f>EXP(-LN(2)/25)*AV114+(1-EXP(-LN(2)/25))/(LN(2)/25)*Calculateur!AQ115*Calculateur!AS115*VLOOKUP('Données projet'!$B$10,Paramètres!$A$1:$I$89,3,0)*0.475*44/12</f>
        <v>15.629000902118781</v>
      </c>
      <c r="AW115" s="21">
        <f>EXP(-LN(2)/2)*AW114+(1-EXP(-LN(2)/2))/(LN(2)/2)*AQ115*AT115*VLOOKUP('Données projet'!$B$10,Paramètres!$A$1:$I$89,3,0)*0.475*44/12</f>
        <v>1.7810873304916443E-4</v>
      </c>
      <c r="AX115" s="21">
        <f t="shared" si="60"/>
        <v>103.04835702803739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63.166999999999881</v>
      </c>
      <c r="D116" s="11">
        <f t="shared" si="86"/>
        <v>17.966573192426846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626.29424920469751</v>
      </c>
      <c r="H116" s="67">
        <f t="shared" si="56"/>
        <v>434.64097331014318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-2.2737367544323206E-13</v>
      </c>
      <c r="O116" s="13">
        <f>N116*VLOOKUP('Données projet'!$B$9,Paramètres!$A$1:$I$89,3,0)*VLOOKUP('Données projet'!$B$9,Paramètres!$A$1:$I$89,5,0)</f>
        <v>-1.3596945791505279E-13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260.31965507630525</v>
      </c>
      <c r="T116" s="59">
        <f t="shared" si="88"/>
        <v>327.31114099338032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52.66637009102223</v>
      </c>
      <c r="AA116" s="21">
        <f>EXP(-LN(2)/25)*AA115+(1-EXP(-LN(2)/25))/(LN(2)/25)*Calculateur!V116*Calculateur!X116*VLOOKUP('Données projet'!$B$9,Paramètres!$A$1:$I$89,3,0)*0.475*44/12</f>
        <v>9.1007996659310919</v>
      </c>
      <c r="AB116" s="21">
        <f>EXP(-LN(2)/2)*AB115+(1-EXP(-LN(2)/2))/(LN(2)/2)*V116*Y116*VLOOKUP('Données projet'!$B$9,Paramètres!$A$1:$I$89,3,0)*0.475*44/12</f>
        <v>1.0643757468759899E-7</v>
      </c>
      <c r="AC116" s="22">
        <f t="shared" si="57"/>
        <v>61.767169863390897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-1.1368683772161603E-13</v>
      </c>
      <c r="AJ116" s="13">
        <f>AI116*VLOOKUP('Données projet'!$B$10,Paramètres!$A$1:$I$89,3,0)*VLOOKUP('Données projet'!$B$10,Paramètres!$A$1:$I$89,5,0)</f>
        <v>-6.7984728957526396E-14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277.11749933885778</v>
      </c>
      <c r="AO116" s="59">
        <f t="shared" si="90"/>
        <v>244.4970554728738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85.704941256702185</v>
      </c>
      <c r="AV116" s="21">
        <f>EXP(-LN(2)/25)*AV115+(1-EXP(-LN(2)/25))/(LN(2)/25)*Calculateur!AQ116*Calculateur!AS116*VLOOKUP('Données projet'!$B$10,Paramètres!$A$1:$I$89,3,0)*0.475*44/12</f>
        <v>15.201625050556906</v>
      </c>
      <c r="AW116" s="21">
        <f>EXP(-LN(2)/2)*AW115+(1-EXP(-LN(2)/2))/(LN(2)/2)*AQ116*AT116*VLOOKUP('Données projet'!$B$10,Paramètres!$A$1:$I$89,3,0)*0.475*44/12</f>
        <v>1.2594189292760872E-4</v>
      </c>
      <c r="AX116" s="21">
        <f t="shared" si="60"/>
        <v>100.90669224915202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63.725999999999878</v>
      </c>
      <c r="D117" s="11">
        <f t="shared" si="86"/>
        <v>18.106990134115801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631.69325717562981</v>
      </c>
      <c r="H117" s="67">
        <f t="shared" si="56"/>
        <v>435.85912448358476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-2.2737367544323206E-13</v>
      </c>
      <c r="O117" s="13">
        <f>N117*VLOOKUP('Données projet'!$B$9,Paramètres!$A$1:$I$89,3,0)*VLOOKUP('Données projet'!$B$9,Paramètres!$A$1:$I$89,5,0)</f>
        <v>-1.3596945791505279E-13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260.31965507630525</v>
      </c>
      <c r="T117" s="59">
        <f t="shared" si="88"/>
        <v>327.31114099338032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51.633614696851126</v>
      </c>
      <c r="AA117" s="21">
        <f>EXP(-LN(2)/25)*AA116+(1-EXP(-LN(2)/25))/(LN(2)/25)*Calculateur!V117*Calculateur!X117*VLOOKUP('Données projet'!$B$9,Paramètres!$A$1:$I$89,3,0)*0.475*44/12</f>
        <v>8.8519378204759516</v>
      </c>
      <c r="AB117" s="21">
        <f>EXP(-LN(2)/2)*AB116+(1-EXP(-LN(2)/2))/(LN(2)/2)*V117*Y117*VLOOKUP('Données projet'!$B$9,Paramètres!$A$1:$I$89,3,0)*0.475*44/12</f>
        <v>7.5262730834650864E-8</v>
      </c>
      <c r="AC117" s="22">
        <f t="shared" si="57"/>
        <v>60.485552592589812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-1.1368683772161603E-13</v>
      </c>
      <c r="AJ117" s="13">
        <f>AI117*VLOOKUP('Données projet'!$B$10,Paramètres!$A$1:$I$89,3,0)*VLOOKUP('Données projet'!$B$10,Paramètres!$A$1:$I$89,5,0)</f>
        <v>-6.7984728957526396E-14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277.11749933885778</v>
      </c>
      <c r="AO117" s="59">
        <f t="shared" si="90"/>
        <v>244.4970554728738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84.024319633510714</v>
      </c>
      <c r="AV117" s="21">
        <f>EXP(-LN(2)/25)*AV116+(1-EXP(-LN(2)/25))/(LN(2)/25)*Calculateur!AQ117*Calculateur!AS117*VLOOKUP('Données projet'!$B$10,Paramètres!$A$1:$I$89,3,0)*0.475*44/12</f>
        <v>14.78593581413071</v>
      </c>
      <c r="AW117" s="21">
        <f>EXP(-LN(2)/2)*AW116+(1-EXP(-LN(2)/2))/(LN(2)/2)*AQ117*AT117*VLOOKUP('Données projet'!$B$10,Paramètres!$A$1:$I$89,3,0)*0.475*44/12</f>
        <v>8.9054366524582215E-5</v>
      </c>
      <c r="AX117" s="21">
        <f t="shared" si="60"/>
        <v>98.81034450200795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64.284999999999883</v>
      </c>
      <c r="D118" s="11">
        <f t="shared" si="86"/>
        <v>18.247263773943999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637.09115895675984</v>
      </c>
      <c r="H118" s="67">
        <f t="shared" si="56"/>
        <v>437.07702607295221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-2.2737367544323206E-13</v>
      </c>
      <c r="O118" s="13">
        <f>N118*VLOOKUP('Données projet'!$B$9,Paramètres!$A$1:$I$89,3,0)*VLOOKUP('Données projet'!$B$9,Paramètres!$A$1:$I$89,5,0)</f>
        <v>-1.3596945791505279E-13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260.31965507630525</v>
      </c>
      <c r="T118" s="59">
        <f t="shared" si="88"/>
        <v>327.31114099338032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50.621111006041126</v>
      </c>
      <c r="AA118" s="21">
        <f>EXP(-LN(2)/25)*AA117+(1-EXP(-LN(2)/25))/(LN(2)/25)*Calculateur!V118*Calculateur!X118*VLOOKUP('Données projet'!$B$9,Paramètres!$A$1:$I$89,3,0)*0.475*44/12</f>
        <v>8.6098811152718575</v>
      </c>
      <c r="AB118" s="21">
        <f>EXP(-LN(2)/2)*AB117+(1-EXP(-LN(2)/2))/(LN(2)/2)*V118*Y118*VLOOKUP('Données projet'!$B$9,Paramètres!$A$1:$I$89,3,0)*0.475*44/12</f>
        <v>5.3218787343799493E-8</v>
      </c>
      <c r="AC118" s="22">
        <f t="shared" si="57"/>
        <v>59.230992174531764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-1.1368683772161603E-13</v>
      </c>
      <c r="AJ118" s="13">
        <f>AI118*VLOOKUP('Données projet'!$B$10,Paramètres!$A$1:$I$89,3,0)*VLOOKUP('Données projet'!$B$10,Paramètres!$A$1:$I$89,5,0)</f>
        <v>-6.7984728957526396E-14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277.11749933885778</v>
      </c>
      <c r="AO118" s="59">
        <f t="shared" si="90"/>
        <v>244.4970554728738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82.376653975272049</v>
      </c>
      <c r="AV118" s="21">
        <f>EXP(-LN(2)/25)*AV117+(1-EXP(-LN(2)/25))/(LN(2)/25)*Calculateur!AQ118*Calculateur!AS118*VLOOKUP('Données projet'!$B$10,Paramètres!$A$1:$I$89,3,0)*0.475*44/12</f>
        <v>14.381613621734735</v>
      </c>
      <c r="AW118" s="21">
        <f>EXP(-LN(2)/2)*AW117+(1-EXP(-LN(2)/2))/(LN(2)/2)*AQ118*AT118*VLOOKUP('Données projet'!$B$10,Paramètres!$A$1:$I$89,3,0)*0.475*44/12</f>
        <v>6.2970946463804359E-5</v>
      </c>
      <c r="AX118" s="21">
        <f t="shared" si="60"/>
        <v>96.758330567953237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64.84399999999988</v>
      </c>
      <c r="D119" s="11">
        <f t="shared" si="86"/>
        <v>18.387395502392327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642.48796528162404</v>
      </c>
      <c r="H119" s="67">
        <f t="shared" si="56"/>
        <v>438.29468049999969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-2.2737367544323206E-13</v>
      </c>
      <c r="O119" s="13">
        <f>N119*VLOOKUP('Données projet'!$B$9,Paramètres!$A$1:$I$89,3,0)*VLOOKUP('Données projet'!$B$9,Paramètres!$A$1:$I$89,5,0)</f>
        <v>-1.3596945791505279E-13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260.31965507630525</v>
      </c>
      <c r="T119" s="59">
        <f t="shared" si="88"/>
        <v>327.31114099338032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49.628461895041639</v>
      </c>
      <c r="AA119" s="21">
        <f>EXP(-LN(2)/25)*AA118+(1-EXP(-LN(2)/25))/(LN(2)/25)*Calculateur!V119*Calculateur!X119*VLOOKUP('Données projet'!$B$9,Paramètres!$A$1:$I$89,3,0)*0.475*44/12</f>
        <v>8.3744434634007785</v>
      </c>
      <c r="AB119" s="21">
        <f>EXP(-LN(2)/2)*AB118+(1-EXP(-LN(2)/2))/(LN(2)/2)*V119*Y119*VLOOKUP('Données projet'!$B$9,Paramètres!$A$1:$I$89,3,0)*0.475*44/12</f>
        <v>3.7631365417325432E-8</v>
      </c>
      <c r="AC119" s="22">
        <f t="shared" si="57"/>
        <v>58.002905396073785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-1.1368683772161603E-13</v>
      </c>
      <c r="AJ119" s="13">
        <f>AI119*VLOOKUP('Données projet'!$B$10,Paramètres!$A$1:$I$89,3,0)*VLOOKUP('Données projet'!$B$10,Paramètres!$A$1:$I$89,5,0)</f>
        <v>-6.7984728957526396E-14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277.11749933885778</v>
      </c>
      <c r="AO119" s="59">
        <f t="shared" si="90"/>
        <v>244.4970554728738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80.761298035614629</v>
      </c>
      <c r="AV119" s="21">
        <f>EXP(-LN(2)/25)*AV118+(1-EXP(-LN(2)/25))/(LN(2)/25)*Calculateur!AQ119*Calculateur!AS119*VLOOKUP('Données projet'!$B$10,Paramètres!$A$1:$I$89,3,0)*0.475*44/12</f>
        <v>13.988347640952208</v>
      </c>
      <c r="AW119" s="21">
        <f>EXP(-LN(2)/2)*AW118+(1-EXP(-LN(2)/2))/(LN(2)/2)*AQ119*AT119*VLOOKUP('Données projet'!$B$10,Paramètres!$A$1:$I$89,3,0)*0.475*44/12</f>
        <v>4.4527183262291107E-5</v>
      </c>
      <c r="AX119" s="21">
        <f t="shared" si="60"/>
        <v>94.749690203750106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65.402999999999878</v>
      </c>
      <c r="D120" s="11">
        <f t="shared" si="86"/>
        <v>18.527386684584421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647.88368668801934</v>
      </c>
      <c r="H120" s="67">
        <f t="shared" si="56"/>
        <v>439.51209014231767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-2.2737367544323206E-13</v>
      </c>
      <c r="O120" s="13">
        <f>N120*VLOOKUP('Données projet'!$B$9,Paramètres!$A$1:$I$89,3,0)*VLOOKUP('Données projet'!$B$9,Paramètres!$A$1:$I$89,5,0)</f>
        <v>-1.3596945791505279E-13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260.31965507630525</v>
      </c>
      <c r="T120" s="59">
        <f t="shared" si="88"/>
        <v>327.31114099338032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48.655278027652678</v>
      </c>
      <c r="AA120" s="21">
        <f>EXP(-LN(2)/25)*AA119+(1-EXP(-LN(2)/25))/(LN(2)/25)*Calculateur!V120*Calculateur!X120*VLOOKUP('Données projet'!$B$9,Paramètres!$A$1:$I$89,3,0)*0.475*44/12</f>
        <v>8.1454438665012425</v>
      </c>
      <c r="AB120" s="21">
        <f>EXP(-LN(2)/2)*AB119+(1-EXP(-LN(2)/2))/(LN(2)/2)*V120*Y120*VLOOKUP('Données projet'!$B$9,Paramètres!$A$1:$I$89,3,0)*0.475*44/12</f>
        <v>2.6609393671899747E-8</v>
      </c>
      <c r="AC120" s="22">
        <f t="shared" si="57"/>
        <v>56.800721920763316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-1.1368683772161603E-13</v>
      </c>
      <c r="AJ120" s="13">
        <f>AI120*VLOOKUP('Données projet'!$B$10,Paramètres!$A$1:$I$89,3,0)*VLOOKUP('Données projet'!$B$10,Paramètres!$A$1:$I$89,5,0)</f>
        <v>-6.7984728957526396E-14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277.11749933885778</v>
      </c>
      <c r="AO120" s="59">
        <f t="shared" si="90"/>
        <v>244.4970554728738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79.17761824066406</v>
      </c>
      <c r="AV120" s="21">
        <f>EXP(-LN(2)/25)*AV119+(1-EXP(-LN(2)/25))/(LN(2)/25)*Calculateur!AQ120*Calculateur!AS120*VLOOKUP('Données projet'!$B$10,Paramètres!$A$1:$I$89,3,0)*0.475*44/12</f>
        <v>13.605835539095137</v>
      </c>
      <c r="AW120" s="21">
        <f>EXP(-LN(2)/2)*AW119+(1-EXP(-LN(2)/2))/(LN(2)/2)*AQ120*AT120*VLOOKUP('Données projet'!$B$10,Paramètres!$A$1:$I$89,3,0)*0.475*44/12</f>
        <v>3.1485473231902179E-5</v>
      </c>
      <c r="AX120" s="21">
        <f t="shared" si="60"/>
        <v>92.783485265232429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65.961999999999875</v>
      </c>
      <c r="D121" s="11">
        <f t="shared" si="86"/>
        <v>18.667238660961754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653.27833352321261</v>
      </c>
      <c r="H121" s="67">
        <f t="shared" si="56"/>
        <v>440.72925733450813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-2.2737367544323206E-13</v>
      </c>
      <c r="O121" s="13">
        <f>N121*VLOOKUP('Données projet'!$B$9,Paramètres!$A$1:$I$89,3,0)*VLOOKUP('Données projet'!$B$9,Paramètres!$A$1:$I$89,5,0)</f>
        <v>-1.3596945791505279E-13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260.31965507630525</v>
      </c>
      <c r="T121" s="59">
        <f t="shared" si="88"/>
        <v>327.31114099338032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47.701177702319669</v>
      </c>
      <c r="AA121" s="21">
        <f>EXP(-LN(2)/25)*AA120+(1-EXP(-LN(2)/25))/(LN(2)/25)*Calculateur!V121*Calculateur!X121*VLOOKUP('Données projet'!$B$9,Paramètres!$A$1:$I$89,3,0)*0.475*44/12</f>
        <v>7.9227062756214899</v>
      </c>
      <c r="AB121" s="21">
        <f>EXP(-LN(2)/2)*AB120+(1-EXP(-LN(2)/2))/(LN(2)/2)*V121*Y121*VLOOKUP('Données projet'!$B$9,Paramètres!$A$1:$I$89,3,0)*0.475*44/12</f>
        <v>1.8815682708662716E-8</v>
      </c>
      <c r="AC121" s="22">
        <f t="shared" si="57"/>
        <v>55.623883996756845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-1.1368683772161603E-13</v>
      </c>
      <c r="AJ121" s="13">
        <f>AI121*VLOOKUP('Données projet'!$B$10,Paramètres!$A$1:$I$89,3,0)*VLOOKUP('Données projet'!$B$10,Paramètres!$A$1:$I$89,5,0)</f>
        <v>-6.7984728957526396E-14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277.11749933885778</v>
      </c>
      <c r="AO121" s="59">
        <f t="shared" si="90"/>
        <v>244.4970554728738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77.624993440543165</v>
      </c>
      <c r="AV121" s="21">
        <f>EXP(-LN(2)/25)*AV120+(1-EXP(-LN(2)/25))/(LN(2)/25)*Calculateur!AQ121*Calculateur!AS121*VLOOKUP('Données projet'!$B$10,Paramètres!$A$1:$I$89,3,0)*0.475*44/12</f>
        <v>13.233783250778787</v>
      </c>
      <c r="AW121" s="21">
        <f>EXP(-LN(2)/2)*AW120+(1-EXP(-LN(2)/2))/(LN(2)/2)*AQ121*AT121*VLOOKUP('Données projet'!$B$10,Paramètres!$A$1:$I$89,3,0)*0.475*44/12</f>
        <v>2.2263591631145554E-5</v>
      </c>
      <c r="AX121" s="21">
        <f t="shared" si="60"/>
        <v>90.858798954913581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66.520999999999873</v>
      </c>
      <c r="D122" s="11">
        <f t="shared" si="86"/>
        <v>18.806952747935146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658.67191594897213</v>
      </c>
      <c r="H122" s="67">
        <f t="shared" si="56"/>
        <v>441.94618436932012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-2.2737367544323206E-13</v>
      </c>
      <c r="O122" s="13">
        <f>N122*VLOOKUP('Données projet'!$B$9,Paramètres!$A$1:$I$89,3,0)*VLOOKUP('Données projet'!$B$9,Paramètres!$A$1:$I$89,5,0)</f>
        <v>-1.3596945791505279E-13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260.31965507630525</v>
      </c>
      <c r="T122" s="59">
        <f t="shared" si="88"/>
        <v>327.31114099338032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46.765786702422702</v>
      </c>
      <c r="AA122" s="21">
        <f>EXP(-LN(2)/25)*AA121+(1-EXP(-LN(2)/25))/(LN(2)/25)*Calculateur!V122*Calculateur!X122*VLOOKUP('Données projet'!$B$9,Paramètres!$A$1:$I$89,3,0)*0.475*44/12</f>
        <v>7.7060594558776048</v>
      </c>
      <c r="AB122" s="21">
        <f>EXP(-LN(2)/2)*AB121+(1-EXP(-LN(2)/2))/(LN(2)/2)*V122*Y122*VLOOKUP('Données projet'!$B$9,Paramètres!$A$1:$I$89,3,0)*0.475*44/12</f>
        <v>1.3304696835949873E-8</v>
      </c>
      <c r="AC122" s="22">
        <f t="shared" si="57"/>
        <v>54.471846171605009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-1.1368683772161603E-13</v>
      </c>
      <c r="AJ122" s="13">
        <f>AI122*VLOOKUP('Données projet'!$B$10,Paramètres!$A$1:$I$89,3,0)*VLOOKUP('Données projet'!$B$10,Paramètres!$A$1:$I$89,5,0)</f>
        <v>-6.7984728957526396E-14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277.11749933885778</v>
      </c>
      <c r="AO122" s="59">
        <f t="shared" si="90"/>
        <v>244.4970554728738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76.102814665745029</v>
      </c>
      <c r="AV122" s="21">
        <f>EXP(-LN(2)/25)*AV121+(1-EXP(-LN(2)/25))/(LN(2)/25)*Calculateur!AQ122*Calculateur!AS122*VLOOKUP('Données projet'!$B$10,Paramètres!$A$1:$I$89,3,0)*0.475*44/12</f>
        <v>12.871904751851826</v>
      </c>
      <c r="AW122" s="21">
        <f>EXP(-LN(2)/2)*AW121+(1-EXP(-LN(2)/2))/(LN(2)/2)*AQ122*AT122*VLOOKUP('Données projet'!$B$10,Paramètres!$A$1:$I$89,3,0)*0.475*44/12</f>
        <v>1.574273661595109E-5</v>
      </c>
      <c r="AX122" s="21">
        <f t="shared" si="60"/>
        <v>88.974735160333481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67.07999999999987</v>
      </c>
      <c r="D123" s="11">
        <f t="shared" si="86"/>
        <v>18.946530238513862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664.06444394642187</v>
      </c>
      <c r="H123" s="67">
        <f t="shared" si="56"/>
        <v>443.16287349874472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-2.2737367544323206E-13</v>
      </c>
      <c r="O123" s="13">
        <f>N123*VLOOKUP('Données projet'!$B$9,Paramètres!$A$1:$I$89,3,0)*VLOOKUP('Données projet'!$B$9,Paramètres!$A$1:$I$89,5,0)</f>
        <v>-1.3596945791505279E-13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260.31965507630525</v>
      </c>
      <c r="T123" s="59">
        <f t="shared" si="88"/>
        <v>327.31114099338032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45.848738149501536</v>
      </c>
      <c r="AA123" s="21">
        <f>EXP(-LN(2)/25)*AA122+(1-EXP(-LN(2)/25))/(LN(2)/25)*Calculateur!V123*Calculateur!X123*VLOOKUP('Données projet'!$B$9,Paramètres!$A$1:$I$89,3,0)*0.475*44/12</f>
        <v>7.4953368548125772</v>
      </c>
      <c r="AB123" s="21">
        <f>EXP(-LN(2)/2)*AB122+(1-EXP(-LN(2)/2))/(LN(2)/2)*V123*Y123*VLOOKUP('Données projet'!$B$9,Paramètres!$A$1:$I$89,3,0)*0.475*44/12</f>
        <v>9.4078413543313581E-9</v>
      </c>
      <c r="AC123" s="22">
        <f t="shared" si="57"/>
        <v>53.344075013721955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-1.1368683772161603E-13</v>
      </c>
      <c r="AJ123" s="13">
        <f>AI123*VLOOKUP('Données projet'!$B$10,Paramètres!$A$1:$I$89,3,0)*VLOOKUP('Données projet'!$B$10,Paramètres!$A$1:$I$89,5,0)</f>
        <v>-6.7984728957526396E-14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277.11749933885778</v>
      </c>
      <c r="AO123" s="59">
        <f t="shared" si="90"/>
        <v>244.4970554728738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74.61048488828331</v>
      </c>
      <c r="AV123" s="21">
        <f>EXP(-LN(2)/25)*AV122+(1-EXP(-LN(2)/25))/(LN(2)/25)*Calculateur!AQ123*Calculateur!AS123*VLOOKUP('Données projet'!$B$10,Paramètres!$A$1:$I$89,3,0)*0.475*44/12</f>
        <v>12.519921839508386</v>
      </c>
      <c r="AW123" s="21">
        <f>EXP(-LN(2)/2)*AW122+(1-EXP(-LN(2)/2))/(LN(2)/2)*AQ123*AT123*VLOOKUP('Données projet'!$B$10,Paramètres!$A$1:$I$89,3,0)*0.475*44/12</f>
        <v>1.1131795815572777E-5</v>
      </c>
      <c r="AX123" s="21">
        <f t="shared" si="60"/>
        <v>87.13041785958751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67.638999999999868</v>
      </c>
      <c r="D124" s="11">
        <f t="shared" si="86"/>
        <v>19.085972402913047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669.45592732073135</v>
      </c>
      <c r="H124" s="67">
        <f t="shared" si="56"/>
        <v>444.37932693507332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-2.2737367544323206E-13</v>
      </c>
      <c r="O124" s="13">
        <f>N124*VLOOKUP('Données projet'!$B$9,Paramètres!$A$1:$I$89,3,0)*VLOOKUP('Données projet'!$B$9,Paramètres!$A$1:$I$89,5,0)</f>
        <v>-1.3596945791505279E-13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260.31965507630525</v>
      </c>
      <c r="T124" s="59">
        <f t="shared" si="88"/>
        <v>327.31114099338032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44.949672359358772</v>
      </c>
      <c r="AA124" s="21">
        <f>EXP(-LN(2)/25)*AA123+(1-EXP(-LN(2)/25))/(LN(2)/25)*Calculateur!V124*Calculateur!X124*VLOOKUP('Données projet'!$B$9,Paramètres!$A$1:$I$89,3,0)*0.475*44/12</f>
        <v>7.2903764743550932</v>
      </c>
      <c r="AB124" s="21">
        <f>EXP(-LN(2)/2)*AB123+(1-EXP(-LN(2)/2))/(LN(2)/2)*V124*Y124*VLOOKUP('Données projet'!$B$9,Paramètres!$A$1:$I$89,3,0)*0.475*44/12</f>
        <v>6.6523484179749366E-9</v>
      </c>
      <c r="AC124" s="22">
        <f t="shared" si="57"/>
        <v>52.240048840366214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-6.7984728957526396E-14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277.11749933885778</v>
      </c>
      <c r="AO124" s="59">
        <f t="shared" si="90"/>
        <v>244.4970554728738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73.14741878752632</v>
      </c>
      <c r="AV124" s="21">
        <f>EXP(-LN(2)/25)*AV123+(1-EXP(-LN(2)/25))/(LN(2)/25)*Calculateur!AQ124*Calculateur!AS124*VLOOKUP('Données projet'!$B$10,Paramètres!$A$1:$I$89,3,0)*0.475*44/12</f>
        <v>12.177563918412956</v>
      </c>
      <c r="AW124" s="21">
        <f>EXP(-LN(2)/2)*AW123+(1-EXP(-LN(2)/2))/(LN(2)/2)*AQ124*AT124*VLOOKUP('Données projet'!$B$10,Paramètres!$A$1:$I$89,3,0)*0.475*44/12</f>
        <v>7.8713683079755448E-6</v>
      </c>
      <c r="AX124" s="21">
        <f t="shared" si="60"/>
        <v>85.324990577307588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68.197999999999865</v>
      </c>
      <c r="D125" s="11">
        <f t="shared" si="86"/>
        <v>19.225280489140612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674.84637570564576</v>
      </c>
      <c r="H125" s="67">
        <f t="shared" si="56"/>
        <v>445.59554685191961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-2.2737367544323206E-13</v>
      </c>
      <c r="O125" s="13">
        <f>N125*VLOOKUP('Données projet'!$B$9,Paramètres!$A$1:$I$89,3,0)*VLOOKUP('Données projet'!$B$9,Paramètres!$A$1:$I$89,5,0)</f>
        <v>-1.3596945791505279E-13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260.31965507630525</v>
      </c>
      <c r="T125" s="59">
        <f t="shared" si="88"/>
        <v>327.31114099338032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44.06823670098472</v>
      </c>
      <c r="AA125" s="21">
        <f>EXP(-LN(2)/25)*AA124+(1-EXP(-LN(2)/25))/(LN(2)/25)*Calculateur!V125*Calculateur!X125*VLOOKUP('Données projet'!$B$9,Paramètres!$A$1:$I$89,3,0)*0.475*44/12</f>
        <v>7.0910207462796171</v>
      </c>
      <c r="AB125" s="21">
        <f>EXP(-LN(2)/2)*AB124+(1-EXP(-LN(2)/2))/(LN(2)/2)*V125*Y125*VLOOKUP('Données projet'!$B$9,Paramètres!$A$1:$I$89,3,0)*0.475*44/12</f>
        <v>4.703920677165679E-9</v>
      </c>
      <c r="AC125" s="22">
        <f t="shared" si="57"/>
        <v>51.159257451968259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-6.7984728957526396E-14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277.11749933885778</v>
      </c>
      <c r="AO125" s="59">
        <f t="shared" si="90"/>
        <v>244.4970554728738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71.713042520622977</v>
      </c>
      <c r="AV125" s="21">
        <f>EXP(-LN(2)/25)*AV124+(1-EXP(-LN(2)/25))/(LN(2)/25)*Calculateur!AQ125*Calculateur!AS125*VLOOKUP('Données projet'!$B$10,Paramètres!$A$1:$I$89,3,0)*0.475*44/12</f>
        <v>11.844567792673699</v>
      </c>
      <c r="AW125" s="21">
        <f>EXP(-LN(2)/2)*AW124+(1-EXP(-LN(2)/2))/(LN(2)/2)*AQ125*AT125*VLOOKUP('Données projet'!$B$10,Paramètres!$A$1:$I$89,3,0)*0.475*44/12</f>
        <v>5.5658979077863884E-6</v>
      </c>
      <c r="AX125" s="21">
        <f t="shared" si="60"/>
        <v>83.557615879194586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68.756999999999863</v>
      </c>
      <c r="D126" s="11">
        <f t="shared" si="86"/>
        <v>19.364455723564159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680.23579856786262</v>
      </c>
      <c r="H126" s="67">
        <f t="shared" si="56"/>
        <v>446.81153538520732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-2.2737367544323206E-13</v>
      </c>
      <c r="O126" s="13">
        <f>N126*VLOOKUP('Données projet'!$B$9,Paramètres!$A$1:$I$89,3,0)*VLOOKUP('Données projet'!$B$9,Paramètres!$A$1:$I$89,5,0)</f>
        <v>-1.3596945791505279E-13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260.31965507630525</v>
      </c>
      <c r="T126" s="59">
        <f t="shared" si="88"/>
        <v>327.31114099338032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43.20408545824872</v>
      </c>
      <c r="AA126" s="21">
        <f>EXP(-LN(2)/25)*AA125+(1-EXP(-LN(2)/25))/(LN(2)/25)*Calculateur!V126*Calculateur!X126*VLOOKUP('Données projet'!$B$9,Paramètres!$A$1:$I$89,3,0)*0.475*44/12</f>
        <v>6.8971164110720267</v>
      </c>
      <c r="AB126" s="21">
        <f>EXP(-LN(2)/2)*AB125+(1-EXP(-LN(2)/2))/(LN(2)/2)*V126*Y126*VLOOKUP('Données projet'!$B$9,Paramètres!$A$1:$I$89,3,0)*0.475*44/12</f>
        <v>3.3261742089874683E-9</v>
      </c>
      <c r="AC126" s="22">
        <f t="shared" si="57"/>
        <v>50.101201872646918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-6.7984728957526396E-14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277.11749933885778</v>
      </c>
      <c r="AO126" s="59">
        <f t="shared" si="90"/>
        <v>244.4970554728738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70.306793497430476</v>
      </c>
      <c r="AV126" s="21">
        <f>EXP(-LN(2)/25)*AV125+(1-EXP(-LN(2)/25))/(LN(2)/25)*Calculateur!AQ126*Calculateur!AS126*VLOOKUP('Données projet'!$B$10,Paramètres!$A$1:$I$89,3,0)*0.475*44/12</f>
        <v>11.520677463504287</v>
      </c>
      <c r="AW126" s="21">
        <f>EXP(-LN(2)/2)*AW125+(1-EXP(-LN(2)/2))/(LN(2)/2)*AQ126*AT126*VLOOKUP('Données projet'!$B$10,Paramètres!$A$1:$I$89,3,0)*0.475*44/12</f>
        <v>3.9356841539877724E-6</v>
      </c>
      <c r="AX126" s="21">
        <f t="shared" si="60"/>
        <v>81.827474896618909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69.31599999999986</v>
      </c>
      <c r="D127" s="11">
        <f t="shared" si="86"/>
        <v>19.503499311459102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685.62420521126216</v>
      </c>
      <c r="H127" s="67">
        <f t="shared" si="56"/>
        <v>448.02729463412436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-2.2737367544323206E-13</v>
      </c>
      <c r="O127" s="13">
        <f>N127*VLOOKUP('Données projet'!$B$9,Paramètres!$A$1:$I$89,3,0)*VLOOKUP('Données projet'!$B$9,Paramètres!$A$1:$I$89,5,0)</f>
        <v>-1.3596945791505279E-13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260.31965507630525</v>
      </c>
      <c r="T127" s="59">
        <f t="shared" si="88"/>
        <v>327.31114099338032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42.356879694302556</v>
      </c>
      <c r="AA127" s="21">
        <f>EXP(-LN(2)/25)*AA126+(1-EXP(-LN(2)/25))/(LN(2)/25)*Calculateur!V127*Calculateur!X127*VLOOKUP('Données projet'!$B$9,Paramètres!$A$1:$I$89,3,0)*0.475*44/12</f>
        <v>6.7085144001076733</v>
      </c>
      <c r="AB127" s="21">
        <f>EXP(-LN(2)/2)*AB126+(1-EXP(-LN(2)/2))/(LN(2)/2)*V127*Y127*VLOOKUP('Données projet'!$B$9,Paramètres!$A$1:$I$89,3,0)*0.475*44/12</f>
        <v>2.3519603385828395E-9</v>
      </c>
      <c r="AC127" s="22">
        <f t="shared" si="57"/>
        <v>49.065394096762191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-6.7984728957526396E-14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277.11749933885778</v>
      </c>
      <c r="AO127" s="59">
        <f t="shared" si="90"/>
        <v>244.4970554728738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68.928120159855567</v>
      </c>
      <c r="AV127" s="21">
        <f>EXP(-LN(2)/25)*AV126+(1-EXP(-LN(2)/25))/(LN(2)/25)*Calculateur!AQ127*Calculateur!AS127*VLOOKUP('Données projet'!$B$10,Paramètres!$A$1:$I$89,3,0)*0.475*44/12</f>
        <v>11.205643932418665</v>
      </c>
      <c r="AW127" s="21">
        <f>EXP(-LN(2)/2)*AW126+(1-EXP(-LN(2)/2))/(LN(2)/2)*AQ127*AT127*VLOOKUP('Données projet'!$B$10,Paramètres!$A$1:$I$89,3,0)*0.475*44/12</f>
        <v>2.7829489538931942E-6</v>
      </c>
      <c r="AX127" s="21">
        <f t="shared" si="60"/>
        <v>80.133766875223188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69.874999999999858</v>
      </c>
      <c r="D128" s="11">
        <f t="shared" si="86"/>
        <v>19.642412437538525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691.01160478099803</v>
      </c>
      <c r="H128" s="67">
        <f t="shared" si="56"/>
        <v>449.24282666204601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-2.2737367544323206E-13</v>
      </c>
      <c r="O128" s="13">
        <f>N128*VLOOKUP('Données projet'!$B$9,Paramètres!$A$1:$I$89,3,0)*VLOOKUP('Données projet'!$B$9,Paramètres!$A$1:$I$89,5,0)</f>
        <v>-1.3596945791505279E-13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260.31965507630525</v>
      </c>
      <c r="T128" s="59">
        <f t="shared" si="88"/>
        <v>327.31114099338032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41.526287118642891</v>
      </c>
      <c r="AA128" s="21">
        <f>EXP(-LN(2)/25)*AA127+(1-EXP(-LN(2)/25))/(LN(2)/25)*Calculateur!V128*Calculateur!X128*VLOOKUP('Données projet'!$B$9,Paramètres!$A$1:$I$89,3,0)*0.475*44/12</f>
        <v>6.5250697210512891</v>
      </c>
      <c r="AB128" s="21">
        <f>EXP(-LN(2)/2)*AB127+(1-EXP(-LN(2)/2))/(LN(2)/2)*V128*Y128*VLOOKUP('Données projet'!$B$9,Paramètres!$A$1:$I$89,3,0)*0.475*44/12</f>
        <v>1.6630871044937342E-9</v>
      </c>
      <c r="AC128" s="22">
        <f t="shared" si="57"/>
        <v>48.051356841357268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-6.7984728957526396E-14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277.11749933885778</v>
      </c>
      <c r="AO128" s="59">
        <f t="shared" si="90"/>
        <v>244.4970554728738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67.5764817655228</v>
      </c>
      <c r="AV128" s="21">
        <f>EXP(-LN(2)/25)*AV127+(1-EXP(-LN(2)/25))/(LN(2)/25)*Calculateur!AQ128*Calculateur!AS128*VLOOKUP('Données projet'!$B$10,Paramètres!$A$1:$I$89,3,0)*0.475*44/12</f>
        <v>10.899225009807473</v>
      </c>
      <c r="AW128" s="21">
        <f>EXP(-LN(2)/2)*AW127+(1-EXP(-LN(2)/2))/(LN(2)/2)*AQ128*AT128*VLOOKUP('Données projet'!$B$10,Paramètres!$A$1:$I$89,3,0)*0.475*44/12</f>
        <v>1.9678420769938862E-6</v>
      </c>
      <c r="AX128" s="21">
        <f t="shared" si="60"/>
        <v>78.475708743172362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70.433999999999855</v>
      </c>
      <c r="D129" s="11">
        <f t="shared" si="86"/>
        <v>19.781196266465557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696.39800626745227</v>
      </c>
      <c r="H129" s="67">
        <f t="shared" si="56"/>
        <v>450.45813349742724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-2.2737367544323206E-13</v>
      </c>
      <c r="O129" s="13">
        <f>N129*VLOOKUP('Données projet'!$B$9,Paramètres!$A$1:$I$89,3,0)*VLOOKUP('Données projet'!$B$9,Paramètres!$A$1:$I$89,5,0)</f>
        <v>-1.3596945791505279E-13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260.31965507630525</v>
      </c>
      <c r="T129" s="59">
        <f t="shared" si="88"/>
        <v>327.31114099338032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40.711981956780463</v>
      </c>
      <c r="AA129" s="21">
        <f>EXP(-LN(2)/25)*AA128+(1-EXP(-LN(2)/25))/(LN(2)/25)*Calculateur!V129*Calculateur!X129*VLOOKUP('Données projet'!$B$9,Paramètres!$A$1:$I$89,3,0)*0.475*44/12</f>
        <v>6.3466413463906379</v>
      </c>
      <c r="AB129" s="21">
        <f>EXP(-LN(2)/2)*AB128+(1-EXP(-LN(2)/2))/(LN(2)/2)*V129*Y129*VLOOKUP('Données projet'!$B$9,Paramètres!$A$1:$I$89,3,0)*0.475*44/12</f>
        <v>1.1759801692914198E-9</v>
      </c>
      <c r="AC129" s="22">
        <f t="shared" si="57"/>
        <v>47.05862330434708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-6.7984728957526396E-14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277.11749933885778</v>
      </c>
      <c r="AO129" s="59">
        <f t="shared" si="90"/>
        <v>244.4970554728738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66.251348175684882</v>
      </c>
      <c r="AV129" s="21">
        <f>EXP(-LN(2)/25)*AV128+(1-EXP(-LN(2)/25))/(LN(2)/25)*Calculateur!AQ129*Calculateur!AS129*VLOOKUP('Données projet'!$B$10,Paramètres!$A$1:$I$89,3,0)*0.475*44/12</f>
        <v>10.601185128748956</v>
      </c>
      <c r="AW129" s="21">
        <f>EXP(-LN(2)/2)*AW128+(1-EXP(-LN(2)/2))/(LN(2)/2)*AQ129*AT129*VLOOKUP('Données projet'!$B$10,Paramètres!$A$1:$I$89,3,0)*0.475*44/12</f>
        <v>1.3914744769465971E-6</v>
      </c>
      <c r="AX129" s="21">
        <f t="shared" si="60"/>
        <v>76.852534695908304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70.992999999999853</v>
      </c>
      <c r="D130" s="11">
        <f t="shared" si="86"/>
        <v>19.919851943349197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701.78341851006292</v>
      </c>
      <c r="H130" s="67">
        <f t="shared" si="56"/>
        <v>451.67321713466623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-2.2737367544323206E-13</v>
      </c>
      <c r="O130" s="13">
        <f>N130*VLOOKUP('Données projet'!$B$9,Paramètres!$A$1:$I$89,3,0)*VLOOKUP('Données projet'!$B$9,Paramètres!$A$1:$I$89,5,0)</f>
        <v>-1.3596945791505279E-13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260.31965507630525</v>
      </c>
      <c r="T130" s="59">
        <f t="shared" si="88"/>
        <v>327.31114099338032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39.913644822465052</v>
      </c>
      <c r="AA130" s="21">
        <f>EXP(-LN(2)/25)*AA129+(1-EXP(-LN(2)/25))/(LN(2)/25)*Calculateur!V130*Calculateur!X130*VLOOKUP('Données projet'!$B$9,Paramètres!$A$1:$I$89,3,0)*0.475*44/12</f>
        <v>6.173092105018223</v>
      </c>
      <c r="AB130" s="21">
        <f>EXP(-LN(2)/2)*AB129+(1-EXP(-LN(2)/2))/(LN(2)/2)*V130*Y130*VLOOKUP('Données projet'!$B$9,Paramètres!$A$1:$I$89,3,0)*0.475*44/12</f>
        <v>8.3154355224686708E-10</v>
      </c>
      <c r="AC130" s="22">
        <f t="shared" si="57"/>
        <v>46.086736928314814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-6.7984728957526396E-14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277.11749933885778</v>
      </c>
      <c r="AO130" s="59">
        <f t="shared" si="90"/>
        <v>244.4970554728738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64.952199647292005</v>
      </c>
      <c r="AV130" s="21">
        <f>EXP(-LN(2)/25)*AV129+(1-EXP(-LN(2)/25))/(LN(2)/25)*Calculateur!AQ130*Calculateur!AS130*VLOOKUP('Données projet'!$B$10,Paramètres!$A$1:$I$89,3,0)*0.475*44/12</f>
        <v>10.311295163911218</v>
      </c>
      <c r="AW130" s="21">
        <f>EXP(-LN(2)/2)*AW129+(1-EXP(-LN(2)/2))/(LN(2)/2)*AQ130*AT130*VLOOKUP('Données projet'!$B$10,Paramètres!$A$1:$I$89,3,0)*0.475*44/12</f>
        <v>9.839210384969431E-7</v>
      </c>
      <c r="AX130" s="21">
        <f t="shared" si="60"/>
        <v>75.263495795124271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71.55199999999985</v>
      </c>
      <c r="D131" s="11">
        <f t="shared" si="86"/>
        <v>20.058380594223749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707.16785020102441</v>
      </c>
      <c r="H131" s="67">
        <f t="shared" si="56"/>
        <v>452.88807953493938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-2.2737367544323206E-13</v>
      </c>
      <c r="O131" s="13">
        <f>N131*VLOOKUP('Données projet'!$B$9,Paramètres!$A$1:$I$89,3,0)*VLOOKUP('Données projet'!$B$9,Paramètres!$A$1:$I$89,5,0)</f>
        <v>-1.3596945791505279E-13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260.31965507630525</v>
      </c>
      <c r="T131" s="59">
        <f t="shared" si="88"/>
        <v>327.31114099338032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39.13096259241599</v>
      </c>
      <c r="AA131" s="21">
        <f>EXP(-LN(2)/25)*AA130+(1-EXP(-LN(2)/25))/(LN(2)/25)*Calculateur!V131*Calculateur!X131*VLOOKUP('Données projet'!$B$9,Paramètres!$A$1:$I$89,3,0)*0.475*44/12</f>
        <v>6.0042885767776948</v>
      </c>
      <c r="AB131" s="21">
        <f>EXP(-LN(2)/2)*AB130+(1-EXP(-LN(2)/2))/(LN(2)/2)*V131*Y131*VLOOKUP('Données projet'!$B$9,Paramètres!$A$1:$I$89,3,0)*0.475*44/12</f>
        <v>5.8799008464570988E-10</v>
      </c>
      <c r="AC131" s="22">
        <f t="shared" si="57"/>
        <v>45.135251169781675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-6.7984728957526396E-14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277.11749933885778</v>
      </c>
      <c r="AO131" s="59">
        <f t="shared" si="90"/>
        <v>244.4970554728738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63.678526629138545</v>
      </c>
      <c r="AV131" s="21">
        <f>EXP(-LN(2)/25)*AV130+(1-EXP(-LN(2)/25))/(LN(2)/25)*Calculateur!AQ131*Calculateur!AS131*VLOOKUP('Données projet'!$B$10,Paramètres!$A$1:$I$89,3,0)*0.475*44/12</f>
        <v>10.02933225540662</v>
      </c>
      <c r="AW131" s="21">
        <f>EXP(-LN(2)/2)*AW130+(1-EXP(-LN(2)/2))/(LN(2)/2)*AQ131*AT131*VLOOKUP('Données projet'!$B$10,Paramètres!$A$1:$I$89,3,0)*0.475*44/12</f>
        <v>6.9573723847329855E-7</v>
      </c>
      <c r="AX131" s="21">
        <f t="shared" si="60"/>
        <v>73.707859580282403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72.110999999999848</v>
      </c>
      <c r="D132" s="11">
        <f t="shared" si="86"/>
        <v>20.19678332651322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712.55130988887277</v>
      </c>
      <c r="H132" s="67">
        <f t="shared" ref="H132:H195" si="110">(B132+E132+F132)*44/12+(C132+D132)*0.475*44/12</f>
        <v>454.10272262701022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-2.2737367544323206E-13</v>
      </c>
      <c r="O132" s="13">
        <f>N132*VLOOKUP('Données projet'!$B$9,Paramètres!$A$1:$I$89,3,0)*VLOOKUP('Données projet'!$B$9,Paramètres!$A$1:$I$89,5,0)</f>
        <v>-1.3596945791505279E-13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260.31965507630525</v>
      </c>
      <c r="T132" s="59">
        <f t="shared" si="88"/>
        <v>327.31114099338032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38.363628283509172</v>
      </c>
      <c r="AA132" s="21">
        <f>EXP(-LN(2)/25)*AA131+(1-EXP(-LN(2)/25))/(LN(2)/25)*Calculateur!V132*Calculateur!X132*VLOOKUP('Données projet'!$B$9,Paramètres!$A$1:$I$89,3,0)*0.475*44/12</f>
        <v>5.8401009898938954</v>
      </c>
      <c r="AB132" s="21">
        <f>EXP(-LN(2)/2)*AB131+(1-EXP(-LN(2)/2))/(LN(2)/2)*V132*Y132*VLOOKUP('Données projet'!$B$9,Paramètres!$A$1:$I$89,3,0)*0.475*44/12</f>
        <v>4.1577177612343354E-10</v>
      </c>
      <c r="AC132" s="22">
        <f t="shared" ref="AC132:AC153" si="111">SUM(Z132:AB132)</f>
        <v>44.203729273818844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-6.7984728957526396E-14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277.11749933885778</v>
      </c>
      <c r="AO132" s="59">
        <f t="shared" si="90"/>
        <v>244.4970554728738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62.429829562007242</v>
      </c>
      <c r="AV132" s="21">
        <f>EXP(-LN(2)/25)*AV131+(1-EXP(-LN(2)/25))/(LN(2)/25)*Calculateur!AQ132*Calculateur!AS132*VLOOKUP('Données projet'!$B$10,Paramètres!$A$1:$I$89,3,0)*0.475*44/12</f>
        <v>9.755079637462865</v>
      </c>
      <c r="AW132" s="21">
        <f>EXP(-LN(2)/2)*AW131+(1-EXP(-LN(2)/2))/(LN(2)/2)*AQ132*AT132*VLOOKUP('Données projet'!$B$10,Paramètres!$A$1:$I$89,3,0)*0.475*44/12</f>
        <v>4.9196051924847155E-7</v>
      </c>
      <c r="AX132" s="21">
        <f t="shared" ref="AX132:AX153" si="114">SUM(AU132:AW132)</f>
        <v>72.184909691430633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72.669999999999845</v>
      </c>
      <c r="D133" s="11">
        <f t="shared" ref="D133:D196" si="140">IFERROR(EXP(-1.0587+0.8836*LN(C133)+0.284),0)</f>
        <v>20.335061229480619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717.93380598195461</v>
      </c>
      <c r="H133" s="67">
        <f t="shared" si="110"/>
        <v>455.31714830801172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-2.2737367544323206E-13</v>
      </c>
      <c r="O133" s="13">
        <f>N133*VLOOKUP('Données projet'!$B$9,Paramètres!$A$1:$I$89,3,0)*VLOOKUP('Données projet'!$B$9,Paramètres!$A$1:$I$89,5,0)</f>
        <v>-1.3596945791505279E-13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260.31965507630525</v>
      </c>
      <c r="T133" s="59">
        <f t="shared" ref="T133:T196" si="142">$T$3</f>
        <v>327.31114099338032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37.6113409323723</v>
      </c>
      <c r="AA133" s="21">
        <f>EXP(-LN(2)/25)*AA132+(1-EXP(-LN(2)/25))/(LN(2)/25)*Calculateur!V133*Calculateur!X133*VLOOKUP('Données projet'!$B$9,Paramètres!$A$1:$I$89,3,0)*0.475*44/12</f>
        <v>5.6804031212076831</v>
      </c>
      <c r="AB133" s="21">
        <f>EXP(-LN(2)/2)*AB132+(1-EXP(-LN(2)/2))/(LN(2)/2)*V133*Y133*VLOOKUP('Données projet'!$B$9,Paramètres!$A$1:$I$89,3,0)*0.475*44/12</f>
        <v>2.9399504232285494E-10</v>
      </c>
      <c r="AC133" s="22">
        <f t="shared" si="111"/>
        <v>43.291744053873977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-6.7984728957526396E-14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277.11749933885778</v>
      </c>
      <c r="AO133" s="59">
        <f t="shared" ref="AO133:AO196" si="144">$AO$3</f>
        <v>244.4970554728738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61.205618682732378</v>
      </c>
      <c r="AV133" s="21">
        <f>EXP(-LN(2)/25)*AV132+(1-EXP(-LN(2)/25))/(LN(2)/25)*Calculateur!AQ133*Calculateur!AS133*VLOOKUP('Données projet'!$B$10,Paramètres!$A$1:$I$89,3,0)*0.475*44/12</f>
        <v>9.4883264717791</v>
      </c>
      <c r="AW133" s="21">
        <f>EXP(-LN(2)/2)*AW132+(1-EXP(-LN(2)/2))/(LN(2)/2)*AQ133*AT133*VLOOKUP('Données projet'!$B$10,Paramètres!$A$1:$I$89,3,0)*0.475*44/12</f>
        <v>3.4786861923664928E-7</v>
      </c>
      <c r="AX133" s="21">
        <f t="shared" si="114"/>
        <v>70.693945502380103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73.228999999999843</v>
      </c>
      <c r="D134" s="11">
        <f t="shared" si="140"/>
        <v>20.473215374663191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723.31534675178489</v>
      </c>
      <c r="H134" s="67">
        <f t="shared" si="110"/>
        <v>456.53135844420478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-2.2737367544323206E-13</v>
      </c>
      <c r="O134" s="13">
        <f>N134*VLOOKUP('Données projet'!$B$9,Paramètres!$A$1:$I$89,3,0)*VLOOKUP('Données projet'!$B$9,Paramètres!$A$1:$I$89,5,0)</f>
        <v>-1.3596945791505279E-13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260.31965507630525</v>
      </c>
      <c r="T134" s="59">
        <f t="shared" si="142"/>
        <v>327.31114099338032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36.87380547734125</v>
      </c>
      <c r="AA134" s="21">
        <f>EXP(-LN(2)/25)*AA133+(1-EXP(-LN(2)/25))/(LN(2)/25)*Calculateur!V134*Calculateur!X134*VLOOKUP('Données projet'!$B$9,Paramètres!$A$1:$I$89,3,0)*0.475*44/12</f>
        <v>5.5250721991388412</v>
      </c>
      <c r="AB134" s="21">
        <f>EXP(-LN(2)/2)*AB133+(1-EXP(-LN(2)/2))/(LN(2)/2)*V134*Y134*VLOOKUP('Données projet'!$B$9,Paramètres!$A$1:$I$89,3,0)*0.475*44/12</f>
        <v>2.0788588806171677E-10</v>
      </c>
      <c r="AC134" s="22">
        <f t="shared" si="111"/>
        <v>42.398877676687974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-6.7984728957526396E-14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277.11749933885778</v>
      </c>
      <c r="AO134" s="59">
        <f t="shared" si="144"/>
        <v>244.4970554728738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60.005413832105191</v>
      </c>
      <c r="AV134" s="21">
        <f>EXP(-LN(2)/25)*AV133+(1-EXP(-LN(2)/25))/(LN(2)/25)*Calculateur!AQ134*Calculateur!AS134*VLOOKUP('Données projet'!$B$10,Paramètres!$A$1:$I$89,3,0)*0.475*44/12</f>
        <v>9.2288676854388978</v>
      </c>
      <c r="AW134" s="21">
        <f>EXP(-LN(2)/2)*AW133+(1-EXP(-LN(2)/2))/(LN(2)/2)*AQ134*AT134*VLOOKUP('Données projet'!$B$10,Paramètres!$A$1:$I$89,3,0)*0.475*44/12</f>
        <v>2.4598025962423578E-7</v>
      </c>
      <c r="AX134" s="21">
        <f t="shared" si="114"/>
        <v>69.234281763524351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73.78799999999984</v>
      </c>
      <c r="D135" s="11">
        <f t="shared" si="140"/>
        <v>20.611246816293903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728.69594033630256</v>
      </c>
      <c r="H135" s="67">
        <f t="shared" si="110"/>
        <v>457.74535487171158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-2.2737367544323206E-13</v>
      </c>
      <c r="O135" s="13">
        <f>N135*VLOOKUP('Données projet'!$B$9,Paramètres!$A$1:$I$89,3,0)*VLOOKUP('Données projet'!$B$9,Paramètres!$A$1:$I$89,5,0)</f>
        <v>-1.3596945791505279E-13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260.31965507630525</v>
      </c>
      <c r="T135" s="59">
        <f t="shared" si="142"/>
        <v>327.31114099338032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36.15073264273115</v>
      </c>
      <c r="AA135" s="21">
        <f>EXP(-LN(2)/25)*AA134+(1-EXP(-LN(2)/25))/(LN(2)/25)*Calculateur!V135*Calculateur!X135*VLOOKUP('Données projet'!$B$9,Paramètres!$A$1:$I$89,3,0)*0.475*44/12</f>
        <v>5.3739888093024701</v>
      </c>
      <c r="AB135" s="21">
        <f>EXP(-LN(2)/2)*AB134+(1-EXP(-LN(2)/2))/(LN(2)/2)*V135*Y135*VLOOKUP('Données projet'!$B$9,Paramètres!$A$1:$I$89,3,0)*0.475*44/12</f>
        <v>1.4699752116142747E-10</v>
      </c>
      <c r="AC135" s="22">
        <f t="shared" si="111"/>
        <v>41.524721452180614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-6.7984728957526396E-14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277.11749933885778</v>
      </c>
      <c r="AO135" s="59">
        <f t="shared" si="144"/>
        <v>244.4970554728738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58.828744266546124</v>
      </c>
      <c r="AV135" s="21">
        <f>EXP(-LN(2)/25)*AV134+(1-EXP(-LN(2)/25))/(LN(2)/25)*Calculateur!AQ135*Calculateur!AS135*VLOOKUP('Données projet'!$B$10,Paramètres!$A$1:$I$89,3,0)*0.475*44/12</f>
        <v>8.9765038132555119</v>
      </c>
      <c r="AW135" s="21">
        <f>EXP(-LN(2)/2)*AW134+(1-EXP(-LN(2)/2))/(LN(2)/2)*AQ135*AT135*VLOOKUP('Données projet'!$B$10,Paramètres!$A$1:$I$89,3,0)*0.475*44/12</f>
        <v>1.7393430961832464E-7</v>
      </c>
      <c r="AX135" s="21">
        <f t="shared" si="114"/>
        <v>67.80524825373594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74.346999999999838</v>
      </c>
      <c r="D136" s="11">
        <f t="shared" si="140"/>
        <v>20.749156591709802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734.07559474302195</v>
      </c>
      <c r="H136" s="67">
        <f t="shared" si="110"/>
        <v>458.9591393972276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-2.2737367544323206E-13</v>
      </c>
      <c r="O136" s="13">
        <f>N136*VLOOKUP('Données projet'!$B$9,Paramètres!$A$1:$I$89,3,0)*VLOOKUP('Données projet'!$B$9,Paramètres!$A$1:$I$89,5,0)</f>
        <v>-1.3596945791505279E-13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260.31965507630525</v>
      </c>
      <c r="T136" s="59">
        <f t="shared" si="142"/>
        <v>327.31114099338032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35.44183882537687</v>
      </c>
      <c r="AA136" s="21">
        <f>EXP(-LN(2)/25)*AA135+(1-EXP(-LN(2)/25))/(LN(2)/25)*Calculateur!V136*Calculateur!X136*VLOOKUP('Données projet'!$B$9,Paramètres!$A$1:$I$89,3,0)*0.475*44/12</f>
        <v>5.227036802706305</v>
      </c>
      <c r="AB136" s="21">
        <f>EXP(-LN(2)/2)*AB135+(1-EXP(-LN(2)/2))/(LN(2)/2)*V136*Y136*VLOOKUP('Données projet'!$B$9,Paramètres!$A$1:$I$89,3,0)*0.475*44/12</f>
        <v>1.0394294403085838E-10</v>
      </c>
      <c r="AC136" s="22">
        <f t="shared" si="111"/>
        <v>40.668875628187116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-6.7984728957526396E-14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277.11749933885778</v>
      </c>
      <c r="AO136" s="59">
        <f t="shared" si="144"/>
        <v>244.4970554728738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57.675148473470102</v>
      </c>
      <c r="AV136" s="21">
        <f>EXP(-LN(2)/25)*AV135+(1-EXP(-LN(2)/25))/(LN(2)/25)*Calculateur!AQ136*Calculateur!AS136*VLOOKUP('Données projet'!$B$10,Paramètres!$A$1:$I$89,3,0)*0.475*44/12</f>
        <v>8.7310408444282199</v>
      </c>
      <c r="AW136" s="21">
        <f>EXP(-LN(2)/2)*AW135+(1-EXP(-LN(2)/2))/(LN(2)/2)*AQ136*AT136*VLOOKUP('Données projet'!$B$10,Paramètres!$A$1:$I$89,3,0)*0.475*44/12</f>
        <v>1.2299012981211789E-7</v>
      </c>
      <c r="AX136" s="21">
        <f t="shared" si="114"/>
        <v>66.406189440888454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74.905999999999835</v>
      </c>
      <c r="D137" s="11">
        <f t="shared" si="140"/>
        <v>20.886945721747846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739.45431785208746</v>
      </c>
      <c r="H137" s="67">
        <f t="shared" si="110"/>
        <v>460.17271379871056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-2.2737367544323206E-13</v>
      </c>
      <c r="O137" s="13">
        <f>N137*VLOOKUP('Données projet'!$B$9,Paramètres!$A$1:$I$89,3,0)*VLOOKUP('Données projet'!$B$9,Paramètres!$A$1:$I$89,5,0)</f>
        <v>-1.3596945791505279E-13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260.31965507630525</v>
      </c>
      <c r="T137" s="59">
        <f t="shared" si="142"/>
        <v>327.31114099338032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34.746845983398373</v>
      </c>
      <c r="AA137" s="21">
        <f>EXP(-LN(2)/25)*AA136+(1-EXP(-LN(2)/25))/(LN(2)/25)*Calculateur!V137*Calculateur!X137*VLOOKUP('Données projet'!$B$9,Paramètres!$A$1:$I$89,3,0)*0.475*44/12</f>
        <v>5.0841032064583818</v>
      </c>
      <c r="AB137" s="21">
        <f>EXP(-LN(2)/2)*AB136+(1-EXP(-LN(2)/2))/(LN(2)/2)*V137*Y137*VLOOKUP('Données projet'!$B$9,Paramètres!$A$1:$I$89,3,0)*0.475*44/12</f>
        <v>7.3498760580713735E-11</v>
      </c>
      <c r="AC137" s="22">
        <f t="shared" si="111"/>
        <v>39.830949189930251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-6.7984728957526396E-14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277.11749933885778</v>
      </c>
      <c r="AO137" s="59">
        <f t="shared" si="144"/>
        <v>244.4970554728738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56.544173990272348</v>
      </c>
      <c r="AV137" s="21">
        <f>EXP(-LN(2)/25)*AV136+(1-EXP(-LN(2)/25))/(LN(2)/25)*Calculateur!AQ137*Calculateur!AS137*VLOOKUP('Données projet'!$B$10,Paramètres!$A$1:$I$89,3,0)*0.475*44/12</f>
        <v>8.4922900733918478</v>
      </c>
      <c r="AW137" s="21">
        <f>EXP(-LN(2)/2)*AW136+(1-EXP(-LN(2)/2))/(LN(2)/2)*AQ137*AT137*VLOOKUP('Données projet'!$B$10,Paramètres!$A$1:$I$89,3,0)*0.475*44/12</f>
        <v>8.6967154809162319E-8</v>
      </c>
      <c r="AX137" s="21">
        <f t="shared" si="114"/>
        <v>65.036464150631346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75.464999999999833</v>
      </c>
      <c r="D138" s="11">
        <f t="shared" si="140"/>
        <v>21.02461521112831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744.83211741923481</v>
      </c>
      <c r="H138" s="67">
        <f t="shared" si="110"/>
        <v>461.3860798260481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-2.2737367544323206E-13</v>
      </c>
      <c r="O138" s="13">
        <f>N138*VLOOKUP('Données projet'!$B$9,Paramètres!$A$1:$I$89,3,0)*VLOOKUP('Données projet'!$B$9,Paramètres!$A$1:$I$89,5,0)</f>
        <v>-1.3596945791505279E-13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260.31965507630525</v>
      </c>
      <c r="T138" s="59">
        <f t="shared" si="142"/>
        <v>327.31114099338032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34.065481527147298</v>
      </c>
      <c r="AA138" s="21">
        <f>EXP(-LN(2)/25)*AA137+(1-EXP(-LN(2)/25))/(LN(2)/25)*Calculateur!V138*Calculateur!X138*VLOOKUP('Données projet'!$B$9,Paramètres!$A$1:$I$89,3,0)*0.475*44/12</f>
        <v>4.9450781369164094</v>
      </c>
      <c r="AB138" s="21">
        <f>EXP(-LN(2)/2)*AB137+(1-EXP(-LN(2)/2))/(LN(2)/2)*V138*Y138*VLOOKUP('Données projet'!$B$9,Paramètres!$A$1:$I$89,3,0)*0.475*44/12</f>
        <v>5.1971472015429192E-11</v>
      </c>
      <c r="AC138" s="22">
        <f t="shared" si="111"/>
        <v>39.010559664115675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-6.7984728957526396E-14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277.11749933885778</v>
      </c>
      <c r="AO138" s="59">
        <f t="shared" si="144"/>
        <v>244.4970554728738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55.435377226863778</v>
      </c>
      <c r="AV138" s="21">
        <f>EXP(-LN(2)/25)*AV137+(1-EXP(-LN(2)/25))/(LN(2)/25)*Calculateur!AQ138*Calculateur!AS138*VLOOKUP('Données projet'!$B$10,Paramètres!$A$1:$I$89,3,0)*0.475*44/12</f>
        <v>8.260067954744823</v>
      </c>
      <c r="AW138" s="21">
        <f>EXP(-LN(2)/2)*AW137+(1-EXP(-LN(2)/2))/(LN(2)/2)*AQ138*AT138*VLOOKUP('Données projet'!$B$10,Paramètres!$A$1:$I$89,3,0)*0.475*44/12</f>
        <v>6.1495064906058944E-8</v>
      </c>
      <c r="AX138" s="21">
        <f t="shared" si="114"/>
        <v>63.69544524310367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76.02399999999983</v>
      </c>
      <c r="D139" s="11">
        <f t="shared" si="140"/>
        <v>21.162166048826901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750.20900107866248</v>
      </c>
      <c r="H139" s="67">
        <f t="shared" si="110"/>
        <v>462.59923920170655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-2.2737367544323206E-13</v>
      </c>
      <c r="O139" s="13">
        <f>N139*VLOOKUP('Données projet'!$B$9,Paramètres!$A$1:$I$89,3,0)*VLOOKUP('Données projet'!$B$9,Paramètres!$A$1:$I$89,5,0)</f>
        <v>-1.3596945791505279E-13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260.31965507630525</v>
      </c>
      <c r="T139" s="59">
        <f t="shared" si="142"/>
        <v>327.31114099338032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33.397478212292022</v>
      </c>
      <c r="AA139" s="21">
        <f>EXP(-LN(2)/25)*AA138+(1-EXP(-LN(2)/25))/(LN(2)/25)*Calculateur!V139*Calculateur!X139*VLOOKUP('Données projet'!$B$9,Paramètres!$A$1:$I$89,3,0)*0.475*44/12</f>
        <v>4.8098547152120732</v>
      </c>
      <c r="AB139" s="21">
        <f>EXP(-LN(2)/2)*AB138+(1-EXP(-LN(2)/2))/(LN(2)/2)*V139*Y139*VLOOKUP('Données projet'!$B$9,Paramètres!$A$1:$I$89,3,0)*0.475*44/12</f>
        <v>3.6749380290356867E-11</v>
      </c>
      <c r="AC139" s="22">
        <f t="shared" si="111"/>
        <v>38.207332927540847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-6.7984728957526396E-14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277.11749933885778</v>
      </c>
      <c r="AO139" s="59">
        <f t="shared" si="144"/>
        <v>244.4970554728738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54.348323291686405</v>
      </c>
      <c r="AV139" s="21">
        <f>EXP(-LN(2)/25)*AV138+(1-EXP(-LN(2)/25))/(LN(2)/25)*Calculateur!AQ139*Calculateur!AS139*VLOOKUP('Données projet'!$B$10,Paramètres!$A$1:$I$89,3,0)*0.475*44/12</f>
        <v>8.0341959621442314</v>
      </c>
      <c r="AW139" s="21">
        <f>EXP(-LN(2)/2)*AW138+(1-EXP(-LN(2)/2))/(LN(2)/2)*AQ139*AT139*VLOOKUP('Données projet'!$B$10,Paramètres!$A$1:$I$89,3,0)*0.475*44/12</f>
        <v>4.348357740458116E-8</v>
      </c>
      <c r="AX139" s="21">
        <f t="shared" si="114"/>
        <v>62.382519297314211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76.582999999999828</v>
      </c>
      <c r="D140" s="11">
        <f t="shared" si="140"/>
        <v>21.299599208435229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755.58497634581454</v>
      </c>
      <c r="H140" s="67">
        <f t="shared" si="110"/>
        <v>463.81219362135766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-2.2737367544323206E-13</v>
      </c>
      <c r="O140" s="13">
        <f>N140*VLOOKUP('Données projet'!$B$9,Paramètres!$A$1:$I$89,3,0)*VLOOKUP('Données projet'!$B$9,Paramètres!$A$1:$I$89,5,0)</f>
        <v>-1.3596945791505279E-13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260.31965507630525</v>
      </c>
      <c r="T140" s="59">
        <f t="shared" si="142"/>
        <v>327.31114099338032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32.742574034999272</v>
      </c>
      <c r="AA140" s="21">
        <f>EXP(-LN(2)/25)*AA139+(1-EXP(-LN(2)/25))/(LN(2)/25)*Calculateur!V140*Calculateur!X140*VLOOKUP('Données projet'!$B$9,Paramètres!$A$1:$I$89,3,0)*0.475*44/12</f>
        <v>4.6783289850853329</v>
      </c>
      <c r="AB140" s="21">
        <f>EXP(-LN(2)/2)*AB139+(1-EXP(-LN(2)/2))/(LN(2)/2)*V140*Y140*VLOOKUP('Données projet'!$B$9,Paramètres!$A$1:$I$89,3,0)*0.475*44/12</f>
        <v>2.5985736007714596E-11</v>
      </c>
      <c r="AC140" s="22">
        <f t="shared" si="111"/>
        <v>37.420903020110593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-6.7984728957526396E-14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277.11749933885778</v>
      </c>
      <c r="AO140" s="59">
        <f t="shared" si="144"/>
        <v>244.4970554728738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53.28258582114043</v>
      </c>
      <c r="AV140" s="21">
        <f>EXP(-LN(2)/25)*AV139+(1-EXP(-LN(2)/25))/(LN(2)/25)*Calculateur!AQ140*Calculateur!AS140*VLOOKUP('Données projet'!$B$10,Paramètres!$A$1:$I$89,3,0)*0.475*44/12</f>
        <v>7.8145004510593941</v>
      </c>
      <c r="AW140" s="21">
        <f>EXP(-LN(2)/2)*AW139+(1-EXP(-LN(2)/2))/(LN(2)/2)*AQ140*AT140*VLOOKUP('Données projet'!$B$10,Paramètres!$A$1:$I$89,3,0)*0.475*44/12</f>
        <v>3.0747532453029472E-8</v>
      </c>
      <c r="AX140" s="21">
        <f t="shared" si="114"/>
        <v>61.097086302947353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77.141999999999825</v>
      </c>
      <c r="D141" s="11">
        <f t="shared" si="140"/>
        <v>21.43691564851072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760.96005062008135</v>
      </c>
      <c r="H141" s="67">
        <f t="shared" si="110"/>
        <v>465.02494475448918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-2.2737367544323206E-13</v>
      </c>
      <c r="O141" s="13">
        <f>N141*VLOOKUP('Données projet'!$B$9,Paramètres!$A$1:$I$89,3,0)*VLOOKUP('Données projet'!$B$9,Paramètres!$A$1:$I$89,5,0)</f>
        <v>-1.3596945791505279E-13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260.31965507630525</v>
      </c>
      <c r="T141" s="59">
        <f t="shared" si="142"/>
        <v>327.31114099338032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32.100512129171129</v>
      </c>
      <c r="AA141" s="21">
        <f>EXP(-LN(2)/25)*AA140+(1-EXP(-LN(2)/25))/(LN(2)/25)*Calculateur!V141*Calculateur!X141*VLOOKUP('Données projet'!$B$9,Paramètres!$A$1:$I$89,3,0)*0.475*44/12</f>
        <v>4.550399832965546</v>
      </c>
      <c r="AB141" s="21">
        <f>EXP(-LN(2)/2)*AB140+(1-EXP(-LN(2)/2))/(LN(2)/2)*V141*Y141*VLOOKUP('Données projet'!$B$9,Paramètres!$A$1:$I$89,3,0)*0.475*44/12</f>
        <v>1.8374690145178434E-11</v>
      </c>
      <c r="AC141" s="22">
        <f t="shared" si="111"/>
        <v>36.65091196215505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-6.7984728957526396E-14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277.11749933885778</v>
      </c>
      <c r="AO141" s="59">
        <f t="shared" si="144"/>
        <v>244.4970554728738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52.237746812356193</v>
      </c>
      <c r="AV141" s="21">
        <f>EXP(-LN(2)/25)*AV140+(1-EXP(-LN(2)/25))/(LN(2)/25)*Calculateur!AQ141*Calculateur!AS141*VLOOKUP('Données projet'!$B$10,Paramètres!$A$1:$I$89,3,0)*0.475*44/12</f>
        <v>7.6008125252784566</v>
      </c>
      <c r="AW141" s="21">
        <f>EXP(-LN(2)/2)*AW140+(1-EXP(-LN(2)/2))/(LN(2)/2)*AQ141*AT141*VLOOKUP('Données projet'!$B$10,Paramètres!$A$1:$I$89,3,0)*0.475*44/12</f>
        <v>2.174178870229058E-8</v>
      </c>
      <c r="AX141" s="21">
        <f t="shared" si="114"/>
        <v>59.83855935937644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77.700999999999823</v>
      </c>
      <c r="D142" s="11">
        <f t="shared" si="140"/>
        <v>21.574116312915926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766.33423118741973</v>
      </c>
      <c r="H142" s="67">
        <f t="shared" si="110"/>
        <v>466.23749424499488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-2.2737367544323206E-13</v>
      </c>
      <c r="O142" s="13">
        <f>N142*VLOOKUP('Données projet'!$B$9,Paramètres!$A$1:$I$89,3,0)*VLOOKUP('Données projet'!$B$9,Paramètres!$A$1:$I$89,5,0)</f>
        <v>-1.3596945791505279E-13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260.31965507630525</v>
      </c>
      <c r="T142" s="59">
        <f t="shared" si="142"/>
        <v>327.31114099338032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31.471040665697178</v>
      </c>
      <c r="AA142" s="21">
        <f>EXP(-LN(2)/25)*AA141+(1-EXP(-LN(2)/25))/(LN(2)/25)*Calculateur!V142*Calculateur!X142*VLOOKUP('Données projet'!$B$9,Paramètres!$A$1:$I$89,3,0)*0.475*44/12</f>
        <v>4.4259689102379758</v>
      </c>
      <c r="AB142" s="21">
        <f>EXP(-LN(2)/2)*AB141+(1-EXP(-LN(2)/2))/(LN(2)/2)*V142*Y142*VLOOKUP('Données projet'!$B$9,Paramètres!$A$1:$I$89,3,0)*0.475*44/12</f>
        <v>1.2992868003857298E-11</v>
      </c>
      <c r="AC142" s="22">
        <f t="shared" si="111"/>
        <v>35.897009575948147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-6.7984728957526396E-14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277.11749933885778</v>
      </c>
      <c r="AO142" s="59">
        <f t="shared" si="144"/>
        <v>244.4970554728738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51.213396459245345</v>
      </c>
      <c r="AV142" s="21">
        <f>EXP(-LN(2)/25)*AV141+(1-EXP(-LN(2)/25))/(LN(2)/25)*Calculateur!AQ142*Calculateur!AS142*VLOOKUP('Données projet'!$B$10,Paramètres!$A$1:$I$89,3,0)*0.475*44/12</f>
        <v>7.3929679070653584</v>
      </c>
      <c r="AW142" s="21">
        <f>EXP(-LN(2)/2)*AW141+(1-EXP(-LN(2)/2))/(LN(2)/2)*AQ142*AT142*VLOOKUP('Données projet'!$B$10,Paramètres!$A$1:$I$89,3,0)*0.475*44/12</f>
        <v>1.5373766226514736E-8</v>
      </c>
      <c r="AX142" s="21">
        <f t="shared" si="114"/>
        <v>58.606364381684465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78.25999999999982</v>
      </c>
      <c r="D143" s="11">
        <f t="shared" si="140"/>
        <v>21.7112021311479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771.70752522289467</v>
      </c>
      <c r="H143" s="67">
        <f t="shared" si="110"/>
        <v>467.44984371174894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-2.2737367544323206E-13</v>
      </c>
      <c r="O143" s="13">
        <f>N143*VLOOKUP('Données projet'!$B$9,Paramètres!$A$1:$I$89,3,0)*VLOOKUP('Données projet'!$B$9,Paramètres!$A$1:$I$89,5,0)</f>
        <v>-1.3596945791505279E-13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260.31965507630525</v>
      </c>
      <c r="T143" s="59">
        <f t="shared" si="142"/>
        <v>327.31114099338032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30.85391275368227</v>
      </c>
      <c r="AA143" s="21">
        <f>EXP(-LN(2)/25)*AA142+(1-EXP(-LN(2)/25))/(LN(2)/25)*Calculateur!V143*Calculateur!X143*VLOOKUP('Données projet'!$B$9,Paramètres!$A$1:$I$89,3,0)*0.475*44/12</f>
        <v>4.3049405576359288</v>
      </c>
      <c r="AB143" s="21">
        <f>EXP(-LN(2)/2)*AB142+(1-EXP(-LN(2)/2))/(LN(2)/2)*V143*Y143*VLOOKUP('Données projet'!$B$9,Paramètres!$A$1:$I$89,3,0)*0.475*44/12</f>
        <v>9.1873450725892168E-12</v>
      </c>
      <c r="AC143" s="22">
        <f t="shared" si="111"/>
        <v>35.158853311327384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-6.7984728957526396E-14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277.11749933885778</v>
      </c>
      <c r="AO143" s="59">
        <f t="shared" si="144"/>
        <v>244.4970554728738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50.209132991766978</v>
      </c>
      <c r="AV143" s="21">
        <f>EXP(-LN(2)/25)*AV142+(1-EXP(-LN(2)/25))/(LN(2)/25)*Calculateur!AQ143*Calculateur!AS143*VLOOKUP('Données projet'!$B$10,Paramètres!$A$1:$I$89,3,0)*0.475*44/12</f>
        <v>7.1908068108673708</v>
      </c>
      <c r="AW143" s="21">
        <f>EXP(-LN(2)/2)*AW142+(1-EXP(-LN(2)/2))/(LN(2)/2)*AQ143*AT143*VLOOKUP('Données projet'!$B$10,Paramètres!$A$1:$I$89,3,0)*0.475*44/12</f>
        <v>1.087089435114529E-8</v>
      </c>
      <c r="AX143" s="21">
        <f t="shared" si="114"/>
        <v>57.399939813505242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78.818999999999818</v>
      </c>
      <c r="D144" s="11">
        <f t="shared" si="140"/>
        <v>21.848174018657858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777.07993979314699</v>
      </c>
      <c r="H144" s="67">
        <f t="shared" si="110"/>
        <v>468.66199474916209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-2.2737367544323206E-13</v>
      </c>
      <c r="O144" s="13">
        <f>N144*VLOOKUP('Données projet'!$B$9,Paramètres!$A$1:$I$89,3,0)*VLOOKUP('Données projet'!$B$9,Paramètres!$A$1:$I$89,5,0)</f>
        <v>-1.3596945791505279E-13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260.31965507630525</v>
      </c>
      <c r="T144" s="59">
        <f t="shared" si="142"/>
        <v>327.31114099338032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30.248886343611115</v>
      </c>
      <c r="AA144" s="21">
        <f>EXP(-LN(2)/25)*AA143+(1-EXP(-LN(2)/25))/(LN(2)/25)*Calculateur!V144*Calculateur!X144*VLOOKUP('Données projet'!$B$9,Paramètres!$A$1:$I$89,3,0)*0.475*44/12</f>
        <v>4.1872217317003892</v>
      </c>
      <c r="AB144" s="21">
        <f>EXP(-LN(2)/2)*AB143+(1-EXP(-LN(2)/2))/(LN(2)/2)*V144*Y144*VLOOKUP('Données projet'!$B$9,Paramètres!$A$1:$I$89,3,0)*0.475*44/12</f>
        <v>6.496434001928649E-12</v>
      </c>
      <c r="AC144" s="22">
        <f t="shared" si="111"/>
        <v>34.436108075317996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-6.7984728957526396E-14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277.11749933885778</v>
      </c>
      <c r="AO144" s="59">
        <f t="shared" si="144"/>
        <v>244.4970554728738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49.224562518345628</v>
      </c>
      <c r="AV144" s="21">
        <f>EXP(-LN(2)/25)*AV143+(1-EXP(-LN(2)/25))/(LN(2)/25)*Calculateur!AQ144*Calculateur!AS144*VLOOKUP('Données projet'!$B$10,Paramètres!$A$1:$I$89,3,0)*0.475*44/12</f>
        <v>6.9941738204761075</v>
      </c>
      <c r="AW144" s="21">
        <f>EXP(-LN(2)/2)*AW143+(1-EXP(-LN(2)/2))/(LN(2)/2)*AQ144*AT144*VLOOKUP('Données projet'!$B$10,Paramètres!$A$1:$I$89,3,0)*0.475*44/12</f>
        <v>7.686883113257368E-9</v>
      </c>
      <c r="AX144" s="21">
        <f t="shared" si="114"/>
        <v>56.218736346508621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79.377999999999815</v>
      </c>
      <c r="D145" s="11">
        <f t="shared" si="140"/>
        <v>21.985032877161469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782.45148185878895</v>
      </c>
      <c r="H145" s="67">
        <f t="shared" si="110"/>
        <v>469.87394892772255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-2.2737367544323206E-13</v>
      </c>
      <c r="O145" s="13">
        <f>N145*VLOOKUP('Données projet'!$B$9,Paramètres!$A$1:$I$89,3,0)*VLOOKUP('Données projet'!$B$9,Paramètres!$A$1:$I$89,5,0)</f>
        <v>-1.3596945791505279E-13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260.31965507630525</v>
      </c>
      <c r="T145" s="59">
        <f t="shared" si="142"/>
        <v>327.31114099338032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29.655724132411784</v>
      </c>
      <c r="AA145" s="21">
        <f>EXP(-LN(2)/25)*AA144+(1-EXP(-LN(2)/25))/(LN(2)/25)*Calculateur!V145*Calculateur!X145*VLOOKUP('Données projet'!$B$9,Paramètres!$A$1:$I$89,3,0)*0.475*44/12</f>
        <v>4.0727219332506213</v>
      </c>
      <c r="AB145" s="21">
        <f>EXP(-LN(2)/2)*AB144+(1-EXP(-LN(2)/2))/(LN(2)/2)*V145*Y145*VLOOKUP('Données projet'!$B$9,Paramètres!$A$1:$I$89,3,0)*0.475*44/12</f>
        <v>4.5936725362946084E-12</v>
      </c>
      <c r="AC145" s="22">
        <f t="shared" si="111"/>
        <v>33.728446065667001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-6.7984728957526396E-14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277.11749933885778</v>
      </c>
      <c r="AO145" s="59">
        <f t="shared" si="144"/>
        <v>244.4970554728738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48.259298871379379</v>
      </c>
      <c r="AV145" s="21">
        <f>EXP(-LN(2)/25)*AV144+(1-EXP(-LN(2)/25))/(LN(2)/25)*Calculateur!AQ145*Calculateur!AS145*VLOOKUP('Données projet'!$B$10,Paramètres!$A$1:$I$89,3,0)*0.475*44/12</f>
        <v>6.8029177695475722</v>
      </c>
      <c r="AW145" s="21">
        <f>EXP(-LN(2)/2)*AW144+(1-EXP(-LN(2)/2))/(LN(2)/2)*AQ145*AT145*VLOOKUP('Données projet'!$B$10,Paramètres!$A$1:$I$89,3,0)*0.475*44/12</f>
        <v>5.4354471755726449E-9</v>
      </c>
      <c r="AX145" s="21">
        <f t="shared" si="114"/>
        <v>55.062216646362394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79.936999999999813</v>
      </c>
      <c r="D146" s="11">
        <f t="shared" si="140"/>
        <v>22.121779594940222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787.82215827673008</v>
      </c>
      <c r="H146" s="67">
        <f t="shared" si="110"/>
        <v>471.08570779452054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-2.2737367544323206E-13</v>
      </c>
      <c r="O146" s="13">
        <f>N146*VLOOKUP('Données projet'!$B$9,Paramètres!$A$1:$I$89,3,0)*VLOOKUP('Données projet'!$B$9,Paramètres!$A$1:$I$89,5,0)</f>
        <v>-1.3596945791505279E-13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260.31965507630525</v>
      </c>
      <c r="T146" s="59">
        <f t="shared" si="142"/>
        <v>327.31114099338032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29.074193470380848</v>
      </c>
      <c r="AA146" s="21">
        <f>EXP(-LN(2)/25)*AA145+(1-EXP(-LN(2)/25))/(LN(2)/25)*Calculateur!V146*Calculateur!X146*VLOOKUP('Données projet'!$B$9,Paramètres!$A$1:$I$89,3,0)*0.475*44/12</f>
        <v>3.9613531378107449</v>
      </c>
      <c r="AB146" s="21">
        <f>EXP(-LN(2)/2)*AB145+(1-EXP(-LN(2)/2))/(LN(2)/2)*V146*Y146*VLOOKUP('Données projet'!$B$9,Paramètres!$A$1:$I$89,3,0)*0.475*44/12</f>
        <v>3.2482170009643245E-12</v>
      </c>
      <c r="AC146" s="22">
        <f t="shared" si="111"/>
        <v>33.035546608194842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-6.7984728957526396E-14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277.11749933885778</v>
      </c>
      <c r="AO146" s="59">
        <f t="shared" si="144"/>
        <v>244.4970554728738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47.312963455777449</v>
      </c>
      <c r="AV146" s="21">
        <f>EXP(-LN(2)/25)*AV145+(1-EXP(-LN(2)/25))/(LN(2)/25)*Calculateur!AQ146*Calculateur!AS146*VLOOKUP('Données projet'!$B$10,Paramètres!$A$1:$I$89,3,0)*0.475*44/12</f>
        <v>6.616891625389397</v>
      </c>
      <c r="AW146" s="21">
        <f>EXP(-LN(2)/2)*AW145+(1-EXP(-LN(2)/2))/(LN(2)/2)*AQ146*AT146*VLOOKUP('Données projet'!$B$10,Paramètres!$A$1:$I$89,3,0)*0.475*44/12</f>
        <v>3.843441556628684E-9</v>
      </c>
      <c r="AX146" s="21">
        <f t="shared" si="114"/>
        <v>53.929855085010288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80.49599999999981</v>
      </c>
      <c r="D147" s="11">
        <f t="shared" si="140"/>
        <v>22.258415047134058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793.1919758024369</v>
      </c>
      <c r="H147" s="67">
        <f t="shared" si="110"/>
        <v>472.29727287375817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-2.2737367544323206E-13</v>
      </c>
      <c r="O147" s="13">
        <f>N147*VLOOKUP('Données projet'!$B$9,Paramètres!$A$1:$I$89,3,0)*VLOOKUP('Données projet'!$B$9,Paramètres!$A$1:$I$89,5,0)</f>
        <v>-1.3596945791505279E-13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260.31965507630525</v>
      </c>
      <c r="T147" s="59">
        <f t="shared" si="142"/>
        <v>327.31114099338032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28.504066269933659</v>
      </c>
      <c r="AA147" s="21">
        <f>EXP(-LN(2)/25)*AA146+(1-EXP(-LN(2)/25))/(LN(2)/25)*Calculateur!V147*Calculateur!X147*VLOOKUP('Données projet'!$B$9,Paramètres!$A$1:$I$89,3,0)*0.475*44/12</f>
        <v>3.8530297279388024</v>
      </c>
      <c r="AB147" s="21">
        <f>EXP(-LN(2)/2)*AB146+(1-EXP(-LN(2)/2))/(LN(2)/2)*V147*Y147*VLOOKUP('Données projet'!$B$9,Paramètres!$A$1:$I$89,3,0)*0.475*44/12</f>
        <v>2.2968362681473042E-12</v>
      </c>
      <c r="AC147" s="22">
        <f t="shared" si="111"/>
        <v>32.357095997874758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-6.7984728957526396E-14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277.11749933885778</v>
      </c>
      <c r="AO147" s="59">
        <f t="shared" si="144"/>
        <v>244.4970554728738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46.385185100467865</v>
      </c>
      <c r="AV147" s="21">
        <f>EXP(-LN(2)/25)*AV146+(1-EXP(-LN(2)/25))/(LN(2)/25)*Calculateur!AQ147*Calculateur!AS147*VLOOKUP('Données projet'!$B$10,Paramètres!$A$1:$I$89,3,0)*0.475*44/12</f>
        <v>6.4359523759259165</v>
      </c>
      <c r="AW147" s="21">
        <f>EXP(-LN(2)/2)*AW146+(1-EXP(-LN(2)/2))/(LN(2)/2)*AQ147*AT147*VLOOKUP('Données projet'!$B$10,Paramètres!$A$1:$I$89,3,0)*0.475*44/12</f>
        <v>2.7177235877863225E-9</v>
      </c>
      <c r="AX147" s="21">
        <f t="shared" si="114"/>
        <v>52.821137479111506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81.054999999999808</v>
      </c>
      <c r="D148" s="11">
        <f t="shared" si="140"/>
        <v>22.394940096025689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798.56094109212665</v>
      </c>
      <c r="H148" s="67">
        <f t="shared" si="110"/>
        <v>473.50864566724437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-2.2737367544323206E-13</v>
      </c>
      <c r="O148" s="13">
        <f>N148*VLOOKUP('Données projet'!$B$9,Paramètres!$A$1:$I$89,3,0)*VLOOKUP('Données projet'!$B$9,Paramètres!$A$1:$I$89,5,0)</f>
        <v>-1.3596945791505279E-13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260.31965507630525</v>
      </c>
      <c r="T148" s="59">
        <f t="shared" si="142"/>
        <v>327.31114099338032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27.945118916143983</v>
      </c>
      <c r="AA148" s="21">
        <f>EXP(-LN(2)/25)*AA147+(1-EXP(-LN(2)/25))/(LN(2)/25)*Calculateur!V148*Calculateur!X148*VLOOKUP('Données projet'!$B$9,Paramètres!$A$1:$I$89,3,0)*0.475*44/12</f>
        <v>3.7476684274062886</v>
      </c>
      <c r="AB148" s="21">
        <f>EXP(-LN(2)/2)*AB147+(1-EXP(-LN(2)/2))/(LN(2)/2)*V148*Y148*VLOOKUP('Données projet'!$B$9,Paramètres!$A$1:$I$89,3,0)*0.475*44/12</f>
        <v>1.6241085004821623E-12</v>
      </c>
      <c r="AC148" s="22">
        <f t="shared" si="111"/>
        <v>31.692787343551895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-6.7984728957526396E-14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277.11749933885778</v>
      </c>
      <c r="AO148" s="59">
        <f t="shared" si="144"/>
        <v>244.4970554728738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45.475599912816982</v>
      </c>
      <c r="AV148" s="21">
        <f>EXP(-LN(2)/25)*AV147+(1-EXP(-LN(2)/25))/(LN(2)/25)*Calculateur!AQ148*Calculateur!AS148*VLOOKUP('Données projet'!$B$10,Paramètres!$A$1:$I$89,3,0)*0.475*44/12</f>
        <v>6.2599609197541968</v>
      </c>
      <c r="AW148" s="21">
        <f>EXP(-LN(2)/2)*AW147+(1-EXP(-LN(2)/2))/(LN(2)/2)*AQ148*AT148*VLOOKUP('Données projet'!$B$10,Paramètres!$A$1:$I$89,3,0)*0.475*44/12</f>
        <v>1.921720778314342E-9</v>
      </c>
      <c r="AX148" s="21">
        <f t="shared" si="114"/>
        <v>51.735560834492901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81.613999999999805</v>
      </c>
      <c r="D149" s="11">
        <f t="shared" si="140"/>
        <v>22.531355591316824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803.92906070490028</v>
      </c>
      <c r="H149" s="67">
        <f t="shared" si="110"/>
        <v>474.71982765487644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-2.2737367544323206E-13</v>
      </c>
      <c r="O149" s="13">
        <f>N149*VLOOKUP('Données projet'!$B$9,Paramètres!$A$1:$I$89,3,0)*VLOOKUP('Données projet'!$B$9,Paramètres!$A$1:$I$89,5,0)</f>
        <v>-1.3596945791505279E-13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260.31965507630525</v>
      </c>
      <c r="T149" s="59">
        <f t="shared" si="142"/>
        <v>327.31114099338032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27.3971321790379</v>
      </c>
      <c r="AA149" s="21">
        <f>EXP(-LN(2)/25)*AA148+(1-EXP(-LN(2)/25))/(LN(2)/25)*Calculateur!V149*Calculateur!X149*VLOOKUP('Données projet'!$B$9,Paramètres!$A$1:$I$89,3,0)*0.475*44/12</f>
        <v>3.6451882371775466</v>
      </c>
      <c r="AB149" s="21">
        <f>EXP(-LN(2)/2)*AB148+(1-EXP(-LN(2)/2))/(LN(2)/2)*V149*Y149*VLOOKUP('Données projet'!$B$9,Paramètres!$A$1:$I$89,3,0)*0.475*44/12</f>
        <v>1.1484181340736521E-12</v>
      </c>
      <c r="AC149" s="22">
        <f t="shared" si="111"/>
        <v>31.042320416216594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-6.7984728957526396E-14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277.11749933885778</v>
      </c>
      <c r="AO149" s="59">
        <f t="shared" si="144"/>
        <v>244.4970554728738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44.58385113590375</v>
      </c>
      <c r="AV149" s="21">
        <f>EXP(-LN(2)/25)*AV148+(1-EXP(-LN(2)/25))/(LN(2)/25)*Calculateur!AQ149*Calculateur!AS149*VLOOKUP('Données projet'!$B$10,Paramètres!$A$1:$I$89,3,0)*0.475*44/12</f>
        <v>6.0887819592064805</v>
      </c>
      <c r="AW149" s="21">
        <f>EXP(-LN(2)/2)*AW148+(1-EXP(-LN(2)/2))/(LN(2)/2)*AQ149*AT149*VLOOKUP('Données projet'!$B$10,Paramètres!$A$1:$I$89,3,0)*0.475*44/12</f>
        <v>1.3588617938931612E-9</v>
      </c>
      <c r="AX149" s="21">
        <f t="shared" si="114"/>
        <v>50.672633096469092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82.172999999999803</v>
      </c>
      <c r="D150" s="11">
        <f t="shared" si="140"/>
        <v>22.667662370396606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809.29634110481447</v>
      </c>
      <c r="H150" s="67">
        <f t="shared" si="110"/>
        <v>475.93082029510708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-2.2737367544323206E-13</v>
      </c>
      <c r="O150" s="13">
        <f>N150*VLOOKUP('Données projet'!$B$9,Paramètres!$A$1:$I$89,3,0)*VLOOKUP('Données projet'!$B$9,Paramètres!$A$1:$I$89,5,0)</f>
        <v>-1.3596945791505279E-13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260.31965507630525</v>
      </c>
      <c r="T150" s="59">
        <f t="shared" si="142"/>
        <v>327.31114099338032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26.859891127607561</v>
      </c>
      <c r="AA150" s="21">
        <f>EXP(-LN(2)/25)*AA149+(1-EXP(-LN(2)/25))/(LN(2)/25)*Calculateur!V150*Calculateur!X150*VLOOKUP('Données projet'!$B$9,Paramètres!$A$1:$I$89,3,0)*0.475*44/12</f>
        <v>3.5455103731398085</v>
      </c>
      <c r="AB150" s="21">
        <f>EXP(-LN(2)/2)*AB149+(1-EXP(-LN(2)/2))/(LN(2)/2)*V150*Y150*VLOOKUP('Données projet'!$B$9,Paramètres!$A$1:$I$89,3,0)*0.475*44/12</f>
        <v>8.1205425024108113E-13</v>
      </c>
      <c r="AC150" s="22">
        <f t="shared" si="111"/>
        <v>30.405401500748184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-6.7984728957526396E-14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277.11749933885778</v>
      </c>
      <c r="AO150" s="59">
        <f t="shared" si="144"/>
        <v>244.4970554728738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43.709589008592737</v>
      </c>
      <c r="AV150" s="21">
        <f>EXP(-LN(2)/25)*AV149+(1-EXP(-LN(2)/25))/(LN(2)/25)*Calculateur!AQ150*Calculateur!AS150*VLOOKUP('Données projet'!$B$10,Paramètres!$A$1:$I$89,3,0)*0.475*44/12</f>
        <v>5.922283896336852</v>
      </c>
      <c r="AW150" s="21">
        <f>EXP(-LN(2)/2)*AW149+(1-EXP(-LN(2)/2))/(LN(2)/2)*AQ150*AT150*VLOOKUP('Données projet'!$B$10,Paramètres!$A$1:$I$89,3,0)*0.475*44/12</f>
        <v>9.60860389157171E-10</v>
      </c>
      <c r="AX150" s="21">
        <f t="shared" si="114"/>
        <v>49.631872905890447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82.7319999999998</v>
      </c>
      <c r="D151" s="11">
        <f t="shared" si="140"/>
        <v>22.803861258602545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814.66278866289542</v>
      </c>
      <c r="H151" s="67">
        <f t="shared" si="110"/>
        <v>477.14162502539909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-2.2737367544323206E-13</v>
      </c>
      <c r="O151" s="13">
        <f>N151*VLOOKUP('Données projet'!$B$9,Paramètres!$A$1:$I$89,3,0)*VLOOKUP('Données projet'!$B$9,Paramètres!$A$1:$I$89,5,0)</f>
        <v>-1.3596945791505279E-13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260.31965507630525</v>
      </c>
      <c r="T151" s="59">
        <f t="shared" si="142"/>
        <v>327.31114099338032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26.333185045511087</v>
      </c>
      <c r="AA151" s="21">
        <f>EXP(-LN(2)/25)*AA150+(1-EXP(-LN(2)/25))/(LN(2)/25)*Calculateur!V151*Calculateur!X151*VLOOKUP('Données projet'!$B$9,Paramètres!$A$1:$I$89,3,0)*0.475*44/12</f>
        <v>3.4485582055360133</v>
      </c>
      <c r="AB151" s="21">
        <f>EXP(-LN(2)/2)*AB150+(1-EXP(-LN(2)/2))/(LN(2)/2)*V151*Y151*VLOOKUP('Données projet'!$B$9,Paramètres!$A$1:$I$89,3,0)*0.475*44/12</f>
        <v>5.7420906703682605E-13</v>
      </c>
      <c r="AC151" s="22">
        <f t="shared" si="111"/>
        <v>29.781743251047676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-6.7984728957526396E-14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277.11749933885778</v>
      </c>
      <c r="AO151" s="59">
        <f t="shared" si="144"/>
        <v>244.4970554728738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42.85247062835105</v>
      </c>
      <c r="AV151" s="21">
        <f>EXP(-LN(2)/25)*AV150+(1-EXP(-LN(2)/25))/(LN(2)/25)*Calculateur!AQ151*Calculateur!AS151*VLOOKUP('Données projet'!$B$10,Paramètres!$A$1:$I$89,3,0)*0.475*44/12</f>
        <v>5.7603387317521459</v>
      </c>
      <c r="AW151" s="21">
        <f>EXP(-LN(2)/2)*AW150+(1-EXP(-LN(2)/2))/(LN(2)/2)*AQ151*AT151*VLOOKUP('Données projet'!$B$10,Paramètres!$A$1:$I$89,3,0)*0.475*44/12</f>
        <v>6.7943089694658062E-10</v>
      </c>
      <c r="AX151" s="21">
        <f t="shared" si="114"/>
        <v>48.612809360782627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83.290999999999798</v>
      </c>
      <c r="D152" s="11">
        <f t="shared" si="140"/>
        <v>22.939953069474232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820.02840965909775</v>
      </c>
      <c r="H152" s="67">
        <f t="shared" si="110"/>
        <v>478.35224326266723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-2.2737367544323206E-13</v>
      </c>
      <c r="O152" s="13">
        <f>N152*VLOOKUP('Données projet'!$B$9,Paramètres!$A$1:$I$89,3,0)*VLOOKUP('Données projet'!$B$9,Paramètres!$A$1:$I$89,5,0)</f>
        <v>-1.3596945791505279E-13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260.31965507630525</v>
      </c>
      <c r="T152" s="59">
        <f t="shared" si="142"/>
        <v>327.31114099338032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25.816807348425534</v>
      </c>
      <c r="AA152" s="21">
        <f>EXP(-LN(2)/25)*AA151+(1-EXP(-LN(2)/25))/(LN(2)/25)*Calculateur!V152*Calculateur!X152*VLOOKUP('Données projet'!$B$9,Paramètres!$A$1:$I$89,3,0)*0.475*44/12</f>
        <v>3.3542572000538367</v>
      </c>
      <c r="AB152" s="21">
        <f>EXP(-LN(2)/2)*AB151+(1-EXP(-LN(2)/2))/(LN(2)/2)*V152*Y152*VLOOKUP('Données projet'!$B$9,Paramètres!$A$1:$I$89,3,0)*0.475*44/12</f>
        <v>4.0602712512054057E-13</v>
      </c>
      <c r="AC152" s="22">
        <f t="shared" si="111"/>
        <v>29.171064548479777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-6.7984728957526396E-14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277.11749933885778</v>
      </c>
      <c r="AO152" s="59">
        <f t="shared" si="144"/>
        <v>244.4970554728738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42.012159816755315</v>
      </c>
      <c r="AV152" s="21">
        <f>EXP(-LN(2)/25)*AV151+(1-EXP(-LN(2)/25))/(LN(2)/25)*Calculateur!AQ152*Calculateur!AS152*VLOOKUP('Données projet'!$B$10,Paramètres!$A$1:$I$89,3,0)*0.475*44/12</f>
        <v>5.6028219662093353</v>
      </c>
      <c r="AW152" s="21">
        <f>EXP(-LN(2)/2)*AW151+(1-EXP(-LN(2)/2))/(LN(2)/2)*AQ152*AT152*VLOOKUP('Données projet'!$B$10,Paramètres!$A$1:$I$89,3,0)*0.475*44/12</f>
        <v>4.804301945785855E-10</v>
      </c>
      <c r="AX152" s="21">
        <f t="shared" si="114"/>
        <v>47.614981783445081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83.849999999999795</v>
      </c>
      <c r="D153" s="11">
        <f t="shared" si="140"/>
        <v>23.075938604999934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825.39321028420852</v>
      </c>
      <c r="H153" s="67">
        <f t="shared" si="110"/>
        <v>479.56267640370783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-2.2737367544323206E-13</v>
      </c>
      <c r="O153" s="13">
        <f>N153*VLOOKUP('Données projet'!$B$9,Paramètres!$A$1:$I$89,3,0)*VLOOKUP('Données projet'!$B$9,Paramètres!$A$1:$I$89,5,0)</f>
        <v>-1.3596945791505279E-13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260.31965507630525</v>
      </c>
      <c r="T153" s="59">
        <f t="shared" si="142"/>
        <v>327.31114099338032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25.310555503020534</v>
      </c>
      <c r="AA153" s="21">
        <f>EXP(-LN(2)/25)*AA152+(1-EXP(-LN(2)/25))/(LN(2)/25)*Calculateur!V153*Calculateur!X153*VLOOKUP('Données projet'!$B$9,Paramètres!$A$1:$I$89,3,0)*0.475*44/12</f>
        <v>3.2625348605256446</v>
      </c>
      <c r="AB153" s="21">
        <f>EXP(-LN(2)/2)*AB152+(1-EXP(-LN(2)/2))/(LN(2)/2)*V153*Y153*VLOOKUP('Données projet'!$B$9,Paramètres!$A$1:$I$89,3,0)*0.475*44/12</f>
        <v>2.8710453351841303E-13</v>
      </c>
      <c r="AC153" s="22">
        <f t="shared" si="111"/>
        <v>28.573090363546466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-6.7984728957526396E-14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277.11749933885778</v>
      </c>
      <c r="AO153" s="59">
        <f t="shared" si="144"/>
        <v>244.4970554728738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41.188326987635982</v>
      </c>
      <c r="AV153" s="21">
        <f>EXP(-LN(2)/25)*AV152+(1-EXP(-LN(2)/25))/(LN(2)/25)*Calculateur!AQ153*Calculateur!AS153*VLOOKUP('Données projet'!$B$10,Paramètres!$A$1:$I$89,3,0)*0.475*44/12</f>
        <v>5.4496125049037394</v>
      </c>
      <c r="AW153" s="21">
        <f>EXP(-LN(2)/2)*AW152+(1-EXP(-LN(2)/2))/(LN(2)/2)*AQ153*AT153*VLOOKUP('Données projet'!$B$10,Paramètres!$A$1:$I$89,3,0)*0.475*44/12</f>
        <v>3.3971544847329031E-10</v>
      </c>
      <c r="AX153" s="21">
        <f t="shared" si="114"/>
        <v>46.63793949287944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84.408999999999793</v>
      </c>
      <c r="D154" s="11">
        <f t="shared" si="140"/>
        <v>23.211818655856568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830.75719664169821</v>
      </c>
      <c r="H154" s="67">
        <f t="shared" si="110"/>
        <v>480.77292582561648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-2.2737367544323206E-13</v>
      </c>
      <c r="O154" s="13">
        <f>N154*VLOOKUP('Données projet'!$B$9,Paramètres!$A$1:$I$89,3,0)*VLOOKUP('Données projet'!$B$9,Paramètres!$A$1:$I$89,5,0)</f>
        <v>-1.3596945791505279E-13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260.31965507630525</v>
      </c>
      <c r="T154" s="59">
        <f t="shared" si="142"/>
        <v>327.31114099338032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24.814230947520791</v>
      </c>
      <c r="AA154" s="21">
        <f>EXP(-LN(2)/25)*AA153+(1-EXP(-LN(2)/25))/(LN(2)/25)*Calculateur!V154*Calculateur!X154*VLOOKUP('Données projet'!$B$9,Paramètres!$A$1:$I$89,3,0)*0.475*44/12</f>
        <v>3.173320673195319</v>
      </c>
      <c r="AB154" s="21">
        <f>EXP(-LN(2)/2)*AB153+(1-EXP(-LN(2)/2))/(LN(2)/2)*V154*Y154*VLOOKUP('Données projet'!$B$9,Paramètres!$A$1:$I$89,3,0)*0.475*44/12</f>
        <v>2.0301356256027028E-13</v>
      </c>
      <c r="AC154" s="22">
        <f t="shared" ref="AC154:AC203" si="163">SUM(Z154:AB154)</f>
        <v>27.987551620716314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-6.7984728957526396E-14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277.11749933885778</v>
      </c>
      <c r="AO154" s="59">
        <f t="shared" si="144"/>
        <v>244.4970554728738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40.380649017807272</v>
      </c>
      <c r="AV154" s="21">
        <f>EXP(-LN(2)/25)*AV153+(1-EXP(-LN(2)/25))/(LN(2)/25)*Calculateur!AQ154*Calculateur!AS154*VLOOKUP('Données projet'!$B$10,Paramètres!$A$1:$I$89,3,0)*0.475*44/12</f>
        <v>5.3005925643744805</v>
      </c>
      <c r="AW154" s="21">
        <f>EXP(-LN(2)/2)*AW153+(1-EXP(-LN(2)/2))/(LN(2)/2)*AQ154*AT154*VLOOKUP('Données projet'!$B$10,Paramètres!$A$1:$I$89,3,0)*0.475*44/12</f>
        <v>2.4021509728929275E-10</v>
      </c>
      <c r="AX154" s="21">
        <f t="shared" ref="AX154:AX203" si="166">SUM(AU154:AW154)</f>
        <v>45.681241582421968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84.96799999999979</v>
      </c>
      <c r="D155" s="11">
        <f t="shared" si="140"/>
        <v>23.347594001643007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836.12037474952342</v>
      </c>
      <c r="H155" s="67">
        <f t="shared" si="110"/>
        <v>481.98299288619449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-2.2737367544323206E-13</v>
      </c>
      <c r="O155" s="13">
        <f>N155*VLOOKUP('Données projet'!$B$9,Paramètres!$A$1:$I$89,3,0)*VLOOKUP('Données projet'!$B$9,Paramètres!$A$1:$I$89,5,0)</f>
        <v>-1.3596945791505279E-13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260.31965507630525</v>
      </c>
      <c r="T155" s="59">
        <f t="shared" si="142"/>
        <v>327.31114099338032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24.32763901382631</v>
      </c>
      <c r="AA155" s="21">
        <f>EXP(-LN(2)/25)*AA154+(1-EXP(-LN(2)/25))/(LN(2)/25)*Calculateur!V155*Calculateur!X155*VLOOKUP('Données projet'!$B$9,Paramètres!$A$1:$I$89,3,0)*0.475*44/12</f>
        <v>3.0865460525091115</v>
      </c>
      <c r="AB155" s="21">
        <f>EXP(-LN(2)/2)*AB154+(1-EXP(-LN(2)/2))/(LN(2)/2)*V155*Y155*VLOOKUP('Données projet'!$B$9,Paramètres!$A$1:$I$89,3,0)*0.475*44/12</f>
        <v>1.4355226675920651E-13</v>
      </c>
      <c r="AC155" s="22">
        <f t="shared" si="163"/>
        <v>27.414185066335563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-6.7984728957526396E-14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277.11749933885778</v>
      </c>
      <c r="AO155" s="59">
        <f t="shared" si="144"/>
        <v>244.4970554728738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39.588809120331987</v>
      </c>
      <c r="AV155" s="21">
        <f>EXP(-LN(2)/25)*AV154+(1-EXP(-LN(2)/25))/(LN(2)/25)*Calculateur!AQ155*Calculateur!AS155*VLOOKUP('Données projet'!$B$10,Paramètres!$A$1:$I$89,3,0)*0.475*44/12</f>
        <v>5.1556475819556118</v>
      </c>
      <c r="AW155" s="21">
        <f>EXP(-LN(2)/2)*AW154+(1-EXP(-LN(2)/2))/(LN(2)/2)*AQ155*AT155*VLOOKUP('Données projet'!$B$10,Paramètres!$A$1:$I$89,3,0)*0.475*44/12</f>
        <v>1.6985772423664515E-10</v>
      </c>
      <c r="AX155" s="21">
        <f t="shared" si="166"/>
        <v>44.744456702457455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85.526999999999788</v>
      </c>
      <c r="D156" s="11">
        <f t="shared" si="140"/>
        <v>23.483265411107197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841.48275054187854</v>
      </c>
      <c r="H156" s="67">
        <f t="shared" si="110"/>
        <v>483.19287892434465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-2.2737367544323206E-13</v>
      </c>
      <c r="O156" s="13">
        <f>N156*VLOOKUP('Données projet'!$B$9,Paramètres!$A$1:$I$89,3,0)*VLOOKUP('Données projet'!$B$9,Paramètres!$A$1:$I$89,5,0)</f>
        <v>-1.3596945791505279E-13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260.31965507630525</v>
      </c>
      <c r="T156" s="59">
        <f t="shared" si="142"/>
        <v>327.31114099338032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23.850588851159806</v>
      </c>
      <c r="AA156" s="21">
        <f>EXP(-LN(2)/25)*AA155+(1-EXP(-LN(2)/25))/(LN(2)/25)*Calculateur!V156*Calculateur!X156*VLOOKUP('Données projet'!$B$9,Paramètres!$A$1:$I$89,3,0)*0.475*44/12</f>
        <v>3.0021442883888474</v>
      </c>
      <c r="AB156" s="21">
        <f>EXP(-LN(2)/2)*AB155+(1-EXP(-LN(2)/2))/(LN(2)/2)*V156*Y156*VLOOKUP('Données projet'!$B$9,Paramètres!$A$1:$I$89,3,0)*0.475*44/12</f>
        <v>1.0150678128013514E-13</v>
      </c>
      <c r="AC156" s="22">
        <f t="shared" si="163"/>
        <v>26.852733139548757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-6.7984728957526396E-14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277.11749933885778</v>
      </c>
      <c r="AO156" s="59">
        <f t="shared" si="144"/>
        <v>244.4970554728738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38.81249672027154</v>
      </c>
      <c r="AV156" s="21">
        <f>EXP(-LN(2)/25)*AV155+(1-EXP(-LN(2)/25))/(LN(2)/25)*Calculateur!AQ156*Calculateur!AS156*VLOOKUP('Données projet'!$B$10,Paramètres!$A$1:$I$89,3,0)*0.475*44/12</f>
        <v>5.0146661277033129</v>
      </c>
      <c r="AW156" s="21">
        <f>EXP(-LN(2)/2)*AW155+(1-EXP(-LN(2)/2))/(LN(2)/2)*AQ156*AT156*VLOOKUP('Données projet'!$B$10,Paramètres!$A$1:$I$89,3,0)*0.475*44/12</f>
        <v>1.2010754864464638E-10</v>
      </c>
      <c r="AX156" s="21">
        <f t="shared" si="166"/>
        <v>43.827162848094964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86.085999999999785</v>
      </c>
      <c r="D157" s="11">
        <f t="shared" si="140"/>
        <v>23.618833642367036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846.84432987090179</v>
      </c>
      <c r="H157" s="67">
        <f t="shared" si="110"/>
        <v>484.40258526045551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-2.2737367544323206E-13</v>
      </c>
      <c r="O157" s="13">
        <f>N157*VLOOKUP('Données projet'!$B$9,Paramètres!$A$1:$I$89,3,0)*VLOOKUP('Données projet'!$B$9,Paramètres!$A$1:$I$89,5,0)</f>
        <v>-1.3596945791505279E-13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260.31965507630525</v>
      </c>
      <c r="T157" s="59">
        <f t="shared" si="142"/>
        <v>327.31114099338032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23.382893351211322</v>
      </c>
      <c r="AA157" s="21">
        <f>EXP(-LN(2)/25)*AA156+(1-EXP(-LN(2)/25))/(LN(2)/25)*Calculateur!V157*Calculateur!X157*VLOOKUP('Données projet'!$B$9,Paramètres!$A$1:$I$89,3,0)*0.475*44/12</f>
        <v>2.9200504949469477</v>
      </c>
      <c r="AB157" s="21">
        <f>EXP(-LN(2)/2)*AB156+(1-EXP(-LN(2)/2))/(LN(2)/2)*V157*Y157*VLOOKUP('Données projet'!$B$9,Paramètres!$A$1:$I$89,3,0)*0.475*44/12</f>
        <v>7.1776133379603257E-14</v>
      </c>
      <c r="AC157" s="22">
        <f t="shared" si="163"/>
        <v>26.302943846158342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-6.7984728957526396E-14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277.11749933885778</v>
      </c>
      <c r="AO157" s="59">
        <f t="shared" si="144"/>
        <v>244.4970554728738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38.051407332872472</v>
      </c>
      <c r="AV157" s="21">
        <f>EXP(-LN(2)/25)*AV156+(1-EXP(-LN(2)/25))/(LN(2)/25)*Calculateur!AQ157*Calculateur!AS157*VLOOKUP('Données projet'!$B$10,Paramètres!$A$1:$I$89,3,0)*0.475*44/12</f>
        <v>4.8775398187314352</v>
      </c>
      <c r="AW157" s="21">
        <f>EXP(-LN(2)/2)*AW156+(1-EXP(-LN(2)/2))/(LN(2)/2)*AQ157*AT157*VLOOKUP('Données projet'!$B$10,Paramètres!$A$1:$I$89,3,0)*0.475*44/12</f>
        <v>8.4928862118322577E-11</v>
      </c>
      <c r="AX157" s="21">
        <f t="shared" si="166"/>
        <v>42.928947151688838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86.644999999999783</v>
      </c>
      <c r="D158" s="11">
        <f t="shared" si="140"/>
        <v>23.75429944312544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852.20511850833509</v>
      </c>
      <c r="H158" s="67">
        <f t="shared" si="110"/>
        <v>485.61211319677642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-2.2737367544323206E-13</v>
      </c>
      <c r="O158" s="13">
        <f>N158*VLOOKUP('Données projet'!$B$9,Paramètres!$A$1:$I$89,3,0)*VLOOKUP('Données projet'!$B$9,Paramètres!$A$1:$I$89,5,0)</f>
        <v>-1.3596945791505279E-13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260.31965507630525</v>
      </c>
      <c r="T158" s="59">
        <f t="shared" si="142"/>
        <v>327.31114099338032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22.924369074750743</v>
      </c>
      <c r="AA158" s="21">
        <f>EXP(-LN(2)/25)*AA157+(1-EXP(-LN(2)/25))/(LN(2)/25)*Calculateur!V158*Calculateur!X158*VLOOKUP('Données projet'!$B$9,Paramètres!$A$1:$I$89,3,0)*0.475*44/12</f>
        <v>2.8402015606038415</v>
      </c>
      <c r="AB158" s="21">
        <f>EXP(-LN(2)/2)*AB157+(1-EXP(-LN(2)/2))/(LN(2)/2)*V158*Y158*VLOOKUP('Données projet'!$B$9,Paramètres!$A$1:$I$89,3,0)*0.475*44/12</f>
        <v>5.0753390640067571E-14</v>
      </c>
      <c r="AC158" s="22">
        <f t="shared" si="163"/>
        <v>25.764570635354634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-6.7984728957526396E-14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277.11749933885778</v>
      </c>
      <c r="AO158" s="59">
        <f t="shared" si="144"/>
        <v>244.4970554728738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37.305242444141612</v>
      </c>
      <c r="AV158" s="21">
        <f>EXP(-LN(2)/25)*AV157+(1-EXP(-LN(2)/25))/(LN(2)/25)*Calculateur!AQ158*Calculateur!AS158*VLOOKUP('Données projet'!$B$10,Paramètres!$A$1:$I$89,3,0)*0.475*44/12</f>
        <v>4.7441632358895527</v>
      </c>
      <c r="AW158" s="21">
        <f>EXP(-LN(2)/2)*AW157+(1-EXP(-LN(2)/2))/(LN(2)/2)*AQ158*AT158*VLOOKUP('Données projet'!$B$10,Paramètres!$A$1:$I$89,3,0)*0.475*44/12</f>
        <v>6.0053774322323188E-11</v>
      </c>
      <c r="AX158" s="21">
        <f t="shared" si="166"/>
        <v>42.049405680091219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87.20399999999978</v>
      </c>
      <c r="D159" s="11">
        <f t="shared" si="140"/>
        <v>23.889663550879664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857.5651221471395</v>
      </c>
      <c r="H159" s="67">
        <f t="shared" si="110"/>
        <v>486.82146401778164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-2.2737367544323206E-13</v>
      </c>
      <c r="O159" s="13">
        <f>N159*VLOOKUP('Données projet'!$B$9,Paramètres!$A$1:$I$89,3,0)*VLOOKUP('Données projet'!$B$9,Paramètres!$A$1:$I$89,5,0)</f>
        <v>-1.3596945791505279E-13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260.31965507630525</v>
      </c>
      <c r="T159" s="59">
        <f t="shared" si="142"/>
        <v>327.31114099338032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22.474836179679361</v>
      </c>
      <c r="AA159" s="21">
        <f>EXP(-LN(2)/25)*AA158+(1-EXP(-LN(2)/25))/(LN(2)/25)*Calculateur!V159*Calculateur!X159*VLOOKUP('Données projet'!$B$9,Paramètres!$A$1:$I$89,3,0)*0.475*44/12</f>
        <v>2.7625360995694206</v>
      </c>
      <c r="AB159" s="21">
        <f>EXP(-LN(2)/2)*AB158+(1-EXP(-LN(2)/2))/(LN(2)/2)*V159*Y159*VLOOKUP('Données projet'!$B$9,Paramètres!$A$1:$I$89,3,0)*0.475*44/12</f>
        <v>3.5888066689801628E-14</v>
      </c>
      <c r="AC159" s="22">
        <f t="shared" si="163"/>
        <v>25.237372279248817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-6.7984728957526396E-14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277.11749933885778</v>
      </c>
      <c r="AO159" s="59">
        <f t="shared" si="144"/>
        <v>244.4970554728738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36.573709393763117</v>
      </c>
      <c r="AV159" s="21">
        <f>EXP(-LN(2)/25)*AV158+(1-EXP(-LN(2)/25))/(LN(2)/25)*Calculateur!AQ159*Calculateur!AS159*VLOOKUP('Données projet'!$B$10,Paramètres!$A$1:$I$89,3,0)*0.475*44/12</f>
        <v>4.6144338427194516</v>
      </c>
      <c r="AW159" s="21">
        <f>EXP(-LN(2)/2)*AW158+(1-EXP(-LN(2)/2))/(LN(2)/2)*AQ159*AT159*VLOOKUP('Données projet'!$B$10,Paramètres!$A$1:$I$89,3,0)*0.475*44/12</f>
        <v>4.2464431059161289E-11</v>
      </c>
      <c r="AX159" s="21">
        <f t="shared" si="166"/>
        <v>41.188143236525029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87.762999999999778</v>
      </c>
      <c r="D160" s="11">
        <f t="shared" si="140"/>
        <v>24.024926693125117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862.92434640306931</v>
      </c>
      <c r="H160" s="67">
        <f t="shared" si="110"/>
        <v>488.03063899052586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-2.2737367544323206E-13</v>
      </c>
      <c r="O160" s="13">
        <f>N160*VLOOKUP('Données projet'!$B$9,Paramètres!$A$1:$I$89,3,0)*VLOOKUP('Données projet'!$B$9,Paramètres!$A$1:$I$89,5,0)</f>
        <v>-1.3596945791505279E-13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260.31965507630525</v>
      </c>
      <c r="T160" s="59">
        <f t="shared" si="142"/>
        <v>327.31114099338032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22.034118350492335</v>
      </c>
      <c r="AA160" s="21">
        <f>EXP(-LN(2)/25)*AA159+(1-EXP(-LN(2)/25))/(LN(2)/25)*Calculateur!V160*Calculateur!X160*VLOOKUP('Données projet'!$B$9,Paramètres!$A$1:$I$89,3,0)*0.475*44/12</f>
        <v>2.6869944046512351</v>
      </c>
      <c r="AB160" s="21">
        <f>EXP(-LN(2)/2)*AB159+(1-EXP(-LN(2)/2))/(LN(2)/2)*V160*Y160*VLOOKUP('Données projet'!$B$9,Paramètres!$A$1:$I$89,3,0)*0.475*44/12</f>
        <v>2.5376695320033785E-14</v>
      </c>
      <c r="AC160" s="22">
        <f t="shared" si="163"/>
        <v>24.721112755143594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-6.7984728957526396E-14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277.11749933885778</v>
      </c>
      <c r="AO160" s="59">
        <f t="shared" si="144"/>
        <v>244.4970554728738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35.856521260311446</v>
      </c>
      <c r="AV160" s="21">
        <f>EXP(-LN(2)/25)*AV159+(1-EXP(-LN(2)/25))/(LN(2)/25)*Calculateur!AQ160*Calculateur!AS160*VLOOKUP('Données projet'!$B$10,Paramètres!$A$1:$I$89,3,0)*0.475*44/12</f>
        <v>4.4882519066277586</v>
      </c>
      <c r="AW160" s="21">
        <f>EXP(-LN(2)/2)*AW159+(1-EXP(-LN(2)/2))/(LN(2)/2)*AQ160*AT160*VLOOKUP('Données projet'!$B$10,Paramètres!$A$1:$I$89,3,0)*0.475*44/12</f>
        <v>3.0026887161161594E-11</v>
      </c>
      <c r="AX160" s="21">
        <f t="shared" si="166"/>
        <v>40.344773166969233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88.321999999999775</v>
      </c>
      <c r="D161" s="11">
        <f t="shared" si="140"/>
        <v>24.160089587553845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868.28279681620336</v>
      </c>
      <c r="H161" s="67">
        <f t="shared" si="110"/>
        <v>489.23963936498916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-2.2737367544323206E-13</v>
      </c>
      <c r="O161" s="13">
        <f>N161*VLOOKUP('Données projet'!$B$9,Paramètres!$A$1:$I$89,3,0)*VLOOKUP('Données projet'!$B$9,Paramètres!$A$1:$I$89,5,0)</f>
        <v>-1.3596945791505279E-13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260.31965507630525</v>
      </c>
      <c r="T161" s="59">
        <f t="shared" si="142"/>
        <v>327.31114099338032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21.602042729124335</v>
      </c>
      <c r="AA161" s="21">
        <f>EXP(-LN(2)/25)*AA160+(1-EXP(-LN(2)/25))/(LN(2)/25)*Calculateur!V161*Calculateur!X161*VLOOKUP('Données projet'!$B$9,Paramètres!$A$1:$I$89,3,0)*0.475*44/12</f>
        <v>2.6135184013531525</v>
      </c>
      <c r="AB161" s="21">
        <f>EXP(-LN(2)/2)*AB160+(1-EXP(-LN(2)/2))/(LN(2)/2)*V161*Y161*VLOOKUP('Données projet'!$B$9,Paramètres!$A$1:$I$89,3,0)*0.475*44/12</f>
        <v>1.7944033344900814E-14</v>
      </c>
      <c r="AC161" s="22">
        <f t="shared" si="163"/>
        <v>24.215561130477507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-6.7984728957526396E-14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277.11749933885778</v>
      </c>
      <c r="AO161" s="59">
        <f t="shared" si="144"/>
        <v>244.4970554728738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35.153396748715195</v>
      </c>
      <c r="AV161" s="21">
        <f>EXP(-LN(2)/25)*AV160+(1-EXP(-LN(2)/25))/(LN(2)/25)*Calculateur!AQ161*Calculateur!AS161*VLOOKUP('Données projet'!$B$10,Paramètres!$A$1:$I$89,3,0)*0.475*44/12</f>
        <v>4.3655204222141126</v>
      </c>
      <c r="AW161" s="21">
        <f>EXP(-LN(2)/2)*AW160+(1-EXP(-LN(2)/2))/(LN(2)/2)*AQ161*AT161*VLOOKUP('Données projet'!$B$10,Paramètres!$A$1:$I$89,3,0)*0.475*44/12</f>
        <v>2.1232215529580644E-11</v>
      </c>
      <c r="AX161" s="21">
        <f t="shared" si="166"/>
        <v>39.518917170950537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88.880999999999773</v>
      </c>
      <c r="D162" s="11">
        <f t="shared" si="140"/>
        <v>24.295152942247746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873.64047885243701</v>
      </c>
      <c r="H162" s="67">
        <f t="shared" si="110"/>
        <v>490.44846637441435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-2.2737367544323206E-13</v>
      </c>
      <c r="O162" s="13">
        <f>N162*VLOOKUP('Données projet'!$B$9,Paramètres!$A$1:$I$89,3,0)*VLOOKUP('Données projet'!$B$9,Paramètres!$A$1:$I$89,5,0)</f>
        <v>-1.3596945791505279E-13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260.31965507630525</v>
      </c>
      <c r="T162" s="59">
        <f t="shared" si="142"/>
        <v>327.31114099338032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21.178439847151257</v>
      </c>
      <c r="AA162" s="21">
        <f>EXP(-LN(2)/25)*AA161+(1-EXP(-LN(2)/25))/(LN(2)/25)*Calculateur!V162*Calculateur!X162*VLOOKUP('Données projet'!$B$9,Paramètres!$A$1:$I$89,3,0)*0.475*44/12</f>
        <v>2.5420516032291909</v>
      </c>
      <c r="AB162" s="21">
        <f>EXP(-LN(2)/2)*AB161+(1-EXP(-LN(2)/2))/(LN(2)/2)*V162*Y162*VLOOKUP('Données projet'!$B$9,Paramètres!$A$1:$I$89,3,0)*0.475*44/12</f>
        <v>1.2688347660016893E-14</v>
      </c>
      <c r="AC162" s="22">
        <f t="shared" si="163"/>
        <v>23.720491450380461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-6.7984728957526396E-14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277.11749933885778</v>
      </c>
      <c r="AO162" s="59">
        <f t="shared" si="144"/>
        <v>244.4970554728738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34.464060079927741</v>
      </c>
      <c r="AV162" s="21">
        <f>EXP(-LN(2)/25)*AV161+(1-EXP(-LN(2)/25))/(LN(2)/25)*Calculateur!AQ162*Calculateur!AS162*VLOOKUP('Données projet'!$B$10,Paramètres!$A$1:$I$89,3,0)*0.475*44/12</f>
        <v>4.2461450366959266</v>
      </c>
      <c r="AW162" s="21">
        <f>EXP(-LN(2)/2)*AW161+(1-EXP(-LN(2)/2))/(LN(2)/2)*AQ162*AT162*VLOOKUP('Données projet'!$B$10,Paramètres!$A$1:$I$89,3,0)*0.475*44/12</f>
        <v>1.5013443580580797E-11</v>
      </c>
      <c r="AX162" s="21">
        <f t="shared" si="166"/>
        <v>38.710205116638683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89.43999999999977</v>
      </c>
      <c r="D163" s="11">
        <f t="shared" si="140"/>
        <v>24.430117455866995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878.99739790493641</v>
      </c>
      <c r="H163" s="67">
        <f t="shared" si="110"/>
        <v>491.65712123563458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-2.2737367544323206E-13</v>
      </c>
      <c r="O163" s="13">
        <f>N163*VLOOKUP('Données projet'!$B$9,Paramètres!$A$1:$I$89,3,0)*VLOOKUP('Données projet'!$B$9,Paramètres!$A$1:$I$89,5,0)</f>
        <v>-1.3596945791505279E-13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260.31965507630525</v>
      </c>
      <c r="T163" s="59">
        <f t="shared" si="142"/>
        <v>327.31114099338032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20.763143559321424</v>
      </c>
      <c r="AA163" s="21">
        <f>EXP(-LN(2)/25)*AA162+(1-EXP(-LN(2)/25))/(LN(2)/25)*Calculateur!V163*Calculateur!X163*VLOOKUP('Données projet'!$B$9,Paramètres!$A$1:$I$89,3,0)*0.475*44/12</f>
        <v>2.4725390684582047</v>
      </c>
      <c r="AB163" s="21">
        <f>EXP(-LN(2)/2)*AB162+(1-EXP(-LN(2)/2))/(LN(2)/2)*V163*Y163*VLOOKUP('Données projet'!$B$9,Paramètres!$A$1:$I$89,3,0)*0.475*44/12</f>
        <v>8.9720166724504071E-15</v>
      </c>
      <c r="AC163" s="22">
        <f t="shared" si="163"/>
        <v>23.235682627779639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-6.7984728957526396E-14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277.11749933885778</v>
      </c>
      <c r="AO163" s="59">
        <f t="shared" si="144"/>
        <v>244.4970554728738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33.788240882761357</v>
      </c>
      <c r="AV163" s="21">
        <f>EXP(-LN(2)/25)*AV162+(1-EXP(-LN(2)/25))/(LN(2)/25)*Calculateur!AQ163*Calculateur!AS163*VLOOKUP('Données projet'!$B$10,Paramètres!$A$1:$I$89,3,0)*0.475*44/12</f>
        <v>4.1300339773724133</v>
      </c>
      <c r="AW163" s="21">
        <f>EXP(-LN(2)/2)*AW162+(1-EXP(-LN(2)/2))/(LN(2)/2)*AQ163*AT163*VLOOKUP('Données projet'!$B$10,Paramètres!$A$1:$I$89,3,0)*0.475*44/12</f>
        <v>1.0616107764790322E-11</v>
      </c>
      <c r="AX163" s="21">
        <f t="shared" si="166"/>
        <v>37.918274860144386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89.998999999999768</v>
      </c>
      <c r="D164" s="11">
        <f t="shared" si="140"/>
        <v>24.564983817833372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884.35355929555408</v>
      </c>
      <c r="H164" s="67">
        <f t="shared" si="110"/>
        <v>492.86560514939265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-2.2737367544323206E-13</v>
      </c>
      <c r="O164" s="13">
        <f>N164*VLOOKUP('Données projet'!$B$9,Paramètres!$A$1:$I$89,3,0)*VLOOKUP('Données projet'!$B$9,Paramètres!$A$1:$I$89,5,0)</f>
        <v>-1.3596945791505279E-13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260.31965507630525</v>
      </c>
      <c r="T164" s="59">
        <f t="shared" si="142"/>
        <v>327.31114099338032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20.35599097839021</v>
      </c>
      <c r="AA164" s="21">
        <f>EXP(-LN(2)/25)*AA163+(1-EXP(-LN(2)/25))/(LN(2)/25)*Calculateur!V164*Calculateur!X164*VLOOKUP('Données projet'!$B$9,Paramètres!$A$1:$I$89,3,0)*0.475*44/12</f>
        <v>2.4049273576060366</v>
      </c>
      <c r="AB164" s="21">
        <f>EXP(-LN(2)/2)*AB163+(1-EXP(-LN(2)/2))/(LN(2)/2)*V164*Y164*VLOOKUP('Données projet'!$B$9,Paramètres!$A$1:$I$89,3,0)*0.475*44/12</f>
        <v>6.3441738300084463E-15</v>
      </c>
      <c r="AC164" s="22">
        <f t="shared" si="163"/>
        <v>22.760918335996255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-6.7984728957526396E-14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277.11749933885778</v>
      </c>
      <c r="AO164" s="59">
        <f t="shared" si="144"/>
        <v>244.4970554728738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33.125674087842398</v>
      </c>
      <c r="AV164" s="21">
        <f>EXP(-LN(2)/25)*AV163+(1-EXP(-LN(2)/25))/(LN(2)/25)*Calculateur!AQ164*Calculateur!AS164*VLOOKUP('Données projet'!$B$10,Paramètres!$A$1:$I$89,3,0)*0.475*44/12</f>
        <v>4.0170979810721175</v>
      </c>
      <c r="AW164" s="21">
        <f>EXP(-LN(2)/2)*AW163+(1-EXP(-LN(2)/2))/(LN(2)/2)*AQ164*AT164*VLOOKUP('Données projet'!$B$10,Paramètres!$A$1:$I$89,3,0)*0.475*44/12</f>
        <v>7.5067217902903984E-12</v>
      </c>
      <c r="AX164" s="21">
        <f t="shared" si="166"/>
        <v>37.142772068922021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90.557999999999765</v>
      </c>
      <c r="D165" s="11">
        <f t="shared" si="140"/>
        <v>24.699752708509081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889.70896827620857</v>
      </c>
      <c r="H165" s="67">
        <f t="shared" si="110"/>
        <v>494.0739193006529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-2.2737367544323206E-13</v>
      </c>
      <c r="O165" s="13">
        <f>N165*VLOOKUP('Données projet'!$B$9,Paramètres!$A$1:$I$89,3,0)*VLOOKUP('Données projet'!$B$9,Paramètres!$A$1:$I$89,5,0)</f>
        <v>-1.3596945791505279E-13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260.31965507630525</v>
      </c>
      <c r="T165" s="59">
        <f t="shared" si="142"/>
        <v>327.31114099338032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19.956822411232505</v>
      </c>
      <c r="AA165" s="21">
        <f>EXP(-LN(2)/25)*AA164+(1-EXP(-LN(2)/25))/(LN(2)/25)*Calculateur!V165*Calculateur!X165*VLOOKUP('Données projet'!$B$9,Paramètres!$A$1:$I$89,3,0)*0.475*44/12</f>
        <v>2.3391644925426665</v>
      </c>
      <c r="AB165" s="21">
        <f>EXP(-LN(2)/2)*AB164+(1-EXP(-LN(2)/2))/(LN(2)/2)*V165*Y165*VLOOKUP('Données projet'!$B$9,Paramètres!$A$1:$I$89,3,0)*0.475*44/12</f>
        <v>4.4860083362252035E-15</v>
      </c>
      <c r="AC165" s="22">
        <f t="shared" si="163"/>
        <v>22.295986903775177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-6.7984728957526396E-14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277.11749933885778</v>
      </c>
      <c r="AO165" s="59">
        <f t="shared" si="144"/>
        <v>244.4970554728738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32.47609982364596</v>
      </c>
      <c r="AV165" s="21">
        <f>EXP(-LN(2)/25)*AV164+(1-EXP(-LN(2)/25))/(LN(2)/25)*Calculateur!AQ165*Calculateur!AS165*VLOOKUP('Données projet'!$B$10,Paramètres!$A$1:$I$89,3,0)*0.475*44/12</f>
        <v>3.9072502255296988</v>
      </c>
      <c r="AW165" s="21">
        <f>EXP(-LN(2)/2)*AW164+(1-EXP(-LN(2)/2))/(LN(2)/2)*AQ165*AT165*VLOOKUP('Données projet'!$B$10,Paramètres!$A$1:$I$89,3,0)*0.475*44/12</f>
        <v>5.3080538823951611E-12</v>
      </c>
      <c r="AX165" s="21">
        <f t="shared" si="166"/>
        <v>36.383350049180969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91.116999999999763</v>
      </c>
      <c r="D166" s="11">
        <f t="shared" si="140"/>
        <v>24.834424799371007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895.06363003023068</v>
      </c>
      <c r="H166" s="67">
        <f t="shared" si="110"/>
        <v>495.28206485890405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-2.2737367544323206E-13</v>
      </c>
      <c r="O166" s="13">
        <f>N166*VLOOKUP('Données projet'!$B$9,Paramètres!$A$1:$I$89,3,0)*VLOOKUP('Données projet'!$B$9,Paramètres!$A$1:$I$89,5,0)</f>
        <v>-1.3596945791505279E-13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260.31965507630525</v>
      </c>
      <c r="T166" s="59">
        <f t="shared" si="142"/>
        <v>327.31114099338032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19.565481296207977</v>
      </c>
      <c r="AA166" s="21">
        <f>EXP(-LN(2)/25)*AA165+(1-EXP(-LN(2)/25))/(LN(2)/25)*Calculateur!V166*Calculateur!X166*VLOOKUP('Données projet'!$B$9,Paramètres!$A$1:$I$89,3,0)*0.475*44/12</f>
        <v>2.275199916482773</v>
      </c>
      <c r="AB166" s="21">
        <f>EXP(-LN(2)/2)*AB165+(1-EXP(-LN(2)/2))/(LN(2)/2)*V166*Y166*VLOOKUP('Données projet'!$B$9,Paramètres!$A$1:$I$89,3,0)*0.475*44/12</f>
        <v>3.1720869150042232E-15</v>
      </c>
      <c r="AC166" s="22">
        <f t="shared" si="163"/>
        <v>21.840681212690754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-6.7984728957526396E-14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277.11749933885778</v>
      </c>
      <c r="AO166" s="59">
        <f t="shared" si="144"/>
        <v>244.4970554728738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31.83926331456923</v>
      </c>
      <c r="AV166" s="21">
        <f>EXP(-LN(2)/25)*AV165+(1-EXP(-LN(2)/25))/(LN(2)/25)*Calculateur!AQ166*Calculateur!AS166*VLOOKUP('Données projet'!$B$10,Paramètres!$A$1:$I$89,3,0)*0.475*44/12</f>
        <v>3.8004062626392301</v>
      </c>
      <c r="AW166" s="21">
        <f>EXP(-LN(2)/2)*AW165+(1-EXP(-LN(2)/2))/(LN(2)/2)*AQ166*AT166*VLOOKUP('Données projet'!$B$10,Paramètres!$A$1:$I$89,3,0)*0.475*44/12</f>
        <v>3.7533608951451992E-12</v>
      </c>
      <c r="AX166" s="21">
        <f t="shared" si="166"/>
        <v>35.63966957721221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91.67599999999976</v>
      </c>
      <c r="D167" s="11">
        <f t="shared" si="140"/>
        <v>24.969000753180424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900.4175496736716</v>
      </c>
      <c r="H167" s="67">
        <f t="shared" si="110"/>
        <v>496.49004297845545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-2.2737367544323206E-13</v>
      </c>
      <c r="O167" s="13">
        <f>N167*VLOOKUP('Données projet'!$B$9,Paramètres!$A$1:$I$89,3,0)*VLOOKUP('Données projet'!$B$9,Paramètres!$A$1:$I$89,5,0)</f>
        <v>-1.3596945791505279E-13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260.31965507630525</v>
      </c>
      <c r="T167" s="59">
        <f t="shared" si="142"/>
        <v>327.31114099338032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19.181814141754568</v>
      </c>
      <c r="AA167" s="21">
        <f>EXP(-LN(2)/25)*AA166+(1-EXP(-LN(2)/25))/(LN(2)/25)*Calculateur!V167*Calculateur!X167*VLOOKUP('Données projet'!$B$9,Paramètres!$A$1:$I$89,3,0)*0.475*44/12</f>
        <v>2.2129844551189879</v>
      </c>
      <c r="AB167" s="21">
        <f>EXP(-LN(2)/2)*AB166+(1-EXP(-LN(2)/2))/(LN(2)/2)*V167*Y167*VLOOKUP('Données projet'!$B$9,Paramètres!$A$1:$I$89,3,0)*0.475*44/12</f>
        <v>2.2430041681126018E-15</v>
      </c>
      <c r="AC167" s="22">
        <f t="shared" si="163"/>
        <v>21.39479859687356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-6.7984728957526396E-14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277.11749933885778</v>
      </c>
      <c r="AO167" s="59">
        <f t="shared" si="144"/>
        <v>244.4970554728738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31.214914781003582</v>
      </c>
      <c r="AV167" s="21">
        <f>EXP(-LN(2)/25)*AV166+(1-EXP(-LN(2)/25))/(LN(2)/25)*Calculateur!AQ167*Calculateur!AS167*VLOOKUP('Données projet'!$B$10,Paramètres!$A$1:$I$89,3,0)*0.475*44/12</f>
        <v>3.696483953532681</v>
      </c>
      <c r="AW167" s="21">
        <f>EXP(-LN(2)/2)*AW166+(1-EXP(-LN(2)/2))/(LN(2)/2)*AQ167*AT167*VLOOKUP('Données projet'!$B$10,Paramètres!$A$1:$I$89,3,0)*0.475*44/12</f>
        <v>2.6540269411975805E-12</v>
      </c>
      <c r="AX167" s="21">
        <f t="shared" si="166"/>
        <v>34.911398734538921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92.234999999999758</v>
      </c>
      <c r="D168" s="11">
        <f t="shared" si="140"/>
        <v>25.103481224148709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905.77073225658467</v>
      </c>
      <c r="H168" s="67">
        <f t="shared" si="110"/>
        <v>497.69785479872519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-2.2737367544323206E-13</v>
      </c>
      <c r="O168" s="13">
        <f>N168*VLOOKUP('Données projet'!$B$9,Paramètres!$A$1:$I$89,3,0)*VLOOKUP('Données projet'!$B$9,Paramètres!$A$1:$I$89,5,0)</f>
        <v>-1.3596945791505279E-13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260.31965507630525</v>
      </c>
      <c r="T168" s="59">
        <f t="shared" si="142"/>
        <v>327.31114099338032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18.805670466186132</v>
      </c>
      <c r="AA168" s="21">
        <f>EXP(-LN(2)/25)*AA167+(1-EXP(-LN(2)/25))/(LN(2)/25)*Calculateur!V168*Calculateur!X168*VLOOKUP('Données projet'!$B$9,Paramètres!$A$1:$I$89,3,0)*0.475*44/12</f>
        <v>2.1524702788179644</v>
      </c>
      <c r="AB168" s="21">
        <f>EXP(-LN(2)/2)*AB167+(1-EXP(-LN(2)/2))/(LN(2)/2)*V168*Y168*VLOOKUP('Données projet'!$B$9,Paramètres!$A$1:$I$89,3,0)*0.475*44/12</f>
        <v>1.5860434575021116E-15</v>
      </c>
      <c r="AC168" s="22">
        <f t="shared" si="163"/>
        <v>20.958140745004098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-6.7984728957526396E-14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277.11749933885778</v>
      </c>
      <c r="AO168" s="59">
        <f t="shared" si="144"/>
        <v>244.4970554728738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30.60280934136615</v>
      </c>
      <c r="AV168" s="21">
        <f>EXP(-LN(2)/25)*AV167+(1-EXP(-LN(2)/25))/(LN(2)/25)*Calculateur!AQ168*Calculateur!AS168*VLOOKUP('Données projet'!$B$10,Paramètres!$A$1:$I$89,3,0)*0.475*44/12</f>
        <v>3.5954034054336872</v>
      </c>
      <c r="AW168" s="21">
        <f>EXP(-LN(2)/2)*AW167+(1-EXP(-LN(2)/2))/(LN(2)/2)*AQ168*AT168*VLOOKUP('Données projet'!$B$10,Paramètres!$A$1:$I$89,3,0)*0.475*44/12</f>
        <v>1.8766804475725996E-12</v>
      </c>
      <c r="AX168" s="21">
        <f t="shared" si="166"/>
        <v>34.198212746801715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92.793999999999755</v>
      </c>
      <c r="D169" s="11">
        <f t="shared" si="140"/>
        <v>25.237866858098624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911.12318276426822</v>
      </c>
      <c r="H169" s="67">
        <f t="shared" si="110"/>
        <v>498.90550144452129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-2.2737367544323206E-13</v>
      </c>
      <c r="O169" s="13">
        <f>N169*VLOOKUP('Données projet'!$B$9,Paramètres!$A$1:$I$89,3,0)*VLOOKUP('Données projet'!$B$9,Paramètres!$A$1:$I$89,5,0)</f>
        <v>-1.3596945791505279E-13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260.31965507630525</v>
      </c>
      <c r="T169" s="59">
        <f t="shared" si="142"/>
        <v>327.31114099338032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18.436902738670607</v>
      </c>
      <c r="AA169" s="21">
        <f>EXP(-LN(2)/25)*AA168+(1-EXP(-LN(2)/25))/(LN(2)/25)*Calculateur!V169*Calculateur!X169*VLOOKUP('Données projet'!$B$9,Paramètres!$A$1:$I$89,3,0)*0.475*44/12</f>
        <v>2.0936108658501946</v>
      </c>
      <c r="AB169" s="21">
        <f>EXP(-LN(2)/2)*AB168+(1-EXP(-LN(2)/2))/(LN(2)/2)*V169*Y169*VLOOKUP('Données projet'!$B$9,Paramètres!$A$1:$I$89,3,0)*0.475*44/12</f>
        <v>1.1215020840563009E-15</v>
      </c>
      <c r="AC169" s="22">
        <f t="shared" si="163"/>
        <v>20.530513604520802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-6.7984728957526396E-14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277.11749933885778</v>
      </c>
      <c r="AO169" s="59">
        <f t="shared" si="144"/>
        <v>244.4970554728738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30.002706916052556</v>
      </c>
      <c r="AV169" s="21">
        <f>EXP(-LN(2)/25)*AV168+(1-EXP(-LN(2)/25))/(LN(2)/25)*Calculateur!AQ169*Calculateur!AS169*VLOOKUP('Données projet'!$B$10,Paramètres!$A$1:$I$89,3,0)*0.475*44/12</f>
        <v>3.4970869102380555</v>
      </c>
      <c r="AW169" s="21">
        <f>EXP(-LN(2)/2)*AW168+(1-EXP(-LN(2)/2))/(LN(2)/2)*AQ169*AT169*VLOOKUP('Données projet'!$B$10,Paramètres!$A$1:$I$89,3,0)*0.475*44/12</f>
        <v>1.3270134705987903E-12</v>
      </c>
      <c r="AX169" s="21">
        <f t="shared" si="166"/>
        <v>33.499793826291942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93.352999999999753</v>
      </c>
      <c r="D170" s="11">
        <f t="shared" si="140"/>
        <v>25.372158292621872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916.47490611848286</v>
      </c>
      <c r="H170" s="67">
        <f t="shared" si="110"/>
        <v>500.11298402631598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-2.2737367544323206E-13</v>
      </c>
      <c r="O170" s="13">
        <f>N170*VLOOKUP('Données projet'!$B$9,Paramètres!$A$1:$I$89,3,0)*VLOOKUP('Données projet'!$B$9,Paramètres!$A$1:$I$89,5,0)</f>
        <v>-1.3596945791505279E-13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260.31965507630525</v>
      </c>
      <c r="T170" s="59">
        <f t="shared" si="142"/>
        <v>327.31114099338032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18.075366321365557</v>
      </c>
      <c r="AA170" s="21">
        <f>EXP(-LN(2)/25)*AA169+(1-EXP(-LN(2)/25))/(LN(2)/25)*Calculateur!V170*Calculateur!X170*VLOOKUP('Données projet'!$B$9,Paramètres!$A$1:$I$89,3,0)*0.475*44/12</f>
        <v>2.0363609666253106</v>
      </c>
      <c r="AB170" s="21">
        <f>EXP(-LN(2)/2)*AB169+(1-EXP(-LN(2)/2))/(LN(2)/2)*V170*Y170*VLOOKUP('Données projet'!$B$9,Paramètres!$A$1:$I$89,3,0)*0.475*44/12</f>
        <v>7.9302172875105579E-16</v>
      </c>
      <c r="AC170" s="22">
        <f t="shared" si="163"/>
        <v>20.111727287990867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-6.7984728957526396E-14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277.11749933885778</v>
      </c>
      <c r="AO170" s="59">
        <f t="shared" si="144"/>
        <v>244.4970554728738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29.414372133273027</v>
      </c>
      <c r="AV170" s="21">
        <f>EXP(-LN(2)/25)*AV169+(1-EXP(-LN(2)/25))/(LN(2)/25)*Calculateur!AQ170*Calculateur!AS170*VLOOKUP('Données projet'!$B$10,Paramètres!$A$1:$I$89,3,0)*0.475*44/12</f>
        <v>3.4014588847737879</v>
      </c>
      <c r="AW170" s="21">
        <f>EXP(-LN(2)/2)*AW169+(1-EXP(-LN(2)/2))/(LN(2)/2)*AQ170*AT170*VLOOKUP('Données projet'!$B$10,Paramètres!$A$1:$I$89,3,0)*0.475*44/12</f>
        <v>9.3834022378629981E-13</v>
      </c>
      <c r="AX170" s="21">
        <f t="shared" si="166"/>
        <v>32.815831018047753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93.91199999999975</v>
      </c>
      <c r="D171" s="11">
        <f t="shared" si="140"/>
        <v>25.506356157232599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921.8259071786357</v>
      </c>
      <c r="H171" s="67">
        <f t="shared" si="110"/>
        <v>501.32030364051298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-2.2737367544323206E-13</v>
      </c>
      <c r="O171" s="13">
        <f>N171*VLOOKUP('Données projet'!$B$9,Paramètres!$A$1:$I$89,3,0)*VLOOKUP('Données projet'!$B$9,Paramètres!$A$1:$I$89,5,0)</f>
        <v>-1.3596945791505279E-13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260.31965507630525</v>
      </c>
      <c r="T171" s="59">
        <f t="shared" si="142"/>
        <v>327.31114099338032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17.720919412688417</v>
      </c>
      <c r="AA171" s="21">
        <f>EXP(-LN(2)/25)*AA170+(1-EXP(-LN(2)/25))/(LN(2)/25)*Calculateur!V171*Calculateur!X171*VLOOKUP('Données projet'!$B$9,Paramètres!$A$1:$I$89,3,0)*0.475*44/12</f>
        <v>1.9806765689053725</v>
      </c>
      <c r="AB171" s="21">
        <f>EXP(-LN(2)/2)*AB170+(1-EXP(-LN(2)/2))/(LN(2)/2)*V171*Y171*VLOOKUP('Données projet'!$B$9,Paramètres!$A$1:$I$89,3,0)*0.475*44/12</f>
        <v>5.6075104202815044E-16</v>
      </c>
      <c r="AC171" s="22">
        <f t="shared" si="163"/>
        <v>19.70159598159379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-6.7984728957526396E-14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277.11749933885778</v>
      </c>
      <c r="AO171" s="59">
        <f t="shared" si="144"/>
        <v>244.4970554728738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28.837574236735019</v>
      </c>
      <c r="AV171" s="21">
        <f>EXP(-LN(2)/25)*AV170+(1-EXP(-LN(2)/25))/(LN(2)/25)*Calculateur!AQ171*Calculateur!AS171*VLOOKUP('Données projet'!$B$10,Paramètres!$A$1:$I$89,3,0)*0.475*44/12</f>
        <v>3.3084458126946998</v>
      </c>
      <c r="AW171" s="21">
        <f>EXP(-LN(2)/2)*AW170+(1-EXP(-LN(2)/2))/(LN(2)/2)*AQ171*AT171*VLOOKUP('Données projet'!$B$10,Paramètres!$A$1:$I$89,3,0)*0.475*44/12</f>
        <v>6.6350673529939514E-13</v>
      </c>
      <c r="AX171" s="21">
        <f t="shared" si="166"/>
        <v>32.146020049430383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94.470999999999748</v>
      </c>
      <c r="D172" s="11">
        <f t="shared" si="140"/>
        <v>25.640461073517091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927.17619074293691</v>
      </c>
      <c r="H172" s="67">
        <f t="shared" si="110"/>
        <v>502.52746136970848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-2.2737367544323206E-13</v>
      </c>
      <c r="O172" s="13">
        <f>N172*VLOOKUP('Données projet'!$B$9,Paramètres!$A$1:$I$89,3,0)*VLOOKUP('Données projet'!$B$9,Paramètres!$A$1:$I$89,5,0)</f>
        <v>-1.3596945791505279E-13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260.31965507630525</v>
      </c>
      <c r="T172" s="59">
        <f t="shared" si="142"/>
        <v>327.31114099338032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17.373422991699169</v>
      </c>
      <c r="AA172" s="21">
        <f>EXP(-LN(2)/25)*AA171+(1-EXP(-LN(2)/25))/(LN(2)/25)*Calculateur!V172*Calculateur!X172*VLOOKUP('Données projet'!$B$9,Paramètres!$A$1:$I$89,3,0)*0.475*44/12</f>
        <v>1.9265148639694012</v>
      </c>
      <c r="AB172" s="21">
        <f>EXP(-LN(2)/2)*AB171+(1-EXP(-LN(2)/2))/(LN(2)/2)*V172*Y172*VLOOKUP('Données projet'!$B$9,Paramètres!$A$1:$I$89,3,0)*0.475*44/12</f>
        <v>3.965108643755279E-16</v>
      </c>
      <c r="AC172" s="22">
        <f t="shared" si="163"/>
        <v>19.299937855668571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-6.7984728957526396E-14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277.11749933885778</v>
      </c>
      <c r="AO172" s="59">
        <f t="shared" si="144"/>
        <v>244.4970554728738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28.272086995136142</v>
      </c>
      <c r="AV172" s="21">
        <f>EXP(-LN(2)/25)*AV171+(1-EXP(-LN(2)/25))/(LN(2)/25)*Calculateur!AQ172*Calculateur!AS172*VLOOKUP('Données projet'!$B$10,Paramètres!$A$1:$I$89,3,0)*0.475*44/12</f>
        <v>3.2179761879629596</v>
      </c>
      <c r="AW172" s="21">
        <f>EXP(-LN(2)/2)*AW171+(1-EXP(-LN(2)/2))/(LN(2)/2)*AQ172*AT172*VLOOKUP('Données projet'!$B$10,Paramètres!$A$1:$I$89,3,0)*0.475*44/12</f>
        <v>4.691701118931499E-13</v>
      </c>
      <c r="AX172" s="21">
        <f t="shared" si="166"/>
        <v>31.490063183099572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95.029999999999745</v>
      </c>
      <c r="D173" s="11">
        <f t="shared" si="140"/>
        <v>25.774473655280115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932.52576154952885</v>
      </c>
      <c r="H173" s="67">
        <f t="shared" si="110"/>
        <v>503.73445828294575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-2.2737367544323206E-13</v>
      </c>
      <c r="O173" s="13">
        <f>N173*VLOOKUP('Données projet'!$B$9,Paramètres!$A$1:$I$89,3,0)*VLOOKUP('Données projet'!$B$9,Paramètres!$A$1:$I$89,5,0)</f>
        <v>-1.3596945791505279E-13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260.31965507630525</v>
      </c>
      <c r="T173" s="59">
        <f t="shared" si="142"/>
        <v>327.31114099338032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17.032740763573631</v>
      </c>
      <c r="AA173" s="21">
        <f>EXP(-LN(2)/25)*AA172+(1-EXP(-LN(2)/25))/(LN(2)/25)*Calculateur!V173*Calculateur!X173*VLOOKUP('Données projet'!$B$9,Paramètres!$A$1:$I$89,3,0)*0.475*44/12</f>
        <v>1.8738342137031443</v>
      </c>
      <c r="AB173" s="21">
        <f>EXP(-LN(2)/2)*AB172+(1-EXP(-LN(2)/2))/(LN(2)/2)*V173*Y173*VLOOKUP('Données projet'!$B$9,Paramètres!$A$1:$I$89,3,0)*0.475*44/12</f>
        <v>2.8037552101407522E-16</v>
      </c>
      <c r="AC173" s="22">
        <f t="shared" si="163"/>
        <v>18.906574977276776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-6.7984728957526396E-14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277.11749933885778</v>
      </c>
      <c r="AO173" s="59">
        <f t="shared" si="144"/>
        <v>244.4970554728738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27.717688613431861</v>
      </c>
      <c r="AV173" s="21">
        <f>EXP(-LN(2)/25)*AV172+(1-EXP(-LN(2)/25))/(LN(2)/25)*Calculateur!AQ173*Calculateur!AS173*VLOOKUP('Données projet'!$B$10,Paramètres!$A$1:$I$89,3,0)*0.475*44/12</f>
        <v>3.1299804598770997</v>
      </c>
      <c r="AW173" s="21">
        <f>EXP(-LN(2)/2)*AW172+(1-EXP(-LN(2)/2))/(LN(2)/2)*AQ173*AT173*VLOOKUP('Données projet'!$B$10,Paramètres!$A$1:$I$89,3,0)*0.475*44/12</f>
        <v>3.3175336764969757E-13</v>
      </c>
      <c r="AX173" s="21">
        <f t="shared" si="166"/>
        <v>30.847669073309291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95.588999999999743</v>
      </c>
      <c r="D174" s="11">
        <f t="shared" si="140"/>
        <v>25.908394508687365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937.87462427758476</v>
      </c>
      <c r="H174" s="67">
        <f t="shared" si="110"/>
        <v>504.94129543596335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-2.2737367544323206E-13</v>
      </c>
      <c r="O174" s="13">
        <f>N174*VLOOKUP('Données projet'!$B$9,Paramètres!$A$1:$I$89,3,0)*VLOOKUP('Données projet'!$B$9,Paramètres!$A$1:$I$89,5,0)</f>
        <v>-1.3596945791505279E-13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260.31965507630525</v>
      </c>
      <c r="T174" s="59">
        <f t="shared" si="142"/>
        <v>327.31114099338032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16.698739106145997</v>
      </c>
      <c r="AA174" s="21">
        <f>EXP(-LN(2)/25)*AA173+(1-EXP(-LN(2)/25))/(LN(2)/25)*Calculateur!V174*Calculateur!X174*VLOOKUP('Données projet'!$B$9,Paramètres!$A$1:$I$89,3,0)*0.475*44/12</f>
        <v>1.8225941185887733</v>
      </c>
      <c r="AB174" s="21">
        <f>EXP(-LN(2)/2)*AB173+(1-EXP(-LN(2)/2))/(LN(2)/2)*V174*Y174*VLOOKUP('Données projet'!$B$9,Paramètres!$A$1:$I$89,3,0)*0.475*44/12</f>
        <v>1.9825543218776395E-16</v>
      </c>
      <c r="AC174" s="22">
        <f t="shared" si="163"/>
        <v>18.521333224734772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-6.7984728957526396E-14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277.11749933885778</v>
      </c>
      <c r="AO174" s="59">
        <f t="shared" si="144"/>
        <v>244.4970554728738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27.174161645843174</v>
      </c>
      <c r="AV174" s="21">
        <f>EXP(-LN(2)/25)*AV173+(1-EXP(-LN(2)/25))/(LN(2)/25)*Calculateur!AQ174*Calculateur!AS174*VLOOKUP('Données projet'!$B$10,Paramètres!$A$1:$I$89,3,0)*0.475*44/12</f>
        <v>3.0443909796032416</v>
      </c>
      <c r="AW174" s="21">
        <f>EXP(-LN(2)/2)*AW173+(1-EXP(-LN(2)/2))/(LN(2)/2)*AQ174*AT174*VLOOKUP('Données projet'!$B$10,Paramètres!$A$1:$I$89,3,0)*0.475*44/12</f>
        <v>2.3458505594657495E-13</v>
      </c>
      <c r="AX174" s="21">
        <f t="shared" si="166"/>
        <v>30.218552625446652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96.14799999999974</v>
      </c>
      <c r="D175" s="11">
        <f t="shared" si="140"/>
        <v>26.042224232404703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943.22278354838511</v>
      </c>
      <c r="H175" s="67">
        <f t="shared" si="110"/>
        <v>506.14797387143773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-2.2737367544323206E-13</v>
      </c>
      <c r="O175" s="13">
        <f>N175*VLOOKUP('Données projet'!$B$9,Paramètres!$A$1:$I$89,3,0)*VLOOKUP('Données projet'!$B$9,Paramètres!$A$1:$I$89,5,0)</f>
        <v>-1.3596945791505279E-13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260.31965507630525</v>
      </c>
      <c r="T175" s="59">
        <f t="shared" si="142"/>
        <v>327.31114099338032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16.371287017499622</v>
      </c>
      <c r="AA175" s="21">
        <f>EXP(-LN(2)/25)*AA174+(1-EXP(-LN(2)/25))/(LN(2)/25)*Calculateur!V175*Calculateur!X175*VLOOKUP('Données projet'!$B$9,Paramètres!$A$1:$I$89,3,0)*0.475*44/12</f>
        <v>1.7727551865699043</v>
      </c>
      <c r="AB175" s="21">
        <f>EXP(-LN(2)/2)*AB174+(1-EXP(-LN(2)/2))/(LN(2)/2)*V175*Y175*VLOOKUP('Données projet'!$B$9,Paramètres!$A$1:$I$89,3,0)*0.475*44/12</f>
        <v>1.4018776050703761E-16</v>
      </c>
      <c r="AC175" s="22">
        <f t="shared" si="163"/>
        <v>18.144042204069525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-6.7984728957526396E-14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277.11749933885778</v>
      </c>
      <c r="AO175" s="59">
        <f t="shared" si="144"/>
        <v>244.4970554728738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26.641292910570186</v>
      </c>
      <c r="AV175" s="21">
        <f>EXP(-LN(2)/25)*AV174+(1-EXP(-LN(2)/25))/(LN(2)/25)*Calculateur!AQ175*Calculateur!AS175*VLOOKUP('Données projet'!$B$10,Paramètres!$A$1:$I$89,3,0)*0.475*44/12</f>
        <v>2.9611419481684274</v>
      </c>
      <c r="AW175" s="21">
        <f>EXP(-LN(2)/2)*AW174+(1-EXP(-LN(2)/2))/(LN(2)/2)*AQ175*AT175*VLOOKUP('Données projet'!$B$10,Paramètres!$A$1:$I$89,3,0)*0.475*44/12</f>
        <v>1.6587668382484878E-13</v>
      </c>
      <c r="AX175" s="21">
        <f t="shared" si="166"/>
        <v>29.602434858738782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96.706999999999738</v>
      </c>
      <c r="D176" s="11">
        <f t="shared" si="140"/>
        <v>26.175963417733936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948.57024392636515</v>
      </c>
      <c r="H176" s="67">
        <f t="shared" si="110"/>
        <v>507.35449461921945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-2.2737367544323206E-13</v>
      </c>
      <c r="O176" s="13">
        <f>N176*VLOOKUP('Données projet'!$B$9,Paramètres!$A$1:$I$89,3,0)*VLOOKUP('Données projet'!$B$9,Paramètres!$A$1:$I$89,5,0)</f>
        <v>-1.3596945791505279E-13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260.31965507630525</v>
      </c>
      <c r="T176" s="59">
        <f t="shared" si="142"/>
        <v>327.31114099338032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16.05025606458555</v>
      </c>
      <c r="AA176" s="21">
        <f>EXP(-LN(2)/25)*AA175+(1-EXP(-LN(2)/25))/(LN(2)/25)*Calculateur!V176*Calculateur!X176*VLOOKUP('Données projet'!$B$9,Paramètres!$A$1:$I$89,3,0)*0.475*44/12</f>
        <v>1.7242791027680067</v>
      </c>
      <c r="AB176" s="21">
        <f>EXP(-LN(2)/2)*AB175+(1-EXP(-LN(2)/2))/(LN(2)/2)*V176*Y176*VLOOKUP('Données projet'!$B$9,Paramètres!$A$1:$I$89,3,0)*0.475*44/12</f>
        <v>9.9127716093881974E-17</v>
      </c>
      <c r="AC176" s="22">
        <f t="shared" si="163"/>
        <v>17.774535167353555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-6.7984728957526396E-14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277.11749933885778</v>
      </c>
      <c r="AO176" s="59">
        <f t="shared" si="144"/>
        <v>244.4970554728738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26.118873406178068</v>
      </c>
      <c r="AV176" s="21">
        <f>EXP(-LN(2)/25)*AV175+(1-EXP(-LN(2)/25))/(LN(2)/25)*Calculateur!AQ176*Calculateur!AS176*VLOOKUP('Données projet'!$B$10,Paramètres!$A$1:$I$89,3,0)*0.475*44/12</f>
        <v>2.8801693658760743</v>
      </c>
      <c r="AW176" s="21">
        <f>EXP(-LN(2)/2)*AW175+(1-EXP(-LN(2)/2))/(LN(2)/2)*AQ176*AT176*VLOOKUP('Données projet'!$B$10,Paramètres!$A$1:$I$89,3,0)*0.475*44/12</f>
        <v>1.1729252797328748E-13</v>
      </c>
      <c r="AX176" s="21">
        <f t="shared" si="166"/>
        <v>28.99904277205426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97.265999999999735</v>
      </c>
      <c r="D177" s="11">
        <f t="shared" si="140"/>
        <v>26.30961264874556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953.91700992013909</v>
      </c>
      <c r="H177" s="67">
        <f t="shared" si="110"/>
        <v>508.56085869656471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-2.2737367544323206E-13</v>
      </c>
      <c r="O177" s="13">
        <f>N177*VLOOKUP('Données projet'!$B$9,Paramètres!$A$1:$I$89,3,0)*VLOOKUP('Données projet'!$B$9,Paramètres!$A$1:$I$89,5,0)</f>
        <v>-1.3596945791505279E-13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260.31965507630525</v>
      </c>
      <c r="T177" s="59">
        <f t="shared" si="142"/>
        <v>327.31114099338032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15.735520332848575</v>
      </c>
      <c r="AA177" s="21">
        <f>EXP(-LN(2)/25)*AA176+(1-EXP(-LN(2)/25))/(LN(2)/25)*Calculateur!V177*Calculateur!X177*VLOOKUP('Données projet'!$B$9,Paramètres!$A$1:$I$89,3,0)*0.475*44/12</f>
        <v>1.6771286000269183</v>
      </c>
      <c r="AB177" s="21">
        <f>EXP(-LN(2)/2)*AB176+(1-EXP(-LN(2)/2))/(LN(2)/2)*V177*Y177*VLOOKUP('Données projet'!$B$9,Paramètres!$A$1:$I$89,3,0)*0.475*44/12</f>
        <v>7.0093880253518805E-17</v>
      </c>
      <c r="AC177" s="22">
        <f t="shared" si="163"/>
        <v>17.412648932875491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-6.7984728957526396E-14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277.11749933885778</v>
      </c>
      <c r="AO177" s="59">
        <f t="shared" si="144"/>
        <v>244.4970554728738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25.606698229622644</v>
      </c>
      <c r="AV177" s="21">
        <f>EXP(-LN(2)/25)*AV176+(1-EXP(-LN(2)/25))/(LN(2)/25)*Calculateur!AQ177*Calculateur!AS177*VLOOKUP('Données projet'!$B$10,Paramètres!$A$1:$I$89,3,0)*0.475*44/12</f>
        <v>2.801410983104669</v>
      </c>
      <c r="AW177" s="21">
        <f>EXP(-LN(2)/2)*AW176+(1-EXP(-LN(2)/2))/(LN(2)/2)*AQ177*AT177*VLOOKUP('Données projet'!$B$10,Paramètres!$A$1:$I$89,3,0)*0.475*44/12</f>
        <v>8.2938341912424392E-14</v>
      </c>
      <c r="AX177" s="21">
        <f t="shared" si="166"/>
        <v>28.408109212727396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97.824999999999733</v>
      </c>
      <c r="D178" s="11">
        <f t="shared" si="140"/>
        <v>26.443172502408078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959.26308598349897</v>
      </c>
      <c r="H178" s="67">
        <f t="shared" si="110"/>
        <v>509.76706710836027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-2.2737367544323206E-13</v>
      </c>
      <c r="O178" s="13">
        <f>N178*VLOOKUP('Données projet'!$B$9,Paramètres!$A$1:$I$89,3,0)*VLOOKUP('Données projet'!$B$9,Paramètres!$A$1:$I$89,5,0)</f>
        <v>-1.3596945791505279E-13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260.31965507630525</v>
      </c>
      <c r="T178" s="59">
        <f t="shared" si="142"/>
        <v>327.31114099338032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15.426956376841121</v>
      </c>
      <c r="AA178" s="21">
        <f>EXP(-LN(2)/25)*AA177+(1-EXP(-LN(2)/25))/(LN(2)/25)*Calculateur!V178*Calculateur!X178*VLOOKUP('Données projet'!$B$9,Paramètres!$A$1:$I$89,3,0)*0.475*44/12</f>
        <v>1.6312674302628223</v>
      </c>
      <c r="AB178" s="21">
        <f>EXP(-LN(2)/2)*AB177+(1-EXP(-LN(2)/2))/(LN(2)/2)*V178*Y178*VLOOKUP('Données projet'!$B$9,Paramètres!$A$1:$I$89,3,0)*0.475*44/12</f>
        <v>4.9563858046940987E-17</v>
      </c>
      <c r="AC178" s="22">
        <f t="shared" si="163"/>
        <v>17.058223807103943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-6.7984728957526396E-14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277.11749933885778</v>
      </c>
      <c r="AO178" s="59">
        <f t="shared" si="144"/>
        <v>244.4970554728738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25.104566495883461</v>
      </c>
      <c r="AV178" s="21">
        <f>EXP(-LN(2)/25)*AV177+(1-EXP(-LN(2)/25))/(LN(2)/25)*Calculateur!AQ178*Calculateur!AS178*VLOOKUP('Données projet'!$B$10,Paramètres!$A$1:$I$89,3,0)*0.475*44/12</f>
        <v>2.724806252451871</v>
      </c>
      <c r="AW178" s="21">
        <f>EXP(-LN(2)/2)*AW177+(1-EXP(-LN(2)/2))/(LN(2)/2)*AQ178*AT178*VLOOKUP('Données projet'!$B$10,Paramètres!$A$1:$I$89,3,0)*0.475*44/12</f>
        <v>5.8646263986643738E-14</v>
      </c>
      <c r="AX178" s="21">
        <f t="shared" si="166"/>
        <v>27.829372748335391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98.38399999999973</v>
      </c>
      <c r="D179" s="11">
        <f t="shared" si="140"/>
        <v>26.576643548714546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964.60847651639085</v>
      </c>
      <c r="H179" s="67">
        <f t="shared" si="110"/>
        <v>510.97312084734403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-2.2737367544323206E-13</v>
      </c>
      <c r="O179" s="13">
        <f>N179*VLOOKUP('Données projet'!$B$9,Paramètres!$A$1:$I$89,3,0)*VLOOKUP('Données projet'!$B$9,Paramètres!$A$1:$I$89,5,0)</f>
        <v>-1.3596945791505279E-13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260.31965507630525</v>
      </c>
      <c r="T179" s="59">
        <f t="shared" si="142"/>
        <v>327.31114099338032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15.124443171805543</v>
      </c>
      <c r="AA179" s="21">
        <f>EXP(-LN(2)/25)*AA178+(1-EXP(-LN(2)/25))/(LN(2)/25)*Calculateur!V179*Calculateur!X179*VLOOKUP('Données projet'!$B$9,Paramètres!$A$1:$I$89,3,0)*0.475*44/12</f>
        <v>1.5866603365976595</v>
      </c>
      <c r="AB179" s="21">
        <f>EXP(-LN(2)/2)*AB178+(1-EXP(-LN(2)/2))/(LN(2)/2)*V179*Y179*VLOOKUP('Données projet'!$B$9,Paramètres!$A$1:$I$89,3,0)*0.475*44/12</f>
        <v>3.5046940126759403E-17</v>
      </c>
      <c r="AC179" s="22">
        <f t="shared" si="163"/>
        <v>16.711103508403202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-6.7984728957526396E-14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277.11749933885778</v>
      </c>
      <c r="AO179" s="59">
        <f t="shared" si="144"/>
        <v>244.4970554728738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24.612281259172786</v>
      </c>
      <c r="AV179" s="21">
        <f>EXP(-LN(2)/25)*AV178+(1-EXP(-LN(2)/25))/(LN(2)/25)*Calculateur!AQ179*Calculateur!AS179*VLOOKUP('Données projet'!$B$10,Paramètres!$A$1:$I$89,3,0)*0.475*44/12</f>
        <v>2.6502962821872416</v>
      </c>
      <c r="AW179" s="21">
        <f>EXP(-LN(2)/2)*AW178+(1-EXP(-LN(2)/2))/(LN(2)/2)*AQ179*AT179*VLOOKUP('Données projet'!$B$10,Paramètres!$A$1:$I$89,3,0)*0.475*44/12</f>
        <v>4.1469170956212196E-14</v>
      </c>
      <c r="AX179" s="21">
        <f t="shared" si="166"/>
        <v>27.26257754136007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98.942999999999728</v>
      </c>
      <c r="D180" s="11">
        <f t="shared" si="140"/>
        <v>26.71002635080605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969.95318586586916</v>
      </c>
      <c r="H180" s="67">
        <f t="shared" si="110"/>
        <v>512.17902089432005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-2.2737367544323206E-13</v>
      </c>
      <c r="O180" s="13">
        <f>N180*VLOOKUP('Données projet'!$B$9,Paramètres!$A$1:$I$89,3,0)*VLOOKUP('Données projet'!$B$9,Paramètres!$A$1:$I$89,5,0)</f>
        <v>-1.3596945791505279E-13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260.31965507630525</v>
      </c>
      <c r="T180" s="59">
        <f t="shared" si="142"/>
        <v>327.31114099338032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14.827862066205878</v>
      </c>
      <c r="AA180" s="21">
        <f>EXP(-LN(2)/25)*AA179+(1-EXP(-LN(2)/25))/(LN(2)/25)*Calculateur!V180*Calculateur!X180*VLOOKUP('Données projet'!$B$9,Paramètres!$A$1:$I$89,3,0)*0.475*44/12</f>
        <v>1.5432730262545558</v>
      </c>
      <c r="AB180" s="21">
        <f>EXP(-LN(2)/2)*AB179+(1-EXP(-LN(2)/2))/(LN(2)/2)*V180*Y180*VLOOKUP('Données projet'!$B$9,Paramètres!$A$1:$I$89,3,0)*0.475*44/12</f>
        <v>2.4781929023470494E-17</v>
      </c>
      <c r="AC180" s="22">
        <f t="shared" si="163"/>
        <v>16.371135092460435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-6.7984728957526396E-14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277.11749933885778</v>
      </c>
      <c r="AO180" s="59">
        <f t="shared" si="144"/>
        <v>244.4970554728738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24.129649435689664</v>
      </c>
      <c r="AV180" s="21">
        <f>EXP(-LN(2)/25)*AV179+(1-EXP(-LN(2)/25))/(LN(2)/25)*Calculateur!AQ180*Calculateur!AS180*VLOOKUP('Données projet'!$B$10,Paramètres!$A$1:$I$89,3,0)*0.475*44/12</f>
        <v>2.5778237909778072</v>
      </c>
      <c r="AW180" s="21">
        <f>EXP(-LN(2)/2)*AW179+(1-EXP(-LN(2)/2))/(LN(2)/2)*AQ180*AT180*VLOOKUP('Données projet'!$B$10,Paramètres!$A$1:$I$89,3,0)*0.475*44/12</f>
        <v>2.9323131993321869E-14</v>
      </c>
      <c r="AX180" s="21">
        <f t="shared" si="166"/>
        <v>26.707473226667499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99.501999999999725</v>
      </c>
      <c r="D181" s="11">
        <f t="shared" si="140"/>
        <v>26.843321465092171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975.29721832702523</v>
      </c>
      <c r="H181" s="67">
        <f t="shared" si="110"/>
        <v>513.38476821836844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-2.2737367544323206E-13</v>
      </c>
      <c r="O181" s="13">
        <f>N181*VLOOKUP('Données projet'!$B$9,Paramètres!$A$1:$I$89,3,0)*VLOOKUP('Données projet'!$B$9,Paramètres!$A$1:$I$89,5,0)</f>
        <v>-1.3596945791505279E-13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260.31965507630525</v>
      </c>
      <c r="T181" s="59">
        <f t="shared" si="142"/>
        <v>327.31114099338032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14.53709673519041</v>
      </c>
      <c r="AA181" s="21">
        <f>EXP(-LN(2)/25)*AA180+(1-EXP(-LN(2)/25))/(LN(2)/25)*Calculateur!V181*Calculateur!X181*VLOOKUP('Données projet'!$B$9,Paramètres!$A$1:$I$89,3,0)*0.475*44/12</f>
        <v>1.5010721441944237</v>
      </c>
      <c r="AB181" s="21">
        <f>EXP(-LN(2)/2)*AB180+(1-EXP(-LN(2)/2))/(LN(2)/2)*V181*Y181*VLOOKUP('Données projet'!$B$9,Paramètres!$A$1:$I$89,3,0)*0.475*44/12</f>
        <v>1.7523470063379701E-17</v>
      </c>
      <c r="AC181" s="22">
        <f t="shared" si="163"/>
        <v>16.038168879384834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-6.7984728957526396E-14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277.11749933885778</v>
      </c>
      <c r="AO181" s="59">
        <f t="shared" si="144"/>
        <v>244.4970554728738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23.6564817278887</v>
      </c>
      <c r="AV181" s="21">
        <f>EXP(-LN(2)/25)*AV180+(1-EXP(-LN(2)/25))/(LN(2)/25)*Calculateur!AQ181*Calculateur!AS181*VLOOKUP('Données projet'!$B$10,Paramètres!$A$1:$I$89,3,0)*0.475*44/12</f>
        <v>2.5073330638516578</v>
      </c>
      <c r="AW181" s="21">
        <f>EXP(-LN(2)/2)*AW180+(1-EXP(-LN(2)/2))/(LN(2)/2)*AQ181*AT181*VLOOKUP('Données projet'!$B$10,Paramètres!$A$1:$I$89,3,0)*0.475*44/12</f>
        <v>2.0734585478106098E-14</v>
      </c>
      <c r="AX181" s="21">
        <f t="shared" si="166"/>
        <v>26.163814791740378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100.06099999999972</v>
      </c>
      <c r="D182" s="11">
        <f t="shared" si="140"/>
        <v>26.976529441368999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980.64057814389889</v>
      </c>
      <c r="H182" s="67">
        <f t="shared" si="110"/>
        <v>514.59036377705047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-2.2737367544323206E-13</v>
      </c>
      <c r="O182" s="13">
        <f>N182*VLOOKUP('Données projet'!$B$9,Paramètres!$A$1:$I$89,3,0)*VLOOKUP('Données projet'!$B$9,Paramètres!$A$1:$I$89,5,0)</f>
        <v>-1.3596945791505279E-13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260.31965507630525</v>
      </c>
      <c r="T182" s="59">
        <f t="shared" si="142"/>
        <v>327.31114099338032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14.252033134966815</v>
      </c>
      <c r="AA182" s="21">
        <f>EXP(-LN(2)/25)*AA181+(1-EXP(-LN(2)/25))/(LN(2)/25)*Calculateur!V182*Calculateur!X182*VLOOKUP('Données projet'!$B$9,Paramètres!$A$1:$I$89,3,0)*0.475*44/12</f>
        <v>1.4600252474734738</v>
      </c>
      <c r="AB182" s="21">
        <f>EXP(-LN(2)/2)*AB181+(1-EXP(-LN(2)/2))/(LN(2)/2)*V182*Y182*VLOOKUP('Données projet'!$B$9,Paramètres!$A$1:$I$89,3,0)*0.475*44/12</f>
        <v>1.2390964511735247E-17</v>
      </c>
      <c r="AC182" s="22">
        <f t="shared" si="163"/>
        <v>15.71205838244029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-6.7984728957526396E-14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277.11749933885778</v>
      </c>
      <c r="AO182" s="59">
        <f t="shared" si="144"/>
        <v>244.4970554728738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23.192592550233908</v>
      </c>
      <c r="AV182" s="21">
        <f>EXP(-LN(2)/25)*AV181+(1-EXP(-LN(2)/25))/(LN(2)/25)*Calculateur!AQ182*Calculateur!AS182*VLOOKUP('Données projet'!$B$10,Paramètres!$A$1:$I$89,3,0)*0.475*44/12</f>
        <v>2.4387699093657189</v>
      </c>
      <c r="AW182" s="21">
        <f>EXP(-LN(2)/2)*AW181+(1-EXP(-LN(2)/2))/(LN(2)/2)*AQ182*AT182*VLOOKUP('Données projet'!$B$10,Paramètres!$A$1:$I$89,3,0)*0.475*44/12</f>
        <v>1.4661565996660934E-14</v>
      </c>
      <c r="AX182" s="21">
        <f t="shared" si="166"/>
        <v>25.631362459599639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100.61999999999972</v>
      </c>
      <c r="D183" s="11">
        <f t="shared" si="140"/>
        <v>27.109650822934078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985.98326951036631</v>
      </c>
      <c r="H183" s="67">
        <f t="shared" si="110"/>
        <v>515.79580851660967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-2.2737367544323206E-13</v>
      </c>
      <c r="O183" s="13">
        <f>N183*VLOOKUP('Données projet'!$B$9,Paramètres!$A$1:$I$89,3,0)*VLOOKUP('Données projet'!$B$9,Paramètres!$A$1:$I$89,5,0)</f>
        <v>-1.3596945791505279E-13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260.31965507630525</v>
      </c>
      <c r="T183" s="59">
        <f t="shared" si="142"/>
        <v>327.31114099338032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13.972559458071977</v>
      </c>
      <c r="AA183" s="21">
        <f>EXP(-LN(2)/25)*AA182+(1-EXP(-LN(2)/25))/(LN(2)/25)*Calculateur!V183*Calculateur!X183*VLOOKUP('Données projet'!$B$9,Paramètres!$A$1:$I$89,3,0)*0.475*44/12</f>
        <v>1.4201007803019208</v>
      </c>
      <c r="AB183" s="21">
        <f>EXP(-LN(2)/2)*AB182+(1-EXP(-LN(2)/2))/(LN(2)/2)*V183*Y183*VLOOKUP('Données projet'!$B$9,Paramètres!$A$1:$I$89,3,0)*0.475*44/12</f>
        <v>8.7617350316898507E-18</v>
      </c>
      <c r="AC183" s="22">
        <f t="shared" si="163"/>
        <v>15.392660238373898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-6.7984728957526396E-14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277.11749933885778</v>
      </c>
      <c r="AO183" s="59">
        <f t="shared" si="144"/>
        <v>244.4970554728738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22.737799956408466</v>
      </c>
      <c r="AV183" s="21">
        <f>EXP(-LN(2)/25)*AV182+(1-EXP(-LN(2)/25))/(LN(2)/25)*Calculateur!AQ183*Calculateur!AS183*VLOOKUP('Données projet'!$B$10,Paramètres!$A$1:$I$89,3,0)*0.475*44/12</f>
        <v>2.3720816179447777</v>
      </c>
      <c r="AW183" s="21">
        <f>EXP(-LN(2)/2)*AW182+(1-EXP(-LN(2)/2))/(LN(2)/2)*AQ183*AT183*VLOOKUP('Données projet'!$B$10,Paramètres!$A$1:$I$89,3,0)*0.475*44/12</f>
        <v>1.0367292739053049E-14</v>
      </c>
      <c r="AX183" s="21">
        <f t="shared" si="166"/>
        <v>25.109881574353256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101.17899999999972</v>
      </c>
      <c r="D184" s="11">
        <f t="shared" si="140"/>
        <v>27.242686146698961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991.32529657100747</v>
      </c>
      <c r="H184" s="67">
        <f t="shared" si="110"/>
        <v>517.00110337216688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-2.2737367544323206E-13</v>
      </c>
      <c r="O184" s="13">
        <f>N184*VLOOKUP('Données projet'!$B$9,Paramètres!$A$1:$I$89,3,0)*VLOOKUP('Données projet'!$B$9,Paramètres!$A$1:$I$89,5,0)</f>
        <v>-1.3596945791505279E-13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260.31965507630525</v>
      </c>
      <c r="T184" s="59">
        <f t="shared" si="142"/>
        <v>327.31114099338032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13.698566089518936</v>
      </c>
      <c r="AA184" s="21">
        <f>EXP(-LN(2)/25)*AA183+(1-EXP(-LN(2)/25))/(LN(2)/25)*Calculateur!V184*Calculateur!X184*VLOOKUP('Données projet'!$B$9,Paramètres!$A$1:$I$89,3,0)*0.475*44/12</f>
        <v>1.3812680497847103</v>
      </c>
      <c r="AB184" s="21">
        <f>EXP(-LN(2)/2)*AB183+(1-EXP(-LN(2)/2))/(LN(2)/2)*V184*Y184*VLOOKUP('Données projet'!$B$9,Paramètres!$A$1:$I$89,3,0)*0.475*44/12</f>
        <v>6.1954822558676234E-18</v>
      </c>
      <c r="AC184" s="22">
        <f t="shared" si="163"/>
        <v>15.079834139303646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-6.7984728957526396E-14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277.11749933885778</v>
      </c>
      <c r="AO184" s="59">
        <f t="shared" si="144"/>
        <v>244.4970554728738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22.29192556795185</v>
      </c>
      <c r="AV184" s="21">
        <f>EXP(-LN(2)/25)*AV183+(1-EXP(-LN(2)/25))/(LN(2)/25)*Calculateur!AQ184*Calculateur!AS184*VLOOKUP('Données projet'!$B$10,Paramètres!$A$1:$I$89,3,0)*0.475*44/12</f>
        <v>2.3072169213597271</v>
      </c>
      <c r="AW184" s="21">
        <f>EXP(-LN(2)/2)*AW183+(1-EXP(-LN(2)/2))/(LN(2)/2)*AQ184*AT184*VLOOKUP('Données projet'!$B$10,Paramètres!$A$1:$I$89,3,0)*0.475*44/12</f>
        <v>7.3307829983304672E-15</v>
      </c>
      <c r="AX184" s="21">
        <f t="shared" si="166"/>
        <v>24.599142489311586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101.73799999999972</v>
      </c>
      <c r="D185" s="11">
        <f t="shared" si="140"/>
        <v>27.37563594329918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996.66666342195651</v>
      </c>
      <c r="H185" s="67">
        <f t="shared" si="110"/>
        <v>518.2062492679122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-2.2737367544323206E-13</v>
      </c>
      <c r="O185" s="13">
        <f>N185*VLOOKUP('Données projet'!$B$9,Paramètres!$A$1:$I$89,3,0)*VLOOKUP('Données projet'!$B$9,Paramètres!$A$1:$I$89,5,0)</f>
        <v>-1.3596945791505279E-13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260.31965507630525</v>
      </c>
      <c r="T185" s="59">
        <f t="shared" si="142"/>
        <v>327.31114099338032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13.429945563803766</v>
      </c>
      <c r="AA185" s="21">
        <f>EXP(-LN(2)/25)*AA184+(1-EXP(-LN(2)/25))/(LN(2)/25)*Calculateur!V185*Calculateur!X185*VLOOKUP('Données projet'!$B$9,Paramètres!$A$1:$I$89,3,0)*0.475*44/12</f>
        <v>1.3434972023256175</v>
      </c>
      <c r="AB185" s="21">
        <f>EXP(-LN(2)/2)*AB184+(1-EXP(-LN(2)/2))/(LN(2)/2)*V185*Y185*VLOOKUP('Données projet'!$B$9,Paramètres!$A$1:$I$89,3,0)*0.475*44/12</f>
        <v>4.3808675158449253E-18</v>
      </c>
      <c r="AC185" s="22">
        <f t="shared" si="163"/>
        <v>14.773442766129383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-6.7984728957526396E-14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277.11749933885778</v>
      </c>
      <c r="AO185" s="59">
        <f t="shared" si="144"/>
        <v>244.4970554728738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21.854794504296343</v>
      </c>
      <c r="AV185" s="21">
        <f>EXP(-LN(2)/25)*AV184+(1-EXP(-LN(2)/25))/(LN(2)/25)*Calculateur!AQ185*Calculateur!AS185*VLOOKUP('Données projet'!$B$10,Paramètres!$A$1:$I$89,3,0)*0.475*44/12</f>
        <v>2.2441259533138807</v>
      </c>
      <c r="AW185" s="21">
        <f>EXP(-LN(2)/2)*AW184+(1-EXP(-LN(2)/2))/(LN(2)/2)*AQ185*AT185*VLOOKUP('Données projet'!$B$10,Paramètres!$A$1:$I$89,3,0)*0.475*44/12</f>
        <v>5.1836463695265245E-15</v>
      </c>
      <c r="AX185" s="21">
        <f t="shared" si="166"/>
        <v>24.098920457610227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102.29699999999971</v>
      </c>
      <c r="D186" s="11">
        <f t="shared" si="140"/>
        <v>27.508500737201498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1002.0073741117286</v>
      </c>
      <c r="H186" s="67">
        <f t="shared" si="110"/>
        <v>519.41124711729208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-2.2737367544323206E-13</v>
      </c>
      <c r="O186" s="13">
        <f>N186*VLOOKUP('Données projet'!$B$9,Paramètres!$A$1:$I$89,3,0)*VLOOKUP('Données projet'!$B$9,Paramètres!$A$1:$I$89,5,0)</f>
        <v>-1.3596945791505279E-13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260.31965507630525</v>
      </c>
      <c r="T186" s="59">
        <f t="shared" si="142"/>
        <v>327.31114099338032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13.166592522755529</v>
      </c>
      <c r="AA186" s="21">
        <f>EXP(-LN(2)/25)*AA185+(1-EXP(-LN(2)/25))/(LN(2)/25)*Calculateur!V186*Calculateur!X186*VLOOKUP('Données projet'!$B$9,Paramètres!$A$1:$I$89,3,0)*0.475*44/12</f>
        <v>1.3067592006765762</v>
      </c>
      <c r="AB186" s="21">
        <f>EXP(-LN(2)/2)*AB185+(1-EXP(-LN(2)/2))/(LN(2)/2)*V186*Y186*VLOOKUP('Données projet'!$B$9,Paramètres!$A$1:$I$89,3,0)*0.475*44/12</f>
        <v>3.0977411279338117E-18</v>
      </c>
      <c r="AC186" s="22">
        <f t="shared" si="163"/>
        <v>14.473351723432106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-6.7984728957526396E-14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277.11749933885778</v>
      </c>
      <c r="AO186" s="59">
        <f t="shared" si="144"/>
        <v>244.4970554728738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21.4262353141755</v>
      </c>
      <c r="AV186" s="21">
        <f>EXP(-LN(2)/25)*AV185+(1-EXP(-LN(2)/25))/(LN(2)/25)*Calculateur!AQ186*Calculateur!AS186*VLOOKUP('Données projet'!$B$10,Paramètres!$A$1:$I$89,3,0)*0.475*44/12</f>
        <v>2.1827602111070576</v>
      </c>
      <c r="AW186" s="21">
        <f>EXP(-LN(2)/2)*AW185+(1-EXP(-LN(2)/2))/(LN(2)/2)*AQ186*AT186*VLOOKUP('Données projet'!$B$10,Paramètres!$A$1:$I$89,3,0)*0.475*44/12</f>
        <v>3.6653914991652336E-15</v>
      </c>
      <c r="AX186" s="21">
        <f t="shared" si="166"/>
        <v>23.608995525282563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102.85599999999971</v>
      </c>
      <c r="D187" s="11">
        <f t="shared" si="140"/>
        <v>27.641281046809159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1007.3474326420334</v>
      </c>
      <c r="H187" s="67">
        <f t="shared" si="110"/>
        <v>520.61609782319215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-2.2737367544323206E-13</v>
      </c>
      <c r="O187" s="13">
        <f>N187*VLOOKUP('Données projet'!$B$9,Paramètres!$A$1:$I$89,3,0)*VLOOKUP('Données projet'!$B$9,Paramètres!$A$1:$I$89,5,0)</f>
        <v>-1.3596945791505279E-13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260.31965507630525</v>
      </c>
      <c r="T187" s="59">
        <f t="shared" si="142"/>
        <v>327.31114099338032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12.908403674212753</v>
      </c>
      <c r="AA187" s="21">
        <f>EXP(-LN(2)/25)*AA186+(1-EXP(-LN(2)/25))/(LN(2)/25)*Calculateur!V187*Calculateur!X187*VLOOKUP('Données projet'!$B$9,Paramètres!$A$1:$I$89,3,0)*0.475*44/12</f>
        <v>1.2710258016145954</v>
      </c>
      <c r="AB187" s="21">
        <f>EXP(-LN(2)/2)*AB186+(1-EXP(-LN(2)/2))/(LN(2)/2)*V187*Y187*VLOOKUP('Données projet'!$B$9,Paramètres!$A$1:$I$89,3,0)*0.475*44/12</f>
        <v>2.1904337579224627E-18</v>
      </c>
      <c r="AC187" s="22">
        <f t="shared" si="163"/>
        <v>14.179429475827348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-6.7984728957526396E-14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277.11749933885778</v>
      </c>
      <c r="AO187" s="59">
        <f t="shared" si="144"/>
        <v>244.4970554728738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21.006079908377632</v>
      </c>
      <c r="AV187" s="21">
        <f>EXP(-LN(2)/25)*AV186+(1-EXP(-LN(2)/25))/(LN(2)/25)*Calculateur!AQ187*Calculateur!AS187*VLOOKUP('Données projet'!$B$10,Paramètres!$A$1:$I$89,3,0)*0.475*44/12</f>
        <v>2.1230725183479646</v>
      </c>
      <c r="AW187" s="21">
        <f>EXP(-LN(2)/2)*AW186+(1-EXP(-LN(2)/2))/(LN(2)/2)*AQ187*AT187*VLOOKUP('Données projet'!$B$10,Paramètres!$A$1:$I$89,3,0)*0.475*44/12</f>
        <v>2.5918231847632622E-15</v>
      </c>
      <c r="AX187" s="21">
        <f t="shared" si="166"/>
        <v>23.1291524267256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103.41499999999971</v>
      </c>
      <c r="D188" s="11">
        <f t="shared" si="140"/>
        <v>27.773977384564393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1012.6868429685651</v>
      </c>
      <c r="H188" s="67">
        <f t="shared" si="110"/>
        <v>521.82080227811582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-2.2737367544323206E-13</v>
      </c>
      <c r="O188" s="13">
        <f>N188*VLOOKUP('Données projet'!$B$9,Paramètres!$A$1:$I$89,3,0)*VLOOKUP('Données projet'!$B$9,Paramètres!$A$1:$I$89,5,0)</f>
        <v>-1.3596945791505279E-13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260.31965507630525</v>
      </c>
      <c r="T188" s="59">
        <f t="shared" si="142"/>
        <v>327.31114099338032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12.655277751510253</v>
      </c>
      <c r="AA188" s="21">
        <f>EXP(-LN(2)/25)*AA187+(1-EXP(-LN(2)/25))/(LN(2)/25)*Calculateur!V188*Calculateur!X188*VLOOKUP('Données projet'!$B$9,Paramètres!$A$1:$I$89,3,0)*0.475*44/12</f>
        <v>1.2362695342291024</v>
      </c>
      <c r="AB188" s="21">
        <f>EXP(-LN(2)/2)*AB187+(1-EXP(-LN(2)/2))/(LN(2)/2)*V188*Y188*VLOOKUP('Données projet'!$B$9,Paramètres!$A$1:$I$89,3,0)*0.475*44/12</f>
        <v>1.5488705639669058E-18</v>
      </c>
      <c r="AC188" s="22">
        <f t="shared" si="163"/>
        <v>13.891547285739355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-6.7984728957526396E-14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277.11749933885778</v>
      </c>
      <c r="AO188" s="59">
        <f t="shared" si="144"/>
        <v>244.4970554728738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20.594163493817966</v>
      </c>
      <c r="AV188" s="21">
        <f>EXP(-LN(2)/25)*AV187+(1-EXP(-LN(2)/25))/(LN(2)/25)*Calculateur!AQ188*Calculateur!AS188*VLOOKUP('Données projet'!$B$10,Paramètres!$A$1:$I$89,3,0)*0.475*44/12</f>
        <v>2.065016988686208</v>
      </c>
      <c r="AW188" s="21">
        <f>EXP(-LN(2)/2)*AW187+(1-EXP(-LN(2)/2))/(LN(2)/2)*AQ188*AT188*VLOOKUP('Données projet'!$B$10,Paramètres!$A$1:$I$89,3,0)*0.475*44/12</f>
        <v>1.8326957495826168E-15</v>
      </c>
      <c r="AX188" s="21">
        <f t="shared" si="166"/>
        <v>22.659180482504176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103.97399999999971</v>
      </c>
      <c r="D189" s="11">
        <f t="shared" si="140"/>
        <v>27.906590257048816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1018.025609001778</v>
      </c>
      <c r="H189" s="67">
        <f t="shared" si="110"/>
        <v>523.02536136435947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-2.2737367544323206E-13</v>
      </c>
      <c r="O189" s="13">
        <f>N189*VLOOKUP('Données projet'!$B$9,Paramètres!$A$1:$I$89,3,0)*VLOOKUP('Données projet'!$B$9,Paramètres!$A$1:$I$89,5,0)</f>
        <v>-1.3596945791505279E-13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260.31965507630525</v>
      </c>
      <c r="T189" s="59">
        <f t="shared" si="142"/>
        <v>327.31114099338032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12.407115473760381</v>
      </c>
      <c r="AA189" s="21">
        <f>EXP(-LN(2)/25)*AA188+(1-EXP(-LN(2)/25))/(LN(2)/25)*Calculateur!V189*Calculateur!X189*VLOOKUP('Données projet'!$B$9,Paramètres!$A$1:$I$89,3,0)*0.475*44/12</f>
        <v>1.2024636788030183</v>
      </c>
      <c r="AB189" s="21">
        <f>EXP(-LN(2)/2)*AB188+(1-EXP(-LN(2)/2))/(LN(2)/2)*V189*Y189*VLOOKUP('Données projet'!$B$9,Paramètres!$A$1:$I$89,3,0)*0.475*44/12</f>
        <v>1.0952168789612313E-18</v>
      </c>
      <c r="AC189" s="22">
        <f t="shared" si="163"/>
        <v>13.6095791525634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-6.7984728957526396E-14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277.11749933885778</v>
      </c>
      <c r="AO189" s="59">
        <f t="shared" si="144"/>
        <v>244.4970554728738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20.190324508903611</v>
      </c>
      <c r="AV189" s="21">
        <f>EXP(-LN(2)/25)*AV188+(1-EXP(-LN(2)/25))/(LN(2)/25)*Calculateur!AQ189*Calculateur!AS189*VLOOKUP('Données projet'!$B$10,Paramètres!$A$1:$I$89,3,0)*0.475*44/12</f>
        <v>2.0085489905360601</v>
      </c>
      <c r="AW189" s="21">
        <f>EXP(-LN(2)/2)*AW188+(1-EXP(-LN(2)/2))/(LN(2)/2)*AQ189*AT189*VLOOKUP('Données projet'!$B$10,Paramètres!$A$1:$I$89,3,0)*0.475*44/12</f>
        <v>1.2959115923816311E-15</v>
      </c>
      <c r="AX189" s="21">
        <f t="shared" si="166"/>
        <v>22.198873499439671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104.5329999999997</v>
      </c>
      <c r="D190" s="11">
        <f t="shared" si="140"/>
        <v>28.039120165081656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1023.3637346076456</v>
      </c>
      <c r="H190" s="67">
        <f t="shared" si="110"/>
        <v>524.22977595418331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-2.2737367544323206E-13</v>
      </c>
      <c r="O190" s="13">
        <f>N190*VLOOKUP('Données projet'!$B$9,Paramètres!$A$1:$I$89,3,0)*VLOOKUP('Données projet'!$B$9,Paramètres!$A$1:$I$89,5,0)</f>
        <v>-1.3596945791505279E-13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260.31965507630525</v>
      </c>
      <c r="T190" s="59">
        <f t="shared" si="142"/>
        <v>327.31114099338032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12.163819506913141</v>
      </c>
      <c r="AA190" s="21">
        <f>EXP(-LN(2)/25)*AA189+(1-EXP(-LN(2)/25))/(LN(2)/25)*Calculateur!V190*Calculateur!X190*VLOOKUP('Données projet'!$B$9,Paramètres!$A$1:$I$89,3,0)*0.475*44/12</f>
        <v>1.1695822462713332</v>
      </c>
      <c r="AB190" s="21">
        <f>EXP(-LN(2)/2)*AB189+(1-EXP(-LN(2)/2))/(LN(2)/2)*V190*Y190*VLOOKUP('Données projet'!$B$9,Paramètres!$A$1:$I$89,3,0)*0.475*44/12</f>
        <v>7.7443528198345292E-19</v>
      </c>
      <c r="AC190" s="22">
        <f t="shared" si="163"/>
        <v>13.333401753184475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-6.7984728957526396E-14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277.11749933885778</v>
      </c>
      <c r="AO190" s="59">
        <f t="shared" si="144"/>
        <v>244.4970554728738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19.794404560165969</v>
      </c>
      <c r="AV190" s="21">
        <f>EXP(-LN(2)/25)*AV189+(1-EXP(-LN(2)/25))/(LN(2)/25)*Calculateur!AQ190*Calculateur!AS190*VLOOKUP('Données projet'!$B$10,Paramètres!$A$1:$I$89,3,0)*0.475*44/12</f>
        <v>1.9536251127648507</v>
      </c>
      <c r="AW190" s="21">
        <f>EXP(-LN(2)/2)*AW189+(1-EXP(-LN(2)/2))/(LN(2)/2)*AQ190*AT190*VLOOKUP('Données projet'!$B$10,Paramètres!$A$1:$I$89,3,0)*0.475*44/12</f>
        <v>9.163478747913084E-16</v>
      </c>
      <c r="AX190" s="21">
        <f t="shared" si="166"/>
        <v>21.748029672930819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105.0919999999997</v>
      </c>
      <c r="D191" s="11">
        <f t="shared" si="140"/>
        <v>28.171567603815788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1028.7012236084001</v>
      </c>
      <c r="H191" s="67">
        <f t="shared" si="110"/>
        <v>525.43404690997863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-2.2737367544323206E-13</v>
      </c>
      <c r="O191" s="13">
        <f>N191*VLOOKUP('Données projet'!$B$9,Paramètres!$A$1:$I$89,3,0)*VLOOKUP('Données projet'!$B$9,Paramètres!$A$1:$I$89,5,0)</f>
        <v>-1.3596945791505279E-13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260.31965507630525</v>
      </c>
      <c r="T191" s="59">
        <f t="shared" si="142"/>
        <v>327.31114099338032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11.925294425579889</v>
      </c>
      <c r="AA191" s="21">
        <f>EXP(-LN(2)/25)*AA190+(1-EXP(-LN(2)/25))/(LN(2)/25)*Calculateur!V191*Calculateur!X191*VLOOKUP('Données projet'!$B$9,Paramètres!$A$1:$I$89,3,0)*0.475*44/12</f>
        <v>1.1375999582413865</v>
      </c>
      <c r="AB191" s="21">
        <f>EXP(-LN(2)/2)*AB190+(1-EXP(-LN(2)/2))/(LN(2)/2)*V191*Y191*VLOOKUP('Données projet'!$B$9,Paramètres!$A$1:$I$89,3,0)*0.475*44/12</f>
        <v>5.4760843948061567E-19</v>
      </c>
      <c r="AC191" s="22">
        <f t="shared" si="163"/>
        <v>13.062894383821275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-6.7984728957526396E-14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277.11749933885778</v>
      </c>
      <c r="AO191" s="59">
        <f t="shared" si="144"/>
        <v>244.4970554728738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19.406248360135748</v>
      </c>
      <c r="AV191" s="21">
        <f>EXP(-LN(2)/25)*AV190+(1-EXP(-LN(2)/25))/(LN(2)/25)*Calculateur!AQ191*Calculateur!AS191*VLOOKUP('Données projet'!$B$10,Paramètres!$A$1:$I$89,3,0)*0.475*44/12</f>
        <v>1.9002031313196164</v>
      </c>
      <c r="AW191" s="21">
        <f>EXP(-LN(2)/2)*AW190+(1-EXP(-LN(2)/2))/(LN(2)/2)*AQ191*AT191*VLOOKUP('Données projet'!$B$10,Paramètres!$A$1:$I$89,3,0)*0.475*44/12</f>
        <v>6.4795579619081556E-16</v>
      </c>
      <c r="AX191" s="21">
        <f t="shared" si="166"/>
        <v>21.306451491455366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105.6509999999997</v>
      </c>
      <c r="D192" s="11">
        <f t="shared" si="140"/>
        <v>28.303933062831472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1034.0380797832584</v>
      </c>
      <c r="H192" s="67">
        <f t="shared" si="110"/>
        <v>526.63817508443094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-2.2737367544323206E-13</v>
      </c>
      <c r="O192" s="13">
        <f>N192*VLOOKUP('Données projet'!$B$9,Paramètres!$A$1:$I$89,3,0)*VLOOKUP('Données projet'!$B$9,Paramètres!$A$1:$I$89,5,0)</f>
        <v>-1.3596945791505279E-13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260.31965507630525</v>
      </c>
      <c r="T192" s="59">
        <f t="shared" si="142"/>
        <v>327.31114099338032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11.691446675605647</v>
      </c>
      <c r="AA192" s="21">
        <f>EXP(-LN(2)/25)*AA191+(1-EXP(-LN(2)/25))/(LN(2)/25)*Calculateur!V192*Calculateur!X192*VLOOKUP('Données projet'!$B$9,Paramètres!$A$1:$I$89,3,0)*0.475*44/12</f>
        <v>1.1064922275594939</v>
      </c>
      <c r="AB192" s="21">
        <f>EXP(-LN(2)/2)*AB191+(1-EXP(-LN(2)/2))/(LN(2)/2)*V192*Y192*VLOOKUP('Données projet'!$B$9,Paramètres!$A$1:$I$89,3,0)*0.475*44/12</f>
        <v>3.8721764099172646E-19</v>
      </c>
      <c r="AC192" s="22">
        <f t="shared" si="163"/>
        <v>12.797938903165141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-6.7984728957526396E-14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277.11749933885778</v>
      </c>
      <c r="AO192" s="59">
        <f t="shared" si="144"/>
        <v>244.4970554728738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19.025703666436215</v>
      </c>
      <c r="AV192" s="21">
        <f>EXP(-LN(2)/25)*AV191+(1-EXP(-LN(2)/25))/(LN(2)/25)*Calculateur!AQ192*Calculateur!AS192*VLOOKUP('Données projet'!$B$10,Paramètres!$A$1:$I$89,3,0)*0.475*44/12</f>
        <v>1.8482419767663418</v>
      </c>
      <c r="AW192" s="21">
        <f>EXP(-LN(2)/2)*AW191+(1-EXP(-LN(2)/2))/(LN(2)/2)*AQ192*AT192*VLOOKUP('Données projet'!$B$10,Paramètres!$A$1:$I$89,3,0)*0.475*44/12</f>
        <v>4.581739373956542E-16</v>
      </c>
      <c r="AX192" s="21">
        <f t="shared" si="166"/>
        <v>20.873945643202557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106.2099999999997</v>
      </c>
      <c r="D193" s="11">
        <f t="shared" si="140"/>
        <v>28.436217026228405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1039.3743068691292</v>
      </c>
      <c r="H193" s="67">
        <f t="shared" si="110"/>
        <v>527.84216132068059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-2.2737367544323206E-13</v>
      </c>
      <c r="O193" s="13">
        <f>N193*VLOOKUP('Données projet'!$B$9,Paramètres!$A$1:$I$89,3,0)*VLOOKUP('Données projet'!$B$9,Paramètres!$A$1:$I$89,5,0)</f>
        <v>-1.3596945791505279E-13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260.31965507630525</v>
      </c>
      <c r="T193" s="59">
        <f t="shared" si="142"/>
        <v>327.31114099338032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11.462184537375357</v>
      </c>
      <c r="AA193" s="21">
        <f>EXP(-LN(2)/25)*AA192+(1-EXP(-LN(2)/25))/(LN(2)/25)*Calculateur!V193*Calculateur!X193*VLOOKUP('Données projet'!$B$9,Paramètres!$A$1:$I$89,3,0)*0.475*44/12</f>
        <v>1.0762351394089822</v>
      </c>
      <c r="AB193" s="21">
        <f>EXP(-LN(2)/2)*AB192+(1-EXP(-LN(2)/2))/(LN(2)/2)*V193*Y193*VLOOKUP('Données projet'!$B$9,Paramètres!$A$1:$I$89,3,0)*0.475*44/12</f>
        <v>2.7380421974030783E-19</v>
      </c>
      <c r="AC193" s="22">
        <f t="shared" si="163"/>
        <v>12.53841967678434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-6.7984728957526396E-14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277.11749933885778</v>
      </c>
      <c r="AO193" s="59">
        <f t="shared" si="144"/>
        <v>244.4970554728738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18.652621222070785</v>
      </c>
      <c r="AV193" s="21">
        <f>EXP(-LN(2)/25)*AV192+(1-EXP(-LN(2)/25))/(LN(2)/25)*Calculateur!AQ193*Calculateur!AS193*VLOOKUP('Données projet'!$B$10,Paramètres!$A$1:$I$89,3,0)*0.475*44/12</f>
        <v>1.7977017027168449</v>
      </c>
      <c r="AW193" s="21">
        <f>EXP(-LN(2)/2)*AW192+(1-EXP(-LN(2)/2))/(LN(2)/2)*AQ193*AT193*VLOOKUP('Données projet'!$B$10,Paramètres!$A$1:$I$89,3,0)*0.475*44/12</f>
        <v>3.2397789809540778E-16</v>
      </c>
      <c r="AX193" s="21">
        <f t="shared" si="166"/>
        <v>20.450322924787631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106.76899999999969</v>
      </c>
      <c r="D194" s="11">
        <f t="shared" si="140"/>
        <v>28.568419972715443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1044.7099085613097</v>
      </c>
      <c r="H194" s="67">
        <f t="shared" si="110"/>
        <v>529.04600645247888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-2.2737367544323206E-13</v>
      </c>
      <c r="O194" s="13">
        <f>N194*VLOOKUP('Données projet'!$B$9,Paramètres!$A$1:$I$89,3,0)*VLOOKUP('Données projet'!$B$9,Paramètres!$A$1:$I$89,5,0)</f>
        <v>-1.3596945791505279E-13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260.31965507630525</v>
      </c>
      <c r="T194" s="59">
        <f t="shared" si="142"/>
        <v>327.31114099338032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11.237418089839666</v>
      </c>
      <c r="AA194" s="21">
        <f>EXP(-LN(2)/25)*AA193+(1-EXP(-LN(2)/25))/(LN(2)/25)*Calculateur!V194*Calculateur!X194*VLOOKUP('Données projet'!$B$9,Paramètres!$A$1:$I$89,3,0)*0.475*44/12</f>
        <v>1.0468054329250973</v>
      </c>
      <c r="AB194" s="21">
        <f>EXP(-LN(2)/2)*AB193+(1-EXP(-LN(2)/2))/(LN(2)/2)*V194*Y194*VLOOKUP('Données projet'!$B$9,Paramètres!$A$1:$I$89,3,0)*0.475*44/12</f>
        <v>1.9360882049586323E-19</v>
      </c>
      <c r="AC194" s="22">
        <f t="shared" si="163"/>
        <v>12.284223522764764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-6.7984728957526396E-14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277.11749933885778</v>
      </c>
      <c r="AO194" s="59">
        <f t="shared" si="144"/>
        <v>244.4970554728738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18.286854696881541</v>
      </c>
      <c r="AV194" s="21">
        <f>EXP(-LN(2)/25)*AV193+(1-EXP(-LN(2)/25))/(LN(2)/25)*Calculateur!AQ194*Calculateur!AS194*VLOOKUP('Données projet'!$B$10,Paramètres!$A$1:$I$89,3,0)*0.475*44/12</f>
        <v>1.7485434551190289</v>
      </c>
      <c r="AW194" s="21">
        <f>EXP(-LN(2)/2)*AW193+(1-EXP(-LN(2)/2))/(LN(2)/2)*AQ194*AT194*VLOOKUP('Données projet'!$B$10,Paramètres!$A$1:$I$89,3,0)*0.475*44/12</f>
        <v>2.290869686978271E-16</v>
      </c>
      <c r="AX194" s="21">
        <f t="shared" si="166"/>
        <v>20.035398152000571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107.32799999999969</v>
      </c>
      <c r="D195" s="11">
        <f t="shared" si="140"/>
        <v>28.700542375698632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1050.0448885141625</v>
      </c>
      <c r="H195" s="67">
        <f t="shared" si="110"/>
        <v>530.24971130434119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-2.2737367544323206E-13</v>
      </c>
      <c r="O195" s="13">
        <f>N195*VLOOKUP('Données projet'!$B$9,Paramètres!$A$1:$I$89,3,0)*VLOOKUP('Données projet'!$B$9,Paramètres!$A$1:$I$89,5,0)</f>
        <v>-1.3596945791505279E-13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260.31965507630525</v>
      </c>
      <c r="T195" s="59">
        <f t="shared" si="142"/>
        <v>327.31114099338032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11.017059175246155</v>
      </c>
      <c r="AA195" s="21">
        <f>EXP(-LN(2)/25)*AA194+(1-EXP(-LN(2)/25))/(LN(2)/25)*Calculateur!V195*Calculateur!X195*VLOOKUP('Données projet'!$B$9,Paramètres!$A$1:$I$89,3,0)*0.475*44/12</f>
        <v>1.0181804833126553</v>
      </c>
      <c r="AB195" s="21">
        <f>EXP(-LN(2)/2)*AB194+(1-EXP(-LN(2)/2))/(LN(2)/2)*V195*Y195*VLOOKUP('Données projet'!$B$9,Paramètres!$A$1:$I$89,3,0)*0.475*44/12</f>
        <v>1.3690210987015392E-19</v>
      </c>
      <c r="AC195" s="22">
        <f t="shared" si="163"/>
        <v>12.03523965855881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-6.7984728957526396E-14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277.11749933885778</v>
      </c>
      <c r="AO195" s="59">
        <f t="shared" si="144"/>
        <v>244.4970554728738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17.928260630155705</v>
      </c>
      <c r="AV195" s="21">
        <f>EXP(-LN(2)/25)*AV194+(1-EXP(-LN(2)/25))/(LN(2)/25)*Calculateur!AQ195*Calculateur!AS195*VLOOKUP('Données projet'!$B$10,Paramètres!$A$1:$I$89,3,0)*0.475*44/12</f>
        <v>1.7007294423868951</v>
      </c>
      <c r="AW195" s="21">
        <f>EXP(-LN(2)/2)*AW194+(1-EXP(-LN(2)/2))/(LN(2)/2)*AQ195*AT195*VLOOKUP('Données projet'!$B$10,Paramètres!$A$1:$I$89,3,0)*0.475*44/12</f>
        <v>1.6198894904770389E-16</v>
      </c>
      <c r="AX195" s="21">
        <f t="shared" si="166"/>
        <v>19.628990072542599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107.88699999999969</v>
      </c>
      <c r="D196" s="11">
        <f t="shared" si="140"/>
        <v>28.832584703367186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1055.3792503417794</v>
      </c>
      <c r="H196" s="67">
        <f t="shared" ref="H196:H203" si="192">(B196+E196+F196)*44/12+(C196+D196)*0.475*44/12</f>
        <v>531.45327669169728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-2.2737367544323206E-13</v>
      </c>
      <c r="O196" s="13">
        <f>N196*VLOOKUP('Données projet'!$B$9,Paramètres!$A$1:$I$89,3,0)*VLOOKUP('Données projet'!$B$9,Paramètres!$A$1:$I$89,5,0)</f>
        <v>-1.3596945791505279E-13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260.31965507630525</v>
      </c>
      <c r="T196" s="59">
        <f t="shared" si="142"/>
        <v>327.31114099338032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10.801021364562155</v>
      </c>
      <c r="AA196" s="21">
        <f>EXP(-LN(2)/25)*AA195+(1-EXP(-LN(2)/25))/(LN(2)/25)*Calculateur!V196*Calculateur!X196*VLOOKUP('Données projet'!$B$9,Paramètres!$A$1:$I$89,3,0)*0.475*44/12</f>
        <v>0.99033828445268623</v>
      </c>
      <c r="AB196" s="21">
        <f>EXP(-LN(2)/2)*AB195+(1-EXP(-LN(2)/2))/(LN(2)/2)*V196*Y196*VLOOKUP('Données projet'!$B$9,Paramètres!$A$1:$I$89,3,0)*0.475*44/12</f>
        <v>9.6804410247931615E-20</v>
      </c>
      <c r="AC196" s="22">
        <f t="shared" si="163"/>
        <v>11.791359649014842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-6.7984728957526396E-14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277.11749933885778</v>
      </c>
      <c r="AO196" s="59">
        <f t="shared" si="144"/>
        <v>244.4970554728738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17.57669837435758</v>
      </c>
      <c r="AV196" s="21">
        <f>EXP(-LN(2)/25)*AV195+(1-EXP(-LN(2)/25))/(LN(2)/25)*Calculateur!AQ196*Calculateur!AS196*VLOOKUP('Données projet'!$B$10,Paramètres!$A$1:$I$89,3,0)*0.475*44/12</f>
        <v>1.654222906347351</v>
      </c>
      <c r="AW196" s="21">
        <f>EXP(-LN(2)/2)*AW195+(1-EXP(-LN(2)/2))/(LN(2)/2)*AQ196*AT196*VLOOKUP('Données projet'!$B$10,Paramètres!$A$1:$I$89,3,0)*0.475*44/12</f>
        <v>1.1454348434891355E-16</v>
      </c>
      <c r="AX196" s="21">
        <f t="shared" si="166"/>
        <v>19.23092128070493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108.44599999999969</v>
      </c>
      <c r="D197" s="11">
        <f t="shared" ref="D197:D203" si="202">IFERROR(EXP(-1.0587+0.8836*LN(C197)+0.284),0)</f>
        <v>28.964547418777748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1060.7129976186329</v>
      </c>
      <c r="H197" s="67">
        <f t="shared" si="192"/>
        <v>532.65670342103738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-2.2737367544323206E-13</v>
      </c>
      <c r="O197" s="13">
        <f>N197*VLOOKUP('Données projet'!$B$9,Paramètres!$A$1:$I$89,3,0)*VLOOKUP('Données projet'!$B$9,Paramètres!$A$1:$I$89,5,0)</f>
        <v>-1.3596945791505279E-13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260.31965507630525</v>
      </c>
      <c r="T197" s="59">
        <f t="shared" ref="T197:T203" si="204">$T$3</f>
        <v>327.31114099338032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10.589219923575616</v>
      </c>
      <c r="AA197" s="21">
        <f>EXP(-LN(2)/25)*AA196+(1-EXP(-LN(2)/25))/(LN(2)/25)*Calculateur!V197*Calculateur!X197*VLOOKUP('Données projet'!$B$9,Paramètres!$A$1:$I$89,3,0)*0.475*44/12</f>
        <v>0.9632574319847006</v>
      </c>
      <c r="AB197" s="21">
        <f>EXP(-LN(2)/2)*AB196+(1-EXP(-LN(2)/2))/(LN(2)/2)*V197*Y197*VLOOKUP('Données projet'!$B$9,Paramètres!$A$1:$I$89,3,0)*0.475*44/12</f>
        <v>6.8451054935076958E-20</v>
      </c>
      <c r="AC197" s="22">
        <f t="shared" si="163"/>
        <v>11.552477355560317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-6.7984728957526396E-14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277.11749933885778</v>
      </c>
      <c r="AO197" s="59">
        <f t="shared" ref="AO197:AO203" si="205">$AO$3</f>
        <v>244.4970554728738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17.232030039963853</v>
      </c>
      <c r="AV197" s="21">
        <f>EXP(-LN(2)/25)*AV196+(1-EXP(-LN(2)/25))/(LN(2)/25)*Calculateur!AQ197*Calculateur!AS197*VLOOKUP('Données projet'!$B$10,Paramètres!$A$1:$I$89,3,0)*0.475*44/12</f>
        <v>1.6089880939814809</v>
      </c>
      <c r="AW197" s="21">
        <f>EXP(-LN(2)/2)*AW196+(1-EXP(-LN(2)/2))/(LN(2)/2)*AQ197*AT197*VLOOKUP('Données projet'!$B$10,Paramètres!$A$1:$I$89,3,0)*0.475*44/12</f>
        <v>8.0994474523851945E-17</v>
      </c>
      <c r="AX197" s="21">
        <f t="shared" si="166"/>
        <v>18.841018133945333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109.00499999999968</v>
      </c>
      <c r="D198" s="11">
        <f t="shared" si="202"/>
        <v>29.096430979936777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1066.0461338802113</v>
      </c>
      <c r="H198" s="67">
        <f t="shared" si="192"/>
        <v>533.85999229005597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-2.2737367544323206E-13</v>
      </c>
      <c r="O198" s="13">
        <f>N198*VLOOKUP('Données projet'!$B$9,Paramètres!$A$1:$I$89,3,0)*VLOOKUP('Données projet'!$B$9,Paramètres!$A$1:$I$89,5,0)</f>
        <v>-1.3596945791505279E-13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260.31965507630525</v>
      </c>
      <c r="T198" s="59">
        <f t="shared" si="204"/>
        <v>327.31114099338032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10.3815717796607</v>
      </c>
      <c r="AA198" s="21">
        <f>EXP(-LN(2)/25)*AA197+(1-EXP(-LN(2)/25))/(LN(2)/25)*Calculateur!V198*Calculateur!X198*VLOOKUP('Données projet'!$B$9,Paramètres!$A$1:$I$89,3,0)*0.475*44/12</f>
        <v>0.93691710685157215</v>
      </c>
      <c r="AB198" s="21">
        <f>EXP(-LN(2)/2)*AB197+(1-EXP(-LN(2)/2))/(LN(2)/2)*V198*Y198*VLOOKUP('Données projet'!$B$9,Paramètres!$A$1:$I$89,3,0)*0.475*44/12</f>
        <v>4.8402205123965808E-20</v>
      </c>
      <c r="AC198" s="22">
        <f t="shared" si="163"/>
        <v>11.318488886512272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-6.7984728957526396E-14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277.11749933885778</v>
      </c>
      <c r="AO198" s="59">
        <f t="shared" si="205"/>
        <v>244.4970554728738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16.894120441380661</v>
      </c>
      <c r="AV198" s="21">
        <f>EXP(-LN(2)/25)*AV197+(1-EXP(-LN(2)/25))/(LN(2)/25)*Calculateur!AQ198*Calculateur!AS198*VLOOKUP('Données projet'!$B$10,Paramètres!$A$1:$I$89,3,0)*0.475*44/12</f>
        <v>1.5649902299385507</v>
      </c>
      <c r="AW198" s="21">
        <f>EXP(-LN(2)/2)*AW197+(1-EXP(-LN(2)/2))/(LN(2)/2)*AQ198*AT198*VLOOKUP('Données projet'!$B$10,Paramètres!$A$1:$I$89,3,0)*0.475*44/12</f>
        <v>5.7271742174456775E-17</v>
      </c>
      <c r="AX198" s="21">
        <f t="shared" si="166"/>
        <v>18.459110671319213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109.56399999999968</v>
      </c>
      <c r="D199" s="11">
        <f t="shared" si="202"/>
        <v>29.228235839881293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1071.3786626236426</v>
      </c>
      <c r="H199" s="67">
        <f t="shared" si="192"/>
        <v>535.06314408779258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-2.2737367544323206E-13</v>
      </c>
      <c r="O199" s="13">
        <f>N199*VLOOKUP('Données projet'!$B$9,Paramètres!$A$1:$I$89,3,0)*VLOOKUP('Données projet'!$B$9,Paramètres!$A$1:$I$89,5,0)</f>
        <v>-1.3596945791505279E-13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260.31965507630525</v>
      </c>
      <c r="T199" s="59">
        <f t="shared" si="204"/>
        <v>327.31114099338032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10.177995489195093</v>
      </c>
      <c r="AA199" s="21">
        <f>EXP(-LN(2)/25)*AA198+(1-EXP(-LN(2)/25))/(LN(2)/25)*Calculateur!V199*Calculateur!X199*VLOOKUP('Données projet'!$B$9,Paramètres!$A$1:$I$89,3,0)*0.475*44/12</f>
        <v>0.91129705929438665</v>
      </c>
      <c r="AB199" s="21">
        <f>EXP(-LN(2)/2)*AB198+(1-EXP(-LN(2)/2))/(LN(2)/2)*V199*Y199*VLOOKUP('Données projet'!$B$9,Paramètres!$A$1:$I$89,3,0)*0.475*44/12</f>
        <v>3.4225527467538479E-20</v>
      </c>
      <c r="AC199" s="22">
        <f t="shared" si="163"/>
        <v>11.08929254848948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-6.7984728957526396E-14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277.11749933885778</v>
      </c>
      <c r="AO199" s="59">
        <f t="shared" si="205"/>
        <v>244.4970554728738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16.562837043921181</v>
      </c>
      <c r="AV199" s="21">
        <f>EXP(-LN(2)/25)*AV198+(1-EXP(-LN(2)/25))/(LN(2)/25)*Calculateur!AQ199*Calculateur!AS199*VLOOKUP('Données projet'!$B$10,Paramètres!$A$1:$I$89,3,0)*0.475*44/12</f>
        <v>1.5221954898016217</v>
      </c>
      <c r="AW199" s="21">
        <f>EXP(-LN(2)/2)*AW198+(1-EXP(-LN(2)/2))/(LN(2)/2)*AQ199*AT199*VLOOKUP('Données projet'!$B$10,Paramètres!$A$1:$I$89,3,0)*0.475*44/12</f>
        <v>4.0497237261925973E-17</v>
      </c>
      <c r="AX199" s="21">
        <f t="shared" si="166"/>
        <v>18.085032533722803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110.12299999999968</v>
      </c>
      <c r="D200" s="11">
        <f t="shared" si="202"/>
        <v>29.359962446757773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1076.7105873083033</v>
      </c>
      <c r="H200" s="67">
        <f t="shared" si="192"/>
        <v>536.26615959476919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-2.2737367544323206E-13</v>
      </c>
      <c r="O200" s="13">
        <f>N200*VLOOKUP('Données projet'!$B$9,Paramètres!$A$1:$I$89,3,0)*VLOOKUP('Données projet'!$B$9,Paramètres!$A$1:$I$89,5,0)</f>
        <v>-1.3596945791505279E-13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260.31965507630525</v>
      </c>
      <c r="T200" s="59">
        <f t="shared" si="204"/>
        <v>327.31114099338032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9.97841120561624</v>
      </c>
      <c r="AA200" s="21">
        <f>EXP(-LN(2)/25)*AA199+(1-EXP(-LN(2)/25))/(LN(2)/25)*Calculateur!V200*Calculateur!X200*VLOOKUP('Données projet'!$B$9,Paramètres!$A$1:$I$89,3,0)*0.475*44/12</f>
        <v>0.88637759328495214</v>
      </c>
      <c r="AB200" s="21">
        <f>EXP(-LN(2)/2)*AB199+(1-EXP(-LN(2)/2))/(LN(2)/2)*V200*Y200*VLOOKUP('Données projet'!$B$9,Paramètres!$A$1:$I$89,3,0)*0.475*44/12</f>
        <v>2.4201102561982904E-20</v>
      </c>
      <c r="AC200" s="22">
        <f t="shared" si="163"/>
        <v>10.864788798901191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-6.7984728957526396E-14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277.11749933885778</v>
      </c>
      <c r="AO200" s="59">
        <f t="shared" si="205"/>
        <v>244.4970554728738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16.238049911822962</v>
      </c>
      <c r="AV200" s="21">
        <f>EXP(-LN(2)/25)*AV199+(1-EXP(-LN(2)/25))/(LN(2)/25)*Calculateur!AQ200*Calculateur!AS200*VLOOKUP('Données projet'!$B$10,Paramètres!$A$1:$I$89,3,0)*0.475*44/12</f>
        <v>1.4805709740842146</v>
      </c>
      <c r="AW200" s="21">
        <f>EXP(-LN(2)/2)*AW199+(1-EXP(-LN(2)/2))/(LN(2)/2)*AQ200*AT200*VLOOKUP('Données projet'!$B$10,Paramètres!$A$1:$I$89,3,0)*0.475*44/12</f>
        <v>2.8635871087228388E-17</v>
      </c>
      <c r="AX200" s="21">
        <f t="shared" si="166"/>
        <v>17.718620885907178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110.68199999999968</v>
      </c>
      <c r="D201" s="11">
        <f t="shared" si="202"/>
        <v>29.491611243899612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1082.0419113564158</v>
      </c>
      <c r="H201" s="67">
        <f t="shared" si="192"/>
        <v>537.46903958312464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-2.2737367544323206E-13</v>
      </c>
      <c r="O201" s="13">
        <f>N201*VLOOKUP('Données projet'!$B$9,Paramètres!$A$1:$I$89,3,0)*VLOOKUP('Données projet'!$B$9,Paramètres!$A$1:$I$89,5,0)</f>
        <v>-1.3596945791505279E-13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260.31965507630525</v>
      </c>
      <c r="T201" s="59">
        <f t="shared" si="204"/>
        <v>327.31114099338032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9.7827406481039763</v>
      </c>
      <c r="AA201" s="21">
        <f>EXP(-LN(2)/25)*AA200+(1-EXP(-LN(2)/25))/(LN(2)/25)*Calculateur!V201*Calculateur!X201*VLOOKUP('Données projet'!$B$9,Paramètres!$A$1:$I$89,3,0)*0.475*44/12</f>
        <v>0.86213955138400333</v>
      </c>
      <c r="AB201" s="21">
        <f>EXP(-LN(2)/2)*AB200+(1-EXP(-LN(2)/2))/(LN(2)/2)*V201*Y201*VLOOKUP('Données projet'!$B$9,Paramètres!$A$1:$I$89,3,0)*0.475*44/12</f>
        <v>1.711276373376924E-20</v>
      </c>
      <c r="AC201" s="22">
        <f t="shared" si="163"/>
        <v>10.644880199487979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-6.7984728957526396E-14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277.11749933885778</v>
      </c>
      <c r="AO201" s="59">
        <f t="shared" si="205"/>
        <v>244.4970554728738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15.919631657284599</v>
      </c>
      <c r="AV201" s="21">
        <f>EXP(-LN(2)/25)*AV200+(1-EXP(-LN(2)/25))/(LN(2)/25)*Calculateur!AQ201*Calculateur!AS201*VLOOKUP('Données projet'!$B$10,Paramètres!$A$1:$I$89,3,0)*0.475*44/12</f>
        <v>1.440084682938038</v>
      </c>
      <c r="AW201" s="21">
        <f>EXP(-LN(2)/2)*AW200+(1-EXP(-LN(2)/2))/(LN(2)/2)*AQ201*AT201*VLOOKUP('Données projet'!$B$10,Paramètres!$A$1:$I$89,3,0)*0.475*44/12</f>
        <v>2.0248618630962986E-17</v>
      </c>
      <c r="AX201" s="21">
        <f t="shared" si="166"/>
        <v>17.359716340222636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111.24099999999967</v>
      </c>
      <c r="D202" s="11">
        <f t="shared" si="202"/>
        <v>29.623182669902725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1087.3726381536326</v>
      </c>
      <c r="H202" s="67">
        <f t="shared" si="192"/>
        <v>538.67178481674659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-2.2737367544323206E-13</v>
      </c>
      <c r="O202" s="13">
        <f>N202*VLOOKUP('Données projet'!$B$9,Paramètres!$A$1:$I$89,3,0)*VLOOKUP('Données projet'!$B$9,Paramètres!$A$1:$I$89,5,0)</f>
        <v>-1.3596945791505279E-13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260.31965507630525</v>
      </c>
      <c r="T202" s="59">
        <f t="shared" si="204"/>
        <v>327.31114099338032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9.5909070708772717</v>
      </c>
      <c r="AA202" s="21">
        <f>EXP(-LN(2)/25)*AA201+(1-EXP(-LN(2)/25))/(LN(2)/25)*Calculateur!V202*Calculateur!X202*VLOOKUP('Données projet'!$B$9,Paramètres!$A$1:$I$89,3,0)*0.475*44/12</f>
        <v>0.83856430001345916</v>
      </c>
      <c r="AB202" s="21">
        <f>EXP(-LN(2)/2)*AB201+(1-EXP(-LN(2)/2))/(LN(2)/2)*V202*Y202*VLOOKUP('Données projet'!$B$9,Paramètres!$A$1:$I$89,3,0)*0.475*44/12</f>
        <v>1.2100551280991452E-20</v>
      </c>
      <c r="AC202" s="22">
        <f t="shared" si="163"/>
        <v>10.429471370890731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-6.7984728957526396E-14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277.11749933885778</v>
      </c>
      <c r="AO202" s="59">
        <f t="shared" si="205"/>
        <v>244.4970554728738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15.607457390501775</v>
      </c>
      <c r="AV202" s="21">
        <f>EXP(-LN(2)/25)*AV201+(1-EXP(-LN(2)/25))/(LN(2)/25)*Calculateur!AQ202*Calculateur!AS202*VLOOKUP('Données projet'!$B$10,Paramètres!$A$1:$I$89,3,0)*0.475*44/12</f>
        <v>1.4007054915523354</v>
      </c>
      <c r="AW202" s="21">
        <f>EXP(-LN(2)/2)*AW201+(1-EXP(-LN(2)/2))/(LN(2)/2)*AQ202*AT202*VLOOKUP('Données projet'!$B$10,Paramètres!$A$1:$I$89,3,0)*0.475*44/12</f>
        <v>1.4317935543614194E-17</v>
      </c>
      <c r="AX202" s="21">
        <f t="shared" si="166"/>
        <v>17.008162882054112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111.79999999999967</v>
      </c>
      <c r="D203" s="11">
        <f t="shared" si="202"/>
        <v>29.754677158699842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1092.7027710496104</v>
      </c>
      <c r="H203" s="67">
        <f t="shared" si="192"/>
        <v>539.87439605140162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-2.2737367544323206E-13</v>
      </c>
      <c r="O203" s="13">
        <f>N203*VLOOKUP('Données projet'!$B$9,Paramètres!$A$1:$I$89,3,0)*VLOOKUP('Données projet'!$B$9,Paramètres!$A$1:$I$89,5,0)</f>
        <v>-1.3596945791505279E-13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260.31965507630525</v>
      </c>
      <c r="T203" s="59">
        <f t="shared" si="204"/>
        <v>327.31114099338032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9.4028352330930538</v>
      </c>
      <c r="AA203" s="21">
        <f>EXP(-LN(2)/25)*AA202+(1-EXP(-LN(2)/25))/(LN(2)/25)*Calculateur!V203*Calculateur!X203*VLOOKUP('Données projet'!$B$9,Paramètres!$A$1:$I$89,3,0)*0.475*44/12</f>
        <v>0.81563371513141114</v>
      </c>
      <c r="AB203" s="21">
        <f>EXP(-LN(2)/2)*AB202+(1-EXP(-LN(2)/2))/(LN(2)/2)*V203*Y203*VLOOKUP('Données projet'!$B$9,Paramètres!$A$1:$I$89,3,0)*0.475*44/12</f>
        <v>8.5563818668846198E-21</v>
      </c>
      <c r="AC203" s="22">
        <f t="shared" si="163"/>
        <v>10.218468948224466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-6.7984728957526396E-14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277.11749933885778</v>
      </c>
      <c r="AO203" s="59">
        <f t="shared" si="205"/>
        <v>244.4970554728738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15.301404670683061</v>
      </c>
      <c r="AV203" s="21">
        <f>EXP(-LN(2)/25)*AV202+(1-EXP(-LN(2)/25))/(LN(2)/25)*Calculateur!AQ203*Calculateur!AS203*VLOOKUP('Données projet'!$B$10,Paramètres!$A$1:$I$89,3,0)*0.475*44/12</f>
        <v>1.3624031262259364</v>
      </c>
      <c r="AW203" s="21">
        <f>EXP(-LN(2)/2)*AW202+(1-EXP(-LN(2)/2))/(LN(2)/2)*AQ203*AT203*VLOOKUP('Données projet'!$B$10,Paramètres!$A$1:$I$89,3,0)*0.475*44/12</f>
        <v>1.0124309315481493E-17</v>
      </c>
      <c r="AX203" s="21">
        <f t="shared" si="166"/>
        <v>16.663807796908998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100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100</v>
      </c>
      <c r="BA204" s="81" t="s">
        <v>100</v>
      </c>
      <c r="BV204" s="81" t="s">
        <v>100</v>
      </c>
      <c r="CQ204" s="81" t="s">
        <v>100</v>
      </c>
      <c r="DL204" s="81" t="s">
        <v>100</v>
      </c>
      <c r="EG204" s="81" t="s">
        <v>100</v>
      </c>
      <c r="FB204" s="81" t="s">
        <v>100</v>
      </c>
      <c r="FW204" s="81" t="s">
        <v>100</v>
      </c>
      <c r="GR204" s="81" t="s">
        <v>100</v>
      </c>
    </row>
    <row r="205" spans="1:218" ht="15" thickBot="1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1.3909694153327172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1.2909310311160476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defaultColWidth="11.42578125" defaultRowHeight="14.4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4.1" thickBot="1">
      <c r="A1" s="111" t="s">
        <v>101</v>
      </c>
      <c r="B1" s="112" t="s">
        <v>102</v>
      </c>
      <c r="C1" s="113" t="s">
        <v>103</v>
      </c>
      <c r="D1" s="112" t="s">
        <v>104</v>
      </c>
      <c r="E1" s="113" t="s">
        <v>105</v>
      </c>
      <c r="F1" s="113" t="s">
        <v>104</v>
      </c>
      <c r="G1" s="113" t="s">
        <v>106</v>
      </c>
      <c r="H1" s="113" t="s">
        <v>104</v>
      </c>
      <c r="I1" s="114" t="s">
        <v>107</v>
      </c>
      <c r="J1" s="78"/>
      <c r="K1" s="78"/>
      <c r="L1" s="78"/>
      <c r="M1" s="78"/>
      <c r="N1" s="78"/>
    </row>
    <row r="2" spans="1:16">
      <c r="A2" s="115" t="s">
        <v>108</v>
      </c>
      <c r="B2" s="116" t="s">
        <v>109</v>
      </c>
      <c r="C2" s="117">
        <v>0.62</v>
      </c>
      <c r="D2" s="117" t="s">
        <v>110</v>
      </c>
      <c r="E2" s="117">
        <v>1.56</v>
      </c>
      <c r="F2" s="117" t="s">
        <v>111</v>
      </c>
      <c r="G2" s="118">
        <v>0.43</v>
      </c>
      <c r="H2" s="119" t="s">
        <v>112</v>
      </c>
      <c r="I2" s="120">
        <v>0.25</v>
      </c>
      <c r="J2" s="78"/>
      <c r="K2" s="78"/>
      <c r="L2" s="78"/>
      <c r="M2" s="78"/>
      <c r="N2" s="78"/>
      <c r="O2" s="281" t="s">
        <v>113</v>
      </c>
      <c r="P2" s="121">
        <v>0</v>
      </c>
    </row>
    <row r="3" spans="1:16" ht="15" thickBot="1">
      <c r="A3" s="122" t="s">
        <v>114</v>
      </c>
      <c r="B3" s="123" t="s">
        <v>115</v>
      </c>
      <c r="C3" s="124">
        <v>0.64</v>
      </c>
      <c r="D3" s="124" t="s">
        <v>110</v>
      </c>
      <c r="E3" s="124">
        <v>1.56</v>
      </c>
      <c r="F3" s="125" t="s">
        <v>111</v>
      </c>
      <c r="G3" s="126">
        <v>0.43</v>
      </c>
      <c r="H3" s="124" t="s">
        <v>112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>
      <c r="A4" s="122" t="s">
        <v>116</v>
      </c>
      <c r="B4" s="123" t="s">
        <v>117</v>
      </c>
      <c r="C4" s="124">
        <v>0.42</v>
      </c>
      <c r="D4" s="124" t="s">
        <v>110</v>
      </c>
      <c r="E4" s="124">
        <v>1.56</v>
      </c>
      <c r="F4" s="125" t="s">
        <v>111</v>
      </c>
      <c r="G4" s="126">
        <v>0.43</v>
      </c>
      <c r="H4" s="124" t="s">
        <v>112</v>
      </c>
      <c r="I4" s="127">
        <v>0.25</v>
      </c>
      <c r="J4" s="78"/>
      <c r="K4" s="78"/>
      <c r="L4" s="78"/>
      <c r="M4" s="78"/>
      <c r="N4" s="78"/>
    </row>
    <row r="5" spans="1:16">
      <c r="A5" s="122" t="s">
        <v>118</v>
      </c>
      <c r="B5" s="123" t="s">
        <v>119</v>
      </c>
      <c r="C5" s="124">
        <v>0.42</v>
      </c>
      <c r="D5" s="124" t="s">
        <v>110</v>
      </c>
      <c r="E5" s="124">
        <v>1.56</v>
      </c>
      <c r="F5" s="125" t="s">
        <v>111</v>
      </c>
      <c r="G5" s="126">
        <v>0.43</v>
      </c>
      <c r="H5" s="124" t="s">
        <v>112</v>
      </c>
      <c r="I5" s="127">
        <v>0.25</v>
      </c>
      <c r="J5" s="78"/>
      <c r="K5" s="78"/>
      <c r="L5" s="78"/>
      <c r="M5" s="78"/>
      <c r="N5" s="78"/>
      <c r="O5" s="281" t="s">
        <v>120</v>
      </c>
      <c r="P5" s="121">
        <v>0</v>
      </c>
    </row>
    <row r="6" spans="1:16">
      <c r="A6" s="122" t="s">
        <v>121</v>
      </c>
      <c r="B6" s="123" t="s">
        <v>122</v>
      </c>
      <c r="C6" s="124">
        <v>0.42</v>
      </c>
      <c r="D6" s="124" t="s">
        <v>110</v>
      </c>
      <c r="E6" s="124">
        <v>1.56</v>
      </c>
      <c r="F6" s="125" t="s">
        <v>111</v>
      </c>
      <c r="G6" s="126">
        <v>0.43</v>
      </c>
      <c r="H6" s="124" t="s">
        <v>112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>
      <c r="A7" s="122" t="s">
        <v>123</v>
      </c>
      <c r="B7" s="123" t="s">
        <v>124</v>
      </c>
      <c r="C7" s="124">
        <v>0.52</v>
      </c>
      <c r="D7" s="124" t="s">
        <v>110</v>
      </c>
      <c r="E7" s="124">
        <v>1.56</v>
      </c>
      <c r="F7" s="125" t="s">
        <v>111</v>
      </c>
      <c r="G7" s="126">
        <v>0.43</v>
      </c>
      <c r="H7" s="124" t="s">
        <v>112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>
      <c r="A8" s="122" t="s">
        <v>125</v>
      </c>
      <c r="B8" s="123" t="s">
        <v>126</v>
      </c>
      <c r="C8" s="124">
        <v>0.36</v>
      </c>
      <c r="D8" s="124" t="s">
        <v>110</v>
      </c>
      <c r="E8" s="124">
        <v>1.3</v>
      </c>
      <c r="F8" s="125" t="s">
        <v>111</v>
      </c>
      <c r="G8" s="126">
        <v>0.55000000000000004</v>
      </c>
      <c r="H8" s="124" t="s">
        <v>127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>
      <c r="A9" s="122" t="s">
        <v>128</v>
      </c>
      <c r="B9" s="123" t="s">
        <v>129</v>
      </c>
      <c r="C9" s="124">
        <v>0.61</v>
      </c>
      <c r="D9" s="124" t="s">
        <v>110</v>
      </c>
      <c r="E9" s="124">
        <v>1.56</v>
      </c>
      <c r="F9" s="125" t="s">
        <v>111</v>
      </c>
      <c r="G9" s="126">
        <v>0.43</v>
      </c>
      <c r="H9" s="124" t="s">
        <v>112</v>
      </c>
      <c r="I9" s="127">
        <v>0.25</v>
      </c>
      <c r="J9" s="78"/>
      <c r="K9" s="78"/>
      <c r="L9" s="78"/>
      <c r="M9" s="78"/>
      <c r="N9" s="78"/>
    </row>
    <row r="10" spans="1:16">
      <c r="A10" s="122" t="s">
        <v>130</v>
      </c>
      <c r="B10" s="123" t="s">
        <v>131</v>
      </c>
      <c r="C10" s="124">
        <v>0.66</v>
      </c>
      <c r="D10" s="124" t="s">
        <v>110</v>
      </c>
      <c r="E10" s="124">
        <v>1.56</v>
      </c>
      <c r="F10" s="125" t="s">
        <v>111</v>
      </c>
      <c r="G10" s="126">
        <v>0.43</v>
      </c>
      <c r="H10" s="124" t="s">
        <v>112</v>
      </c>
      <c r="I10" s="127">
        <v>0.25</v>
      </c>
      <c r="J10" s="78"/>
      <c r="K10" s="78"/>
      <c r="L10" s="78"/>
      <c r="M10" s="78"/>
      <c r="N10" s="78"/>
      <c r="O10" s="281" t="s">
        <v>132</v>
      </c>
      <c r="P10" s="121">
        <v>0</v>
      </c>
    </row>
    <row r="11" spans="1:16" ht="15" thickBot="1">
      <c r="A11" s="122" t="s">
        <v>133</v>
      </c>
      <c r="B11" s="123" t="s">
        <v>134</v>
      </c>
      <c r="C11" s="124">
        <v>0.47</v>
      </c>
      <c r="D11" s="124" t="s">
        <v>110</v>
      </c>
      <c r="E11" s="124">
        <v>1.56</v>
      </c>
      <c r="F11" s="125" t="s">
        <v>111</v>
      </c>
      <c r="G11" s="126">
        <v>0.43</v>
      </c>
      <c r="H11" s="124" t="s">
        <v>112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>
      <c r="A12" s="122" t="s">
        <v>135</v>
      </c>
      <c r="B12" s="123" t="s">
        <v>136</v>
      </c>
      <c r="C12" s="124">
        <v>0.67</v>
      </c>
      <c r="D12" s="124" t="s">
        <v>110</v>
      </c>
      <c r="E12" s="124">
        <v>1.56</v>
      </c>
      <c r="F12" s="125" t="s">
        <v>111</v>
      </c>
      <c r="G12" s="126">
        <v>0.43</v>
      </c>
      <c r="H12" s="124" t="s">
        <v>137</v>
      </c>
      <c r="I12" s="127">
        <v>0.25</v>
      </c>
      <c r="J12" s="78"/>
      <c r="K12" s="78"/>
      <c r="L12" s="78"/>
      <c r="M12" s="78"/>
      <c r="N12" s="78"/>
    </row>
    <row r="13" spans="1:16">
      <c r="A13" s="122" t="s">
        <v>138</v>
      </c>
      <c r="B13" s="123" t="s">
        <v>139</v>
      </c>
      <c r="C13" s="124">
        <v>0.7</v>
      </c>
      <c r="D13" s="124" t="s">
        <v>110</v>
      </c>
      <c r="E13" s="124">
        <v>1.56</v>
      </c>
      <c r="F13" s="125" t="s">
        <v>111</v>
      </c>
      <c r="G13" s="126">
        <v>0.43</v>
      </c>
      <c r="H13" s="124" t="s">
        <v>137</v>
      </c>
      <c r="I13" s="127">
        <v>0.25</v>
      </c>
      <c r="J13" s="78"/>
      <c r="K13" s="78"/>
      <c r="L13" s="78"/>
      <c r="M13" s="78"/>
      <c r="N13" s="78"/>
    </row>
    <row r="14" spans="1:16">
      <c r="A14" s="122" t="s">
        <v>140</v>
      </c>
      <c r="B14" s="123" t="s">
        <v>141</v>
      </c>
      <c r="C14" s="124">
        <v>0.54</v>
      </c>
      <c r="D14" s="124" t="s">
        <v>110</v>
      </c>
      <c r="E14" s="124">
        <v>1.56</v>
      </c>
      <c r="F14" s="125" t="s">
        <v>111</v>
      </c>
      <c r="G14" s="126">
        <v>0.43</v>
      </c>
      <c r="H14" s="124" t="s">
        <v>137</v>
      </c>
      <c r="I14" s="127">
        <v>0.25</v>
      </c>
      <c r="J14" s="78"/>
      <c r="K14" s="78"/>
      <c r="L14" s="78"/>
      <c r="M14" s="78"/>
      <c r="N14" s="78"/>
    </row>
    <row r="15" spans="1:16">
      <c r="A15" s="122" t="s">
        <v>142</v>
      </c>
      <c r="B15" s="123" t="s">
        <v>143</v>
      </c>
      <c r="C15" s="124">
        <v>0.65</v>
      </c>
      <c r="D15" s="124" t="s">
        <v>110</v>
      </c>
      <c r="E15" s="124">
        <v>1.56</v>
      </c>
      <c r="F15" s="125" t="s">
        <v>111</v>
      </c>
      <c r="G15" s="126">
        <v>0.43</v>
      </c>
      <c r="H15" s="124" t="s">
        <v>137</v>
      </c>
      <c r="I15" s="127">
        <v>0.25</v>
      </c>
      <c r="J15" s="78"/>
      <c r="K15" s="78"/>
      <c r="L15" s="78"/>
      <c r="M15" s="78"/>
      <c r="N15" s="78"/>
    </row>
    <row r="16" spans="1:16">
      <c r="A16" s="122" t="s">
        <v>144</v>
      </c>
      <c r="B16" s="123" t="s">
        <v>145</v>
      </c>
      <c r="C16" s="124">
        <v>0.56000000000000005</v>
      </c>
      <c r="D16" s="124" t="s">
        <v>110</v>
      </c>
      <c r="E16" s="124">
        <v>1.56</v>
      </c>
      <c r="F16" s="125" t="s">
        <v>111</v>
      </c>
      <c r="G16" s="126">
        <v>0.43</v>
      </c>
      <c r="H16" s="124" t="s">
        <v>137</v>
      </c>
      <c r="I16" s="127">
        <v>0.25</v>
      </c>
      <c r="J16" s="78"/>
      <c r="K16" s="78"/>
      <c r="L16" s="78"/>
      <c r="M16" s="78"/>
      <c r="N16" s="78"/>
    </row>
    <row r="17" spans="1:14">
      <c r="A17" s="122" t="s">
        <v>146</v>
      </c>
      <c r="B17" s="123" t="s">
        <v>147</v>
      </c>
      <c r="C17" s="124">
        <v>0.57999999999999996</v>
      </c>
      <c r="D17" s="124" t="s">
        <v>110</v>
      </c>
      <c r="E17" s="124">
        <v>1.56</v>
      </c>
      <c r="F17" s="125" t="s">
        <v>111</v>
      </c>
      <c r="G17" s="126">
        <v>0.43</v>
      </c>
      <c r="H17" s="124" t="s">
        <v>137</v>
      </c>
      <c r="I17" s="127">
        <v>0.25</v>
      </c>
      <c r="J17" s="78"/>
      <c r="K17" s="78"/>
      <c r="L17" s="78"/>
      <c r="M17" s="78"/>
      <c r="N17" s="78"/>
    </row>
    <row r="18" spans="1:14">
      <c r="A18" s="122" t="s">
        <v>148</v>
      </c>
      <c r="B18" s="123" t="s">
        <v>149</v>
      </c>
      <c r="C18" s="124">
        <v>0.64</v>
      </c>
      <c r="D18" s="124" t="s">
        <v>110</v>
      </c>
      <c r="E18" s="124">
        <v>1.56</v>
      </c>
      <c r="F18" s="125" t="s">
        <v>111</v>
      </c>
      <c r="G18" s="126">
        <v>0.43</v>
      </c>
      <c r="H18" s="124" t="s">
        <v>137</v>
      </c>
      <c r="I18" s="127">
        <v>0.25</v>
      </c>
      <c r="J18" s="78"/>
      <c r="K18" s="78"/>
      <c r="L18" s="78"/>
      <c r="M18" s="78"/>
      <c r="N18" s="78"/>
    </row>
    <row r="19" spans="1:14">
      <c r="A19" s="122" t="s">
        <v>150</v>
      </c>
      <c r="B19" s="123" t="s">
        <v>151</v>
      </c>
      <c r="C19" s="124">
        <v>0.73</v>
      </c>
      <c r="D19" s="124" t="s">
        <v>110</v>
      </c>
      <c r="E19" s="124">
        <v>1.56</v>
      </c>
      <c r="F19" s="125" t="s">
        <v>111</v>
      </c>
      <c r="G19" s="126">
        <v>0.43</v>
      </c>
      <c r="H19" s="124" t="s">
        <v>137</v>
      </c>
      <c r="I19" s="127">
        <v>0.25</v>
      </c>
      <c r="J19" s="78"/>
      <c r="K19" s="78"/>
      <c r="L19" s="78"/>
      <c r="M19" s="78"/>
      <c r="N19" s="78"/>
    </row>
    <row r="20" spans="1:14">
      <c r="A20" s="122" t="s">
        <v>152</v>
      </c>
      <c r="B20" s="123" t="s">
        <v>153</v>
      </c>
      <c r="C20" s="124">
        <v>0.69</v>
      </c>
      <c r="D20" s="124" t="s">
        <v>154</v>
      </c>
      <c r="E20" s="124">
        <v>1.56</v>
      </c>
      <c r="F20" s="125" t="s">
        <v>111</v>
      </c>
      <c r="G20" s="126">
        <v>0.43</v>
      </c>
      <c r="H20" s="124" t="s">
        <v>155</v>
      </c>
      <c r="I20" s="127">
        <v>0.25</v>
      </c>
      <c r="J20" s="78"/>
      <c r="K20" s="78"/>
      <c r="L20" s="78"/>
      <c r="M20" s="78"/>
      <c r="N20" s="78"/>
    </row>
    <row r="21" spans="1:14">
      <c r="A21" s="122" t="s">
        <v>156</v>
      </c>
      <c r="B21" s="123" t="s">
        <v>157</v>
      </c>
      <c r="C21" s="124">
        <v>0.36</v>
      </c>
      <c r="D21" s="124" t="s">
        <v>110</v>
      </c>
      <c r="E21" s="124">
        <v>1.3</v>
      </c>
      <c r="F21" s="125" t="s">
        <v>111</v>
      </c>
      <c r="G21" s="126">
        <v>0.55000000000000004</v>
      </c>
      <c r="H21" s="124" t="s">
        <v>127</v>
      </c>
      <c r="I21" s="127">
        <v>0.43</v>
      </c>
      <c r="J21" s="78"/>
      <c r="K21" s="78"/>
      <c r="L21" s="78"/>
      <c r="M21" s="78"/>
      <c r="N21" s="78"/>
    </row>
    <row r="22" spans="1:14">
      <c r="A22" s="122" t="s">
        <v>158</v>
      </c>
      <c r="B22" s="123" t="s">
        <v>159</v>
      </c>
      <c r="C22" s="124">
        <v>0.4</v>
      </c>
      <c r="D22" s="124" t="s">
        <v>110</v>
      </c>
      <c r="E22" s="124">
        <v>1.3</v>
      </c>
      <c r="F22" s="125" t="s">
        <v>111</v>
      </c>
      <c r="G22" s="126">
        <v>0.55000000000000004</v>
      </c>
      <c r="H22" s="124" t="s">
        <v>127</v>
      </c>
      <c r="I22" s="127">
        <v>0.43</v>
      </c>
      <c r="J22" s="78"/>
      <c r="K22" s="78"/>
      <c r="L22" s="78"/>
      <c r="M22" s="78"/>
      <c r="N22" s="78"/>
    </row>
    <row r="23" spans="1:14">
      <c r="A23" s="122" t="s">
        <v>70</v>
      </c>
      <c r="B23" s="123" t="s">
        <v>160</v>
      </c>
      <c r="C23" s="124">
        <v>0.43</v>
      </c>
      <c r="D23" s="124" t="s">
        <v>110</v>
      </c>
      <c r="E23" s="124">
        <v>1.3</v>
      </c>
      <c r="F23" s="125" t="s">
        <v>111</v>
      </c>
      <c r="G23" s="126">
        <v>0.55000000000000004</v>
      </c>
      <c r="H23" s="124" t="s">
        <v>127</v>
      </c>
      <c r="I23" s="127">
        <v>0.43</v>
      </c>
      <c r="J23" s="78"/>
      <c r="K23" s="78"/>
      <c r="L23" s="78"/>
      <c r="M23" s="78"/>
      <c r="N23" s="78"/>
    </row>
    <row r="24" spans="1:14">
      <c r="A24" s="122" t="s">
        <v>161</v>
      </c>
      <c r="B24" s="123" t="s">
        <v>162</v>
      </c>
      <c r="C24" s="124">
        <v>0.37</v>
      </c>
      <c r="D24" s="124" t="s">
        <v>110</v>
      </c>
      <c r="E24" s="124">
        <v>1.3</v>
      </c>
      <c r="F24" s="125" t="s">
        <v>111</v>
      </c>
      <c r="G24" s="126">
        <v>0.55000000000000004</v>
      </c>
      <c r="H24" s="124" t="s">
        <v>137</v>
      </c>
      <c r="I24" s="127">
        <v>0.43</v>
      </c>
      <c r="J24" s="78"/>
      <c r="K24" s="78"/>
      <c r="L24" s="78"/>
      <c r="M24" s="78"/>
      <c r="N24" s="78"/>
    </row>
    <row r="25" spans="1:14">
      <c r="A25" s="122" t="s">
        <v>163</v>
      </c>
      <c r="B25" s="123" t="s">
        <v>164</v>
      </c>
      <c r="C25" s="124">
        <v>0.36</v>
      </c>
      <c r="D25" s="124" t="s">
        <v>110</v>
      </c>
      <c r="E25" s="124">
        <v>1.3</v>
      </c>
      <c r="F25" s="125" t="s">
        <v>111</v>
      </c>
      <c r="G25" s="126">
        <v>0.55000000000000004</v>
      </c>
      <c r="H25" s="124" t="s">
        <v>137</v>
      </c>
      <c r="I25" s="127">
        <v>0.43</v>
      </c>
      <c r="J25" s="78"/>
      <c r="K25" s="78"/>
      <c r="L25" s="78"/>
      <c r="M25" s="78"/>
      <c r="N25" s="78"/>
    </row>
    <row r="26" spans="1:14">
      <c r="A26" s="122" t="s">
        <v>165</v>
      </c>
      <c r="B26" s="123" t="s">
        <v>166</v>
      </c>
      <c r="C26" s="124">
        <v>0.56000000000000005</v>
      </c>
      <c r="D26" s="124" t="s">
        <v>110</v>
      </c>
      <c r="E26" s="124">
        <v>1.56</v>
      </c>
      <c r="F26" s="125" t="s">
        <v>111</v>
      </c>
      <c r="G26" s="126">
        <v>0.53</v>
      </c>
      <c r="H26" s="124" t="s">
        <v>167</v>
      </c>
      <c r="I26" s="127">
        <v>0.25</v>
      </c>
      <c r="J26" s="78"/>
      <c r="K26" s="78"/>
      <c r="L26" s="78"/>
      <c r="M26" s="78"/>
      <c r="N26" s="78"/>
    </row>
    <row r="27" spans="1:14">
      <c r="A27" s="122" t="s">
        <v>168</v>
      </c>
      <c r="B27" s="123" t="s">
        <v>169</v>
      </c>
      <c r="C27" s="124">
        <v>0.51</v>
      </c>
      <c r="D27" s="124" t="s">
        <v>110</v>
      </c>
      <c r="E27" s="124">
        <v>1.56</v>
      </c>
      <c r="F27" s="125" t="s">
        <v>111</v>
      </c>
      <c r="G27" s="126">
        <v>0.53</v>
      </c>
      <c r="H27" s="124" t="s">
        <v>167</v>
      </c>
      <c r="I27" s="127">
        <v>0.25</v>
      </c>
      <c r="J27" s="78"/>
      <c r="K27" s="78"/>
      <c r="L27" s="78"/>
      <c r="M27" s="78"/>
      <c r="N27" s="78"/>
    </row>
    <row r="28" spans="1:14">
      <c r="A28" s="122" t="s">
        <v>170</v>
      </c>
      <c r="B28" s="123" t="s">
        <v>171</v>
      </c>
      <c r="C28" s="124">
        <v>0.51</v>
      </c>
      <c r="D28" s="124" t="s">
        <v>110</v>
      </c>
      <c r="E28" s="124">
        <v>1.56</v>
      </c>
      <c r="F28" s="125" t="s">
        <v>111</v>
      </c>
      <c r="G28" s="126">
        <v>0.53</v>
      </c>
      <c r="H28" s="124" t="s">
        <v>167</v>
      </c>
      <c r="I28" s="127">
        <v>0.25</v>
      </c>
      <c r="J28" s="78"/>
      <c r="K28" s="78"/>
      <c r="L28" s="78"/>
      <c r="M28" s="78"/>
      <c r="N28" s="78"/>
    </row>
    <row r="29" spans="1:14">
      <c r="A29" s="122" t="s">
        <v>172</v>
      </c>
      <c r="B29" s="123" t="s">
        <v>172</v>
      </c>
      <c r="C29" s="124">
        <v>0.56000000000000005</v>
      </c>
      <c r="D29" s="124" t="s">
        <v>110</v>
      </c>
      <c r="E29" s="124">
        <v>1.56</v>
      </c>
      <c r="F29" s="125" t="s">
        <v>111</v>
      </c>
      <c r="G29" s="126">
        <v>0.53</v>
      </c>
      <c r="H29" s="124" t="s">
        <v>167</v>
      </c>
      <c r="I29" s="127">
        <v>0.25</v>
      </c>
      <c r="J29" s="78"/>
      <c r="K29" s="78"/>
      <c r="L29" s="78"/>
      <c r="M29" s="78"/>
      <c r="N29" s="78"/>
    </row>
    <row r="30" spans="1:14">
      <c r="A30" s="122" t="s">
        <v>173</v>
      </c>
      <c r="B30" s="123" t="s">
        <v>174</v>
      </c>
      <c r="C30" s="124">
        <v>0.55000000000000004</v>
      </c>
      <c r="D30" s="124" t="s">
        <v>110</v>
      </c>
      <c r="E30" s="124">
        <v>1.56</v>
      </c>
      <c r="F30" s="125" t="s">
        <v>111</v>
      </c>
      <c r="G30" s="126">
        <v>0.53</v>
      </c>
      <c r="H30" s="124" t="s">
        <v>137</v>
      </c>
      <c r="I30" s="127">
        <v>0.25</v>
      </c>
      <c r="J30" s="78"/>
      <c r="K30" s="78"/>
      <c r="L30" s="78"/>
      <c r="M30" s="78"/>
      <c r="N30" s="78"/>
    </row>
    <row r="31" spans="1:14">
      <c r="A31" s="122" t="s">
        <v>175</v>
      </c>
      <c r="B31" s="123" t="s">
        <v>176</v>
      </c>
      <c r="C31" s="124">
        <v>0.56000000000000005</v>
      </c>
      <c r="D31" s="124" t="s">
        <v>110</v>
      </c>
      <c r="E31" s="124">
        <v>1.56</v>
      </c>
      <c r="F31" s="125" t="s">
        <v>111</v>
      </c>
      <c r="G31" s="126">
        <v>0.43</v>
      </c>
      <c r="H31" s="124" t="s">
        <v>112</v>
      </c>
      <c r="I31" s="127">
        <v>0.25</v>
      </c>
      <c r="J31" s="78"/>
      <c r="K31" s="78"/>
      <c r="L31" s="78"/>
      <c r="M31" s="78"/>
      <c r="N31" s="78"/>
    </row>
    <row r="32" spans="1:14">
      <c r="A32" s="122" t="s">
        <v>177</v>
      </c>
      <c r="B32" s="123" t="s">
        <v>178</v>
      </c>
      <c r="C32" s="124">
        <v>0.48</v>
      </c>
      <c r="D32" s="124" t="s">
        <v>110</v>
      </c>
      <c r="E32" s="124">
        <v>1.3</v>
      </c>
      <c r="F32" s="125" t="s">
        <v>111</v>
      </c>
      <c r="G32" s="126">
        <v>0.6</v>
      </c>
      <c r="H32" s="124" t="s">
        <v>179</v>
      </c>
      <c r="I32" s="127">
        <v>0.43</v>
      </c>
      <c r="J32" s="78"/>
      <c r="K32" s="78"/>
      <c r="L32" s="78"/>
      <c r="M32" s="78"/>
      <c r="N32" s="78"/>
    </row>
    <row r="33" spans="1:14">
      <c r="A33" s="122" t="s">
        <v>180</v>
      </c>
      <c r="B33" s="123" t="s">
        <v>181</v>
      </c>
      <c r="C33" s="124">
        <v>0.42</v>
      </c>
      <c r="D33" s="124" t="s">
        <v>110</v>
      </c>
      <c r="E33" s="124">
        <v>1.3</v>
      </c>
      <c r="F33" s="125" t="s">
        <v>111</v>
      </c>
      <c r="G33" s="126">
        <v>0.6</v>
      </c>
      <c r="H33" s="124" t="s">
        <v>179</v>
      </c>
      <c r="I33" s="127">
        <v>0.43</v>
      </c>
      <c r="J33" s="78"/>
      <c r="K33" s="78"/>
      <c r="L33" s="78"/>
      <c r="M33" s="78"/>
      <c r="N33" s="78"/>
    </row>
    <row r="34" spans="1:14">
      <c r="A34" s="122" t="s">
        <v>182</v>
      </c>
      <c r="B34" s="123" t="s">
        <v>183</v>
      </c>
      <c r="C34" s="124">
        <v>0.42</v>
      </c>
      <c r="D34" s="124" t="s">
        <v>184</v>
      </c>
      <c r="E34" s="124">
        <v>1.3</v>
      </c>
      <c r="F34" s="125" t="s">
        <v>111</v>
      </c>
      <c r="G34" s="126">
        <v>0.6</v>
      </c>
      <c r="H34" s="123" t="s">
        <v>185</v>
      </c>
      <c r="I34" s="127">
        <v>0.43</v>
      </c>
      <c r="J34" s="78"/>
      <c r="K34" s="78"/>
      <c r="L34" s="78"/>
      <c r="M34" s="78"/>
      <c r="N34" s="78"/>
    </row>
    <row r="35" spans="1:14">
      <c r="A35" s="122" t="s">
        <v>186</v>
      </c>
      <c r="B35" s="123" t="s">
        <v>187</v>
      </c>
      <c r="C35" s="124">
        <v>0.5</v>
      </c>
      <c r="D35" s="124" t="s">
        <v>110</v>
      </c>
      <c r="E35" s="124">
        <v>1.56</v>
      </c>
      <c r="F35" s="125" t="s">
        <v>111</v>
      </c>
      <c r="G35" s="126">
        <v>0.43</v>
      </c>
      <c r="H35" s="124" t="s">
        <v>112</v>
      </c>
      <c r="I35" s="127">
        <v>0.25</v>
      </c>
      <c r="J35" s="78"/>
      <c r="K35" s="78"/>
      <c r="L35" s="78"/>
      <c r="M35" s="78"/>
      <c r="N35" s="78"/>
    </row>
    <row r="36" spans="1:14">
      <c r="A36" s="122" t="s">
        <v>188</v>
      </c>
      <c r="B36" s="123" t="s">
        <v>189</v>
      </c>
      <c r="C36" s="124">
        <v>0.55000000000000004</v>
      </c>
      <c r="D36" s="124" t="s">
        <v>110</v>
      </c>
      <c r="E36" s="124">
        <v>1.56</v>
      </c>
      <c r="F36" s="125" t="s">
        <v>111</v>
      </c>
      <c r="G36" s="126">
        <v>0.53</v>
      </c>
      <c r="H36" s="124" t="s">
        <v>167</v>
      </c>
      <c r="I36" s="127">
        <v>0.25</v>
      </c>
      <c r="J36" s="78"/>
      <c r="K36" s="78"/>
      <c r="L36" s="78"/>
      <c r="M36" s="78"/>
      <c r="N36" s="78"/>
    </row>
    <row r="37" spans="1:14">
      <c r="A37" s="122" t="s">
        <v>190</v>
      </c>
      <c r="B37" s="123" t="s">
        <v>191</v>
      </c>
      <c r="C37" s="124">
        <v>0.52</v>
      </c>
      <c r="D37" s="124" t="s">
        <v>110</v>
      </c>
      <c r="E37" s="124">
        <v>1.56</v>
      </c>
      <c r="F37" s="125" t="s">
        <v>111</v>
      </c>
      <c r="G37" s="126">
        <v>0.53</v>
      </c>
      <c r="H37" s="124" t="s">
        <v>167</v>
      </c>
      <c r="I37" s="127">
        <v>0.25</v>
      </c>
      <c r="J37" s="78"/>
      <c r="K37" s="78"/>
      <c r="L37" s="78"/>
      <c r="M37" s="78"/>
      <c r="N37" s="78"/>
    </row>
    <row r="38" spans="1:14">
      <c r="A38" s="122" t="s">
        <v>192</v>
      </c>
      <c r="B38" s="123" t="s">
        <v>193</v>
      </c>
      <c r="C38" s="124">
        <v>0.52</v>
      </c>
      <c r="D38" s="124" t="s">
        <v>110</v>
      </c>
      <c r="E38" s="124">
        <v>1.56</v>
      </c>
      <c r="F38" s="125" t="s">
        <v>111</v>
      </c>
      <c r="G38" s="126">
        <v>0.43</v>
      </c>
      <c r="H38" s="124" t="s">
        <v>112</v>
      </c>
      <c r="I38" s="127">
        <v>0.25</v>
      </c>
      <c r="J38" s="78"/>
      <c r="K38" s="78"/>
      <c r="L38" s="78"/>
      <c r="M38" s="78"/>
      <c r="N38" s="78"/>
    </row>
    <row r="39" spans="1:14">
      <c r="A39" s="122" t="s">
        <v>194</v>
      </c>
      <c r="B39" s="123" t="s">
        <v>195</v>
      </c>
      <c r="C39" s="124">
        <v>0.313</v>
      </c>
      <c r="D39" s="124" t="s">
        <v>196</v>
      </c>
      <c r="E39" s="124">
        <v>1.56</v>
      </c>
      <c r="F39" s="125" t="s">
        <v>111</v>
      </c>
      <c r="G39" s="126">
        <v>0.6</v>
      </c>
      <c r="H39" s="124" t="s">
        <v>197</v>
      </c>
      <c r="I39" s="127">
        <v>1.03</v>
      </c>
      <c r="J39" s="78"/>
      <c r="K39" s="78"/>
      <c r="L39" s="78"/>
      <c r="M39" s="78"/>
      <c r="N39" s="78"/>
    </row>
    <row r="40" spans="1:14">
      <c r="A40" s="122" t="s">
        <v>198</v>
      </c>
      <c r="B40" s="123" t="s">
        <v>195</v>
      </c>
      <c r="C40" s="124">
        <v>0.35199999999999998</v>
      </c>
      <c r="D40" s="124" t="s">
        <v>196</v>
      </c>
      <c r="E40" s="124">
        <v>1.56</v>
      </c>
      <c r="F40" s="125" t="s">
        <v>111</v>
      </c>
      <c r="G40" s="126">
        <v>0.6</v>
      </c>
      <c r="H40" s="124" t="s">
        <v>197</v>
      </c>
      <c r="I40" s="127">
        <v>1.03</v>
      </c>
      <c r="J40" s="78"/>
      <c r="K40" s="78"/>
      <c r="L40" s="78"/>
      <c r="M40" s="78"/>
      <c r="N40" s="78"/>
    </row>
    <row r="41" spans="1:14">
      <c r="A41" s="122" t="s">
        <v>199</v>
      </c>
      <c r="B41" s="123" t="s">
        <v>195</v>
      </c>
      <c r="C41" s="124">
        <v>0.32200000000000001</v>
      </c>
      <c r="D41" s="124" t="s">
        <v>196</v>
      </c>
      <c r="E41" s="124">
        <v>1.56</v>
      </c>
      <c r="F41" s="125" t="s">
        <v>111</v>
      </c>
      <c r="G41" s="126">
        <v>0.6</v>
      </c>
      <c r="H41" s="124" t="s">
        <v>197</v>
      </c>
      <c r="I41" s="127">
        <v>1.03</v>
      </c>
      <c r="J41" s="78"/>
      <c r="K41" s="78"/>
      <c r="L41" s="78"/>
      <c r="M41" s="78"/>
      <c r="N41" s="78"/>
    </row>
    <row r="42" spans="1:14">
      <c r="A42" s="122" t="s">
        <v>200</v>
      </c>
      <c r="B42" s="123" t="s">
        <v>195</v>
      </c>
      <c r="C42" s="124">
        <v>0.311</v>
      </c>
      <c r="D42" s="124" t="s">
        <v>196</v>
      </c>
      <c r="E42" s="124">
        <v>1.56</v>
      </c>
      <c r="F42" s="125" t="s">
        <v>111</v>
      </c>
      <c r="G42" s="126">
        <v>0.6</v>
      </c>
      <c r="H42" s="124" t="s">
        <v>197</v>
      </c>
      <c r="I42" s="127">
        <v>1.03</v>
      </c>
      <c r="J42" s="78"/>
      <c r="K42" s="78"/>
      <c r="L42" s="78"/>
      <c r="M42" s="78"/>
      <c r="N42" s="78"/>
    </row>
    <row r="43" spans="1:14">
      <c r="A43" s="122" t="s">
        <v>201</v>
      </c>
      <c r="B43" s="123" t="s">
        <v>195</v>
      </c>
      <c r="C43" s="124">
        <v>0.33900000000000002</v>
      </c>
      <c r="D43" s="124" t="s">
        <v>196</v>
      </c>
      <c r="E43" s="124">
        <v>1.56</v>
      </c>
      <c r="F43" s="125" t="s">
        <v>111</v>
      </c>
      <c r="G43" s="126">
        <v>0.6</v>
      </c>
      <c r="H43" s="124" t="s">
        <v>197</v>
      </c>
      <c r="I43" s="127">
        <v>1.03</v>
      </c>
      <c r="J43" s="78"/>
      <c r="K43" s="78"/>
      <c r="L43" s="78"/>
      <c r="M43" s="78"/>
      <c r="N43" s="78"/>
    </row>
    <row r="44" spans="1:14">
      <c r="A44" s="122" t="s">
        <v>202</v>
      </c>
      <c r="B44" s="123" t="s">
        <v>195</v>
      </c>
      <c r="C44" s="124">
        <v>0.33600000000000002</v>
      </c>
      <c r="D44" s="124" t="s">
        <v>196</v>
      </c>
      <c r="E44" s="124">
        <v>1.56</v>
      </c>
      <c r="F44" s="125" t="s">
        <v>111</v>
      </c>
      <c r="G44" s="126">
        <v>0.6</v>
      </c>
      <c r="H44" s="124" t="s">
        <v>197</v>
      </c>
      <c r="I44" s="127">
        <v>1.03</v>
      </c>
      <c r="J44" s="78"/>
      <c r="K44" s="78"/>
      <c r="L44" s="78"/>
      <c r="M44" s="78"/>
      <c r="N44" s="78"/>
    </row>
    <row r="45" spans="1:14">
      <c r="A45" s="122" t="s">
        <v>203</v>
      </c>
      <c r="B45" s="123" t="s">
        <v>195</v>
      </c>
      <c r="C45" s="124">
        <v>0.32900000000000001</v>
      </c>
      <c r="D45" s="124" t="s">
        <v>196</v>
      </c>
      <c r="E45" s="124">
        <v>1.56</v>
      </c>
      <c r="F45" s="125" t="s">
        <v>111</v>
      </c>
      <c r="G45" s="126">
        <v>0.6</v>
      </c>
      <c r="H45" s="124" t="s">
        <v>197</v>
      </c>
      <c r="I45" s="127">
        <v>1.03</v>
      </c>
      <c r="J45" s="78"/>
      <c r="K45" s="78"/>
      <c r="L45" s="78"/>
      <c r="M45" s="78"/>
      <c r="N45" s="78"/>
    </row>
    <row r="46" spans="1:14">
      <c r="A46" s="122" t="s">
        <v>204</v>
      </c>
      <c r="B46" s="123" t="s">
        <v>195</v>
      </c>
      <c r="C46" s="124">
        <v>0.34300000000000003</v>
      </c>
      <c r="D46" s="124" t="s">
        <v>196</v>
      </c>
      <c r="E46" s="124">
        <v>1.56</v>
      </c>
      <c r="F46" s="125" t="s">
        <v>111</v>
      </c>
      <c r="G46" s="126">
        <v>0.6</v>
      </c>
      <c r="H46" s="124" t="s">
        <v>197</v>
      </c>
      <c r="I46" s="127">
        <v>1.03</v>
      </c>
      <c r="J46" s="78"/>
      <c r="K46" s="78"/>
      <c r="L46" s="78"/>
      <c r="M46" s="78"/>
      <c r="N46" s="78"/>
    </row>
    <row r="47" spans="1:14">
      <c r="A47" s="122" t="s">
        <v>205</v>
      </c>
      <c r="B47" s="123" t="s">
        <v>195</v>
      </c>
      <c r="C47" s="124">
        <v>0.32500000000000001</v>
      </c>
      <c r="D47" s="124" t="s">
        <v>196</v>
      </c>
      <c r="E47" s="124">
        <v>1.56</v>
      </c>
      <c r="F47" s="125" t="s">
        <v>111</v>
      </c>
      <c r="G47" s="126">
        <v>0.6</v>
      </c>
      <c r="H47" s="124" t="s">
        <v>197</v>
      </c>
      <c r="I47" s="127">
        <v>1.03</v>
      </c>
      <c r="J47" s="78"/>
      <c r="K47" s="78"/>
      <c r="L47" s="78"/>
      <c r="M47" s="78"/>
      <c r="N47" s="78"/>
    </row>
    <row r="48" spans="1:14">
      <c r="A48" s="122" t="s">
        <v>206</v>
      </c>
      <c r="B48" s="123" t="s">
        <v>195</v>
      </c>
      <c r="C48" s="124">
        <v>0.32</v>
      </c>
      <c r="D48" s="124" t="s">
        <v>196</v>
      </c>
      <c r="E48" s="124">
        <v>1.56</v>
      </c>
      <c r="F48" s="125" t="s">
        <v>111</v>
      </c>
      <c r="G48" s="126">
        <v>0.6</v>
      </c>
      <c r="H48" s="124" t="s">
        <v>197</v>
      </c>
      <c r="I48" s="127">
        <v>1.03</v>
      </c>
      <c r="J48" s="78"/>
      <c r="K48" s="78"/>
      <c r="L48" s="78"/>
      <c r="M48" s="78"/>
      <c r="N48" s="78"/>
    </row>
    <row r="49" spans="1:14">
      <c r="A49" s="122" t="s">
        <v>207</v>
      </c>
      <c r="B49" s="123" t="s">
        <v>195</v>
      </c>
      <c r="C49" s="124">
        <v>0.28199999999999997</v>
      </c>
      <c r="D49" s="124" t="s">
        <v>196</v>
      </c>
      <c r="E49" s="124">
        <v>1.56</v>
      </c>
      <c r="F49" s="125" t="s">
        <v>111</v>
      </c>
      <c r="G49" s="126">
        <v>0.6</v>
      </c>
      <c r="H49" s="124" t="s">
        <v>197</v>
      </c>
      <c r="I49" s="127">
        <v>1.03</v>
      </c>
      <c r="J49" s="78"/>
      <c r="K49" s="78"/>
      <c r="L49" s="78"/>
      <c r="M49" s="78"/>
      <c r="N49" s="78"/>
    </row>
    <row r="50" spans="1:14">
      <c r="A50" s="122" t="s">
        <v>208</v>
      </c>
      <c r="B50" s="123" t="s">
        <v>195</v>
      </c>
      <c r="C50" s="124">
        <v>0.32800000000000001</v>
      </c>
      <c r="D50" s="124" t="s">
        <v>196</v>
      </c>
      <c r="E50" s="124">
        <v>1.56</v>
      </c>
      <c r="F50" s="125" t="s">
        <v>111</v>
      </c>
      <c r="G50" s="126">
        <v>0.6</v>
      </c>
      <c r="H50" s="124" t="s">
        <v>197</v>
      </c>
      <c r="I50" s="127">
        <v>1.03</v>
      </c>
      <c r="J50" s="78"/>
      <c r="K50" s="78"/>
      <c r="L50" s="78"/>
      <c r="M50" s="78"/>
      <c r="N50" s="78"/>
    </row>
    <row r="51" spans="1:14">
      <c r="A51" s="122" t="s">
        <v>209</v>
      </c>
      <c r="B51" s="123" t="s">
        <v>195</v>
      </c>
      <c r="C51" s="124">
        <v>0.32600000000000001</v>
      </c>
      <c r="D51" s="124" t="s">
        <v>196</v>
      </c>
      <c r="E51" s="124">
        <v>1.56</v>
      </c>
      <c r="F51" s="125" t="s">
        <v>111</v>
      </c>
      <c r="G51" s="126">
        <v>0.6</v>
      </c>
      <c r="H51" s="124" t="s">
        <v>197</v>
      </c>
      <c r="I51" s="127">
        <v>1.03</v>
      </c>
      <c r="J51" s="78"/>
      <c r="K51" s="78"/>
      <c r="L51" s="78"/>
      <c r="M51" s="78"/>
      <c r="N51" s="78"/>
    </row>
    <row r="52" spans="1:14">
      <c r="A52" s="122" t="s">
        <v>210</v>
      </c>
      <c r="B52" s="123" t="s">
        <v>195</v>
      </c>
      <c r="C52" s="124">
        <v>0.35899999999999999</v>
      </c>
      <c r="D52" s="124" t="s">
        <v>196</v>
      </c>
      <c r="E52" s="124">
        <v>1.56</v>
      </c>
      <c r="F52" s="125" t="s">
        <v>111</v>
      </c>
      <c r="G52" s="126">
        <v>0.6</v>
      </c>
      <c r="H52" s="124" t="s">
        <v>197</v>
      </c>
      <c r="I52" s="127">
        <v>1.03</v>
      </c>
      <c r="J52" s="78"/>
      <c r="K52" s="78"/>
      <c r="L52" s="78"/>
      <c r="M52" s="78"/>
      <c r="N52" s="78"/>
    </row>
    <row r="53" spans="1:14">
      <c r="A53" s="122" t="s">
        <v>211</v>
      </c>
      <c r="B53" s="123" t="s">
        <v>195</v>
      </c>
      <c r="C53" s="124">
        <v>0.34599999999999997</v>
      </c>
      <c r="D53" s="124" t="s">
        <v>196</v>
      </c>
      <c r="E53" s="124">
        <v>1.56</v>
      </c>
      <c r="F53" s="125" t="s">
        <v>111</v>
      </c>
      <c r="G53" s="126">
        <v>0.6</v>
      </c>
      <c r="H53" s="124" t="s">
        <v>197</v>
      </c>
      <c r="I53" s="127">
        <v>1.03</v>
      </c>
      <c r="J53" s="78"/>
      <c r="K53" s="78"/>
      <c r="L53" s="78"/>
      <c r="M53" s="78"/>
      <c r="N53" s="78"/>
    </row>
    <row r="54" spans="1:14">
      <c r="A54" s="122" t="s">
        <v>212</v>
      </c>
      <c r="B54" s="123" t="s">
        <v>195</v>
      </c>
      <c r="C54" s="124">
        <v>0.32600000000000001</v>
      </c>
      <c r="D54" s="124" t="s">
        <v>196</v>
      </c>
      <c r="E54" s="124">
        <v>1.56</v>
      </c>
      <c r="F54" s="125" t="s">
        <v>111</v>
      </c>
      <c r="G54" s="126">
        <v>0.6</v>
      </c>
      <c r="H54" s="124" t="s">
        <v>197</v>
      </c>
      <c r="I54" s="127">
        <v>1.03</v>
      </c>
      <c r="J54" s="78"/>
      <c r="K54" s="78"/>
      <c r="L54" s="78"/>
      <c r="M54" s="78"/>
      <c r="N54" s="78"/>
    </row>
    <row r="55" spans="1:14">
      <c r="A55" s="122" t="s">
        <v>213</v>
      </c>
      <c r="B55" s="123" t="s">
        <v>195</v>
      </c>
      <c r="C55" s="124">
        <v>0.30499999999999999</v>
      </c>
      <c r="D55" s="124" t="s">
        <v>196</v>
      </c>
      <c r="E55" s="124">
        <v>1.56</v>
      </c>
      <c r="F55" s="125" t="s">
        <v>111</v>
      </c>
      <c r="G55" s="126">
        <v>0.6</v>
      </c>
      <c r="H55" s="124" t="s">
        <v>197</v>
      </c>
      <c r="I55" s="127">
        <v>1.03</v>
      </c>
      <c r="J55" s="78"/>
      <c r="K55" s="78"/>
      <c r="L55" s="78"/>
      <c r="M55" s="78"/>
      <c r="N55" s="78"/>
    </row>
    <row r="56" spans="1:14">
      <c r="A56" s="122" t="s">
        <v>214</v>
      </c>
      <c r="B56" s="123" t="s">
        <v>195</v>
      </c>
      <c r="C56" s="124">
        <v>0.32300000000000001</v>
      </c>
      <c r="D56" s="124" t="s">
        <v>196</v>
      </c>
      <c r="E56" s="124">
        <v>1.56</v>
      </c>
      <c r="F56" s="125" t="s">
        <v>111</v>
      </c>
      <c r="G56" s="126">
        <v>0.6</v>
      </c>
      <c r="H56" s="124" t="s">
        <v>197</v>
      </c>
      <c r="I56" s="127">
        <v>1.03</v>
      </c>
      <c r="J56" s="78"/>
      <c r="K56" s="78"/>
      <c r="L56" s="78"/>
      <c r="M56" s="78"/>
      <c r="N56" s="78"/>
    </row>
    <row r="57" spans="1:14">
      <c r="A57" s="122" t="s">
        <v>215</v>
      </c>
      <c r="B57" s="123" t="s">
        <v>195</v>
      </c>
      <c r="C57" s="124">
        <v>0.36699999999999999</v>
      </c>
      <c r="D57" s="124" t="s">
        <v>196</v>
      </c>
      <c r="E57" s="124">
        <v>1.56</v>
      </c>
      <c r="F57" s="125" t="s">
        <v>111</v>
      </c>
      <c r="G57" s="126">
        <v>0.6</v>
      </c>
      <c r="H57" s="124" t="s">
        <v>197</v>
      </c>
      <c r="I57" s="127">
        <v>1.03</v>
      </c>
      <c r="J57" s="78"/>
      <c r="K57" s="78"/>
      <c r="L57" s="78"/>
      <c r="M57" s="78"/>
      <c r="N57" s="78"/>
    </row>
    <row r="58" spans="1:14">
      <c r="A58" s="122" t="s">
        <v>216</v>
      </c>
      <c r="B58" s="123" t="s">
        <v>195</v>
      </c>
      <c r="C58" s="124">
        <v>0.36</v>
      </c>
      <c r="D58" s="124" t="s">
        <v>196</v>
      </c>
      <c r="E58" s="124">
        <v>1.56</v>
      </c>
      <c r="F58" s="125" t="s">
        <v>111</v>
      </c>
      <c r="G58" s="126">
        <v>0.6</v>
      </c>
      <c r="H58" s="124" t="s">
        <v>197</v>
      </c>
      <c r="I58" s="127">
        <v>1.03</v>
      </c>
      <c r="J58" s="78"/>
      <c r="K58" s="78"/>
      <c r="L58" s="78"/>
      <c r="M58" s="78"/>
      <c r="N58" s="78"/>
    </row>
    <row r="59" spans="1:14">
      <c r="A59" s="122" t="s">
        <v>217</v>
      </c>
      <c r="B59" s="123" t="s">
        <v>195</v>
      </c>
      <c r="C59" s="124">
        <v>0.36799999999999999</v>
      </c>
      <c r="D59" s="124" t="s">
        <v>196</v>
      </c>
      <c r="E59" s="124">
        <v>1.56</v>
      </c>
      <c r="F59" s="125" t="s">
        <v>111</v>
      </c>
      <c r="G59" s="126">
        <v>0.6</v>
      </c>
      <c r="H59" s="124" t="s">
        <v>197</v>
      </c>
      <c r="I59" s="127">
        <v>1.03</v>
      </c>
      <c r="J59" s="78"/>
      <c r="K59" s="78"/>
      <c r="L59" s="78"/>
      <c r="M59" s="78"/>
      <c r="N59" s="78"/>
    </row>
    <row r="60" spans="1:14">
      <c r="A60" s="122" t="s">
        <v>218</v>
      </c>
      <c r="B60" s="123" t="s">
        <v>195</v>
      </c>
      <c r="C60" s="124">
        <v>0.30599999999999999</v>
      </c>
      <c r="D60" s="124" t="s">
        <v>196</v>
      </c>
      <c r="E60" s="124">
        <v>1.56</v>
      </c>
      <c r="F60" s="125" t="s">
        <v>111</v>
      </c>
      <c r="G60" s="126">
        <v>0.6</v>
      </c>
      <c r="H60" s="124" t="s">
        <v>197</v>
      </c>
      <c r="I60" s="127">
        <v>1.03</v>
      </c>
      <c r="J60" s="78"/>
      <c r="K60" s="78"/>
      <c r="L60" s="78"/>
      <c r="M60" s="78"/>
      <c r="N60" s="78"/>
    </row>
    <row r="61" spans="1:14">
      <c r="A61" s="122" t="s">
        <v>219</v>
      </c>
      <c r="B61" s="123" t="s">
        <v>195</v>
      </c>
      <c r="C61" s="124">
        <v>0.313</v>
      </c>
      <c r="D61" s="124" t="s">
        <v>196</v>
      </c>
      <c r="E61" s="124">
        <v>1.56</v>
      </c>
      <c r="F61" s="125" t="s">
        <v>111</v>
      </c>
      <c r="G61" s="126">
        <v>0.6</v>
      </c>
      <c r="H61" s="124" t="s">
        <v>197</v>
      </c>
      <c r="I61" s="127">
        <v>1.03</v>
      </c>
      <c r="J61" s="78"/>
      <c r="K61" s="78"/>
      <c r="L61" s="78"/>
      <c r="M61" s="78"/>
      <c r="N61" s="78"/>
    </row>
    <row r="62" spans="1:14">
      <c r="A62" s="122" t="s">
        <v>220</v>
      </c>
      <c r="B62" s="123" t="s">
        <v>221</v>
      </c>
      <c r="C62" s="124">
        <v>0.37</v>
      </c>
      <c r="D62" s="124" t="s">
        <v>110</v>
      </c>
      <c r="E62" s="124">
        <v>1.56</v>
      </c>
      <c r="F62" s="125" t="s">
        <v>111</v>
      </c>
      <c r="G62" s="126">
        <v>0.6</v>
      </c>
      <c r="H62" s="124" t="s">
        <v>197</v>
      </c>
      <c r="I62" s="127">
        <v>1.03</v>
      </c>
      <c r="J62" s="78"/>
      <c r="K62" s="78"/>
      <c r="L62" s="78"/>
      <c r="M62" s="78"/>
      <c r="N62" s="78"/>
    </row>
    <row r="63" spans="1:14">
      <c r="A63" s="122" t="s">
        <v>222</v>
      </c>
      <c r="B63" s="123" t="s">
        <v>223</v>
      </c>
      <c r="C63" s="124">
        <v>0.45</v>
      </c>
      <c r="D63" s="124" t="s">
        <v>110</v>
      </c>
      <c r="E63" s="124">
        <v>1.3</v>
      </c>
      <c r="F63" s="125" t="s">
        <v>111</v>
      </c>
      <c r="G63" s="126">
        <v>0.45</v>
      </c>
      <c r="H63" s="124" t="s">
        <v>224</v>
      </c>
      <c r="I63" s="127">
        <v>0.43</v>
      </c>
      <c r="J63" s="78"/>
      <c r="K63" s="78"/>
      <c r="L63" s="78"/>
      <c r="M63" s="78"/>
      <c r="N63" s="78"/>
    </row>
    <row r="64" spans="1:14">
      <c r="A64" s="122" t="s">
        <v>225</v>
      </c>
      <c r="B64" s="123" t="s">
        <v>226</v>
      </c>
      <c r="C64" s="124">
        <v>0.39</v>
      </c>
      <c r="D64" s="124" t="s">
        <v>110</v>
      </c>
      <c r="E64" s="124">
        <v>1.3</v>
      </c>
      <c r="F64" s="125" t="s">
        <v>111</v>
      </c>
      <c r="G64" s="126">
        <v>0.45</v>
      </c>
      <c r="H64" s="124" t="s">
        <v>224</v>
      </c>
      <c r="I64" s="127">
        <v>0.43</v>
      </c>
      <c r="J64" s="78"/>
      <c r="K64" s="78"/>
      <c r="L64" s="78"/>
      <c r="M64" s="78"/>
      <c r="N64" s="78"/>
    </row>
    <row r="65" spans="1:14">
      <c r="A65" s="122" t="s">
        <v>227</v>
      </c>
      <c r="B65" s="123" t="s">
        <v>228</v>
      </c>
      <c r="C65" s="124">
        <v>0.44</v>
      </c>
      <c r="D65" s="124" t="s">
        <v>110</v>
      </c>
      <c r="E65" s="124">
        <v>1.3</v>
      </c>
      <c r="F65" s="125" t="s">
        <v>111</v>
      </c>
      <c r="G65" s="126">
        <v>0.45</v>
      </c>
      <c r="H65" s="124" t="s">
        <v>224</v>
      </c>
      <c r="I65" s="127">
        <v>0.43</v>
      </c>
      <c r="J65" s="78"/>
      <c r="K65" s="78"/>
      <c r="L65" s="78"/>
      <c r="M65" s="78"/>
      <c r="N65" s="78"/>
    </row>
    <row r="66" spans="1:14">
      <c r="A66" s="122" t="s">
        <v>19</v>
      </c>
      <c r="B66" s="123" t="s">
        <v>229</v>
      </c>
      <c r="C66" s="124">
        <v>0.46</v>
      </c>
      <c r="D66" s="124" t="s">
        <v>110</v>
      </c>
      <c r="E66" s="124">
        <v>1.3</v>
      </c>
      <c r="F66" s="125" t="s">
        <v>111</v>
      </c>
      <c r="G66" s="126">
        <v>0.45</v>
      </c>
      <c r="H66" s="124" t="s">
        <v>224</v>
      </c>
      <c r="I66" s="127">
        <v>0.43</v>
      </c>
      <c r="J66" s="78"/>
      <c r="K66" s="78"/>
      <c r="L66" s="78"/>
      <c r="M66" s="78"/>
      <c r="N66" s="78"/>
    </row>
    <row r="67" spans="1:14">
      <c r="A67" s="122" t="s">
        <v>16</v>
      </c>
      <c r="B67" s="123" t="s">
        <v>230</v>
      </c>
      <c r="C67" s="124">
        <v>0.46</v>
      </c>
      <c r="D67" s="124" t="s">
        <v>110</v>
      </c>
      <c r="E67" s="124">
        <v>1.3</v>
      </c>
      <c r="F67" s="125" t="s">
        <v>111</v>
      </c>
      <c r="G67" s="126">
        <v>0.45</v>
      </c>
      <c r="H67" s="124" t="s">
        <v>137</v>
      </c>
      <c r="I67" s="127">
        <v>0.59</v>
      </c>
      <c r="J67" s="78"/>
      <c r="K67" s="78"/>
      <c r="L67" s="78"/>
      <c r="M67" s="78"/>
      <c r="N67" s="78"/>
    </row>
    <row r="68" spans="1:14">
      <c r="A68" s="122" t="s">
        <v>231</v>
      </c>
      <c r="B68" s="123" t="s">
        <v>232</v>
      </c>
      <c r="C68" s="124">
        <v>0.44</v>
      </c>
      <c r="D68" s="124" t="s">
        <v>110</v>
      </c>
      <c r="E68" s="124">
        <v>1.3</v>
      </c>
      <c r="F68" s="125" t="s">
        <v>111</v>
      </c>
      <c r="G68" s="126">
        <v>0.45</v>
      </c>
      <c r="H68" s="124" t="s">
        <v>224</v>
      </c>
      <c r="I68" s="127">
        <v>0.43</v>
      </c>
      <c r="J68" s="78"/>
      <c r="K68" s="78"/>
      <c r="L68" s="78"/>
      <c r="M68" s="78"/>
      <c r="N68" s="78"/>
    </row>
    <row r="69" spans="1:14">
      <c r="A69" s="122" t="s">
        <v>233</v>
      </c>
      <c r="B69" s="123" t="s">
        <v>234</v>
      </c>
      <c r="C69" s="124">
        <v>0.46</v>
      </c>
      <c r="D69" s="124" t="s">
        <v>110</v>
      </c>
      <c r="E69" s="124">
        <v>1.3</v>
      </c>
      <c r="F69" s="125" t="s">
        <v>111</v>
      </c>
      <c r="G69" s="126">
        <v>0.45</v>
      </c>
      <c r="H69" s="124" t="s">
        <v>224</v>
      </c>
      <c r="I69" s="127">
        <v>0.43</v>
      </c>
      <c r="J69" s="78"/>
      <c r="K69" s="78"/>
      <c r="L69" s="78"/>
      <c r="M69" s="78"/>
      <c r="N69" s="78"/>
    </row>
    <row r="70" spans="1:14">
      <c r="A70" s="122" t="s">
        <v>235</v>
      </c>
      <c r="B70" s="123" t="s">
        <v>236</v>
      </c>
      <c r="C70" s="124">
        <v>0.48</v>
      </c>
      <c r="D70" s="124" t="s">
        <v>110</v>
      </c>
      <c r="E70" s="124">
        <v>2.4</v>
      </c>
      <c r="F70" s="124" t="s">
        <v>237</v>
      </c>
      <c r="G70" s="126">
        <v>0.45</v>
      </c>
      <c r="H70" s="124" t="s">
        <v>224</v>
      </c>
      <c r="I70" s="127">
        <v>0.43</v>
      </c>
      <c r="J70" s="78"/>
      <c r="K70" s="78"/>
      <c r="L70" s="78"/>
      <c r="M70" s="78"/>
      <c r="N70" s="78"/>
    </row>
    <row r="71" spans="1:14">
      <c r="A71" s="122" t="s">
        <v>238</v>
      </c>
      <c r="B71" s="123" t="s">
        <v>239</v>
      </c>
      <c r="C71" s="124">
        <v>0.46</v>
      </c>
      <c r="D71" s="124" t="s">
        <v>240</v>
      </c>
      <c r="E71" s="124">
        <v>1.3</v>
      </c>
      <c r="F71" s="125" t="s">
        <v>111</v>
      </c>
      <c r="G71" s="126">
        <v>0.45</v>
      </c>
      <c r="H71" s="124" t="s">
        <v>224</v>
      </c>
      <c r="I71" s="127">
        <v>0.43</v>
      </c>
      <c r="J71" s="78"/>
      <c r="K71" s="78"/>
      <c r="L71" s="78"/>
      <c r="M71" s="78"/>
      <c r="N71" s="78"/>
    </row>
    <row r="72" spans="1:14">
      <c r="A72" s="122" t="s">
        <v>241</v>
      </c>
      <c r="B72" s="123" t="s">
        <v>242</v>
      </c>
      <c r="C72" s="124">
        <v>0.44</v>
      </c>
      <c r="D72" s="124" t="s">
        <v>110</v>
      </c>
      <c r="E72" s="124">
        <v>1.3</v>
      </c>
      <c r="F72" s="125" t="s">
        <v>111</v>
      </c>
      <c r="G72" s="126">
        <v>0.45</v>
      </c>
      <c r="H72" s="124" t="s">
        <v>224</v>
      </c>
      <c r="I72" s="127">
        <v>0.43</v>
      </c>
      <c r="J72" s="78"/>
      <c r="K72" s="78"/>
      <c r="L72" s="78"/>
      <c r="M72" s="78"/>
      <c r="N72" s="78"/>
    </row>
    <row r="73" spans="1:14">
      <c r="A73" s="122" t="s">
        <v>243</v>
      </c>
      <c r="B73" s="123" t="s">
        <v>244</v>
      </c>
      <c r="C73" s="124">
        <v>0.46</v>
      </c>
      <c r="D73" s="124" t="s">
        <v>245</v>
      </c>
      <c r="E73" s="124">
        <v>1.3</v>
      </c>
      <c r="F73" s="125" t="s">
        <v>111</v>
      </c>
      <c r="G73" s="126">
        <v>0.45</v>
      </c>
      <c r="H73" s="124" t="s">
        <v>224</v>
      </c>
      <c r="I73" s="127">
        <v>0.43</v>
      </c>
      <c r="J73" s="78"/>
      <c r="K73" s="78"/>
      <c r="L73" s="78"/>
      <c r="M73" s="78"/>
      <c r="N73" s="78"/>
    </row>
    <row r="74" spans="1:14">
      <c r="A74" s="122" t="s">
        <v>246</v>
      </c>
      <c r="B74" s="123" t="s">
        <v>247</v>
      </c>
      <c r="C74" s="124">
        <v>0.34</v>
      </c>
      <c r="D74" s="124" t="s">
        <v>110</v>
      </c>
      <c r="E74" s="124">
        <v>1.3</v>
      </c>
      <c r="F74" s="125" t="s">
        <v>111</v>
      </c>
      <c r="G74" s="126">
        <v>0.45</v>
      </c>
      <c r="H74" s="124" t="s">
        <v>224</v>
      </c>
      <c r="I74" s="127">
        <v>0.43</v>
      </c>
      <c r="J74" s="78"/>
      <c r="K74" s="78"/>
      <c r="L74" s="78"/>
      <c r="M74" s="78"/>
      <c r="N74" s="78"/>
    </row>
    <row r="75" spans="1:14">
      <c r="A75" s="122" t="s">
        <v>248</v>
      </c>
      <c r="B75" s="123" t="s">
        <v>249</v>
      </c>
      <c r="C75" s="124">
        <v>0.5</v>
      </c>
      <c r="D75" s="124" t="s">
        <v>110</v>
      </c>
      <c r="E75" s="124">
        <v>1.56</v>
      </c>
      <c r="F75" s="125" t="s">
        <v>111</v>
      </c>
      <c r="G75" s="126">
        <v>0.53</v>
      </c>
      <c r="H75" s="124" t="s">
        <v>167</v>
      </c>
      <c r="I75" s="127">
        <v>0.25</v>
      </c>
      <c r="J75" s="78"/>
      <c r="K75" s="78"/>
      <c r="L75" s="78"/>
      <c r="M75" s="78"/>
      <c r="N75" s="78"/>
    </row>
    <row r="76" spans="1:14">
      <c r="A76" s="122" t="s">
        <v>250</v>
      </c>
      <c r="B76" s="123" t="s">
        <v>251</v>
      </c>
      <c r="C76" s="124">
        <v>0.57999999999999996</v>
      </c>
      <c r="D76" s="124" t="s">
        <v>110</v>
      </c>
      <c r="E76" s="124">
        <v>1.56</v>
      </c>
      <c r="F76" s="125" t="s">
        <v>111</v>
      </c>
      <c r="G76" s="126">
        <v>0.3</v>
      </c>
      <c r="H76" s="124" t="s">
        <v>252</v>
      </c>
      <c r="I76" s="127">
        <v>0.25</v>
      </c>
      <c r="J76" s="78"/>
      <c r="K76" s="78"/>
      <c r="L76" s="78"/>
      <c r="M76" s="78"/>
      <c r="N76" s="78"/>
    </row>
    <row r="77" spans="1:14">
      <c r="A77" s="122" t="s">
        <v>253</v>
      </c>
      <c r="B77" s="123" t="s">
        <v>254</v>
      </c>
      <c r="C77" s="124">
        <v>0.37</v>
      </c>
      <c r="D77" s="124" t="s">
        <v>110</v>
      </c>
      <c r="E77" s="124">
        <v>1.3</v>
      </c>
      <c r="F77" s="125" t="s">
        <v>111</v>
      </c>
      <c r="G77" s="126">
        <v>0.55000000000000004</v>
      </c>
      <c r="H77" s="124" t="s">
        <v>137</v>
      </c>
      <c r="I77" s="127">
        <v>0.43</v>
      </c>
      <c r="J77" s="78"/>
      <c r="K77" s="78"/>
      <c r="L77" s="78"/>
      <c r="M77" s="78"/>
      <c r="N77" s="78"/>
    </row>
    <row r="78" spans="1:14">
      <c r="A78" s="122" t="s">
        <v>255</v>
      </c>
      <c r="B78" s="123" t="s">
        <v>256</v>
      </c>
      <c r="C78" s="124">
        <v>0.37</v>
      </c>
      <c r="D78" s="124" t="s">
        <v>110</v>
      </c>
      <c r="E78" s="124">
        <v>1.3</v>
      </c>
      <c r="F78" s="125" t="s">
        <v>111</v>
      </c>
      <c r="G78" s="126">
        <v>0.55000000000000004</v>
      </c>
      <c r="H78" s="124" t="s">
        <v>137</v>
      </c>
      <c r="I78" s="127">
        <v>0.43</v>
      </c>
      <c r="J78" s="78"/>
      <c r="K78" s="78"/>
      <c r="L78" s="78"/>
      <c r="M78" s="78"/>
      <c r="N78" s="78"/>
    </row>
    <row r="79" spans="1:14">
      <c r="A79" s="122" t="s">
        <v>257</v>
      </c>
      <c r="B79" s="123" t="s">
        <v>258</v>
      </c>
      <c r="C79" s="124">
        <v>0.38</v>
      </c>
      <c r="D79" s="124" t="s">
        <v>110</v>
      </c>
      <c r="E79" s="124">
        <v>1.3</v>
      </c>
      <c r="F79" s="125" t="s">
        <v>111</v>
      </c>
      <c r="G79" s="126">
        <v>0.55000000000000004</v>
      </c>
      <c r="H79" s="124" t="s">
        <v>127</v>
      </c>
      <c r="I79" s="127">
        <v>0.43</v>
      </c>
      <c r="J79" s="78"/>
      <c r="K79" s="78"/>
      <c r="L79" s="78"/>
      <c r="M79" s="78"/>
      <c r="N79" s="78"/>
    </row>
    <row r="80" spans="1:14">
      <c r="A80" s="122" t="s">
        <v>259</v>
      </c>
      <c r="B80" s="123" t="s">
        <v>260</v>
      </c>
      <c r="C80" s="124">
        <v>0.36</v>
      </c>
      <c r="D80" s="124" t="s">
        <v>110</v>
      </c>
      <c r="E80" s="124">
        <v>1.3</v>
      </c>
      <c r="F80" s="125" t="s">
        <v>111</v>
      </c>
      <c r="G80" s="126">
        <v>0.55000000000000004</v>
      </c>
      <c r="H80" s="124" t="s">
        <v>127</v>
      </c>
      <c r="I80" s="127">
        <v>0.43</v>
      </c>
      <c r="J80" s="78"/>
      <c r="K80" s="78"/>
      <c r="L80" s="78"/>
      <c r="M80" s="78"/>
      <c r="N80" s="78"/>
    </row>
    <row r="81" spans="1:14">
      <c r="A81" s="122" t="s">
        <v>261</v>
      </c>
      <c r="B81" s="123" t="s">
        <v>262</v>
      </c>
      <c r="C81" s="124">
        <v>0.37</v>
      </c>
      <c r="D81" s="124" t="s">
        <v>110</v>
      </c>
      <c r="E81" s="124">
        <v>1.56</v>
      </c>
      <c r="F81" s="125" t="s">
        <v>111</v>
      </c>
      <c r="G81" s="126">
        <v>0.43</v>
      </c>
      <c r="H81" s="124" t="s">
        <v>112</v>
      </c>
      <c r="I81" s="127">
        <v>0.25</v>
      </c>
      <c r="J81" s="78"/>
      <c r="K81" s="78"/>
      <c r="L81" s="78"/>
      <c r="M81" s="78"/>
      <c r="N81" s="78"/>
    </row>
    <row r="82" spans="1:14">
      <c r="A82" s="122" t="s">
        <v>263</v>
      </c>
      <c r="B82" s="123" t="s">
        <v>264</v>
      </c>
      <c r="C82" s="124">
        <v>0.35</v>
      </c>
      <c r="D82" s="124" t="s">
        <v>265</v>
      </c>
      <c r="E82" s="124">
        <v>1.3</v>
      </c>
      <c r="F82" s="125" t="s">
        <v>111</v>
      </c>
      <c r="G82" s="126">
        <v>0.55000000000000004</v>
      </c>
      <c r="H82" s="124" t="s">
        <v>127</v>
      </c>
      <c r="I82" s="127">
        <v>0.43</v>
      </c>
      <c r="J82" s="78"/>
      <c r="K82" s="78"/>
      <c r="L82" s="78"/>
      <c r="M82" s="78"/>
      <c r="N82" s="78"/>
    </row>
    <row r="83" spans="1:14">
      <c r="A83" s="122" t="s">
        <v>266</v>
      </c>
      <c r="B83" s="123" t="s">
        <v>267</v>
      </c>
      <c r="C83" s="124">
        <v>0.34</v>
      </c>
      <c r="D83" s="124" t="s">
        <v>110</v>
      </c>
      <c r="E83" s="124">
        <v>1.3</v>
      </c>
      <c r="F83" s="125" t="s">
        <v>111</v>
      </c>
      <c r="G83" s="126">
        <v>0.55000000000000004</v>
      </c>
      <c r="H83" s="124" t="s">
        <v>127</v>
      </c>
      <c r="I83" s="127">
        <v>0.43</v>
      </c>
      <c r="J83" s="78"/>
      <c r="K83" s="78"/>
      <c r="L83" s="78"/>
      <c r="M83" s="78"/>
      <c r="N83" s="78"/>
    </row>
    <row r="84" spans="1:14">
      <c r="A84" s="122" t="s">
        <v>268</v>
      </c>
      <c r="B84" s="123" t="s">
        <v>269</v>
      </c>
      <c r="C84" s="124">
        <v>0.31</v>
      </c>
      <c r="D84" s="124" t="s">
        <v>110</v>
      </c>
      <c r="E84" s="124">
        <v>1.3</v>
      </c>
      <c r="F84" s="125" t="s">
        <v>111</v>
      </c>
      <c r="G84" s="126">
        <v>0.55000000000000004</v>
      </c>
      <c r="H84" s="124" t="s">
        <v>127</v>
      </c>
      <c r="I84" s="127">
        <v>0.43</v>
      </c>
      <c r="J84" s="78"/>
      <c r="K84" s="78"/>
      <c r="L84" s="78"/>
      <c r="M84" s="78"/>
      <c r="N84" s="78"/>
    </row>
    <row r="85" spans="1:14">
      <c r="A85" s="122" t="s">
        <v>270</v>
      </c>
      <c r="B85" s="123" t="s">
        <v>271</v>
      </c>
      <c r="C85" s="124">
        <v>0.43</v>
      </c>
      <c r="D85" s="124" t="s">
        <v>110</v>
      </c>
      <c r="E85" s="124">
        <v>1.56</v>
      </c>
      <c r="F85" s="125" t="s">
        <v>111</v>
      </c>
      <c r="G85" s="126">
        <v>0.53</v>
      </c>
      <c r="H85" s="124" t="s">
        <v>167</v>
      </c>
      <c r="I85" s="127">
        <v>0.25</v>
      </c>
      <c r="J85" s="78"/>
      <c r="K85" s="78"/>
      <c r="L85" s="78"/>
      <c r="M85" s="78"/>
      <c r="N85" s="78"/>
    </row>
    <row r="86" spans="1:14">
      <c r="A86" s="122" t="s">
        <v>272</v>
      </c>
      <c r="B86" s="123" t="s">
        <v>273</v>
      </c>
      <c r="C86" s="124">
        <v>0.38</v>
      </c>
      <c r="D86" s="124" t="s">
        <v>110</v>
      </c>
      <c r="E86" s="124">
        <v>1.56</v>
      </c>
      <c r="F86" s="125" t="s">
        <v>111</v>
      </c>
      <c r="G86" s="126">
        <v>0.6</v>
      </c>
      <c r="H86" s="124" t="s">
        <v>274</v>
      </c>
      <c r="I86" s="127">
        <v>0.25</v>
      </c>
      <c r="J86" s="78"/>
      <c r="K86" s="78"/>
      <c r="L86" s="78"/>
      <c r="M86" s="78"/>
      <c r="N86" s="78"/>
    </row>
    <row r="87" spans="1:14">
      <c r="A87" s="251" t="s">
        <v>275</v>
      </c>
      <c r="B87" s="252" t="s">
        <v>276</v>
      </c>
      <c r="C87" s="253">
        <v>0.41</v>
      </c>
      <c r="D87" s="253" t="s">
        <v>277</v>
      </c>
      <c r="E87" s="253">
        <v>1.56</v>
      </c>
      <c r="F87" s="254" t="s">
        <v>111</v>
      </c>
      <c r="G87" s="255">
        <v>0.43</v>
      </c>
      <c r="H87" s="253" t="s">
        <v>112</v>
      </c>
      <c r="I87" s="256">
        <v>0.25</v>
      </c>
      <c r="J87" s="78"/>
      <c r="K87" s="78"/>
      <c r="L87" s="78"/>
      <c r="M87" s="78"/>
      <c r="N87" s="78"/>
    </row>
    <row r="88" spans="1:14">
      <c r="A88" s="122" t="s">
        <v>278</v>
      </c>
      <c r="B88" s="130"/>
      <c r="C88" s="124">
        <v>0.42</v>
      </c>
      <c r="D88" s="124" t="s">
        <v>110</v>
      </c>
      <c r="E88" s="124">
        <v>1.3</v>
      </c>
      <c r="F88" s="125" t="s">
        <v>111</v>
      </c>
      <c r="G88" s="131"/>
      <c r="H88" s="130"/>
      <c r="I88" s="132"/>
    </row>
    <row r="89" spans="1:14" ht="15" thickBot="1">
      <c r="A89" s="133" t="s">
        <v>279</v>
      </c>
      <c r="B89" s="134"/>
      <c r="C89" s="135">
        <v>0.56999999999999995</v>
      </c>
      <c r="D89" s="136" t="s">
        <v>110</v>
      </c>
      <c r="E89" s="135">
        <v>1.56</v>
      </c>
      <c r="F89" s="135" t="s">
        <v>111</v>
      </c>
      <c r="G89" s="134"/>
      <c r="H89" s="134"/>
      <c r="I89" s="137"/>
    </row>
    <row r="93" spans="1:14">
      <c r="A93" s="122" t="s">
        <v>71</v>
      </c>
    </row>
    <row r="94" spans="1:14">
      <c r="A94" s="122" t="s">
        <v>72</v>
      </c>
    </row>
    <row r="95" spans="1:14">
      <c r="A95" s="122" t="s">
        <v>73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defaultColWidth="11.42578125" defaultRowHeight="14.4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" thickBo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5" thickBot="1">
      <c r="A2" s="272" t="s">
        <v>280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>
      <c r="A5" s="138" t="s">
        <v>281</v>
      </c>
      <c r="B5" s="139" t="s">
        <v>282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283</v>
      </c>
      <c r="F5" s="140" t="s">
        <v>284</v>
      </c>
      <c r="G5" s="140" t="s">
        <v>285</v>
      </c>
      <c r="H5" s="141" t="s">
        <v>286</v>
      </c>
      <c r="I5" s="142" t="s">
        <v>287</v>
      </c>
      <c r="J5" s="143" t="s">
        <v>288</v>
      </c>
      <c r="K5" s="144" t="s">
        <v>289</v>
      </c>
      <c r="L5" s="84" t="s">
        <v>290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>
      <c r="A6" s="145" t="str">
        <f>IF('Données projet'!$B$9="","",'Données projet'!$B$9)</f>
        <v>Pin maritime</v>
      </c>
      <c r="B6" s="146">
        <f>'Données projet'!D9</f>
        <v>3.698</v>
      </c>
      <c r="C6" s="147">
        <f ca="1">IF(OR('Données projet'!B9="",'Données projet'!C9="",'Données projet'!C9=0%),0,Calculateur!S3)</f>
        <v>260.31965507630525</v>
      </c>
      <c r="D6" s="147">
        <f>IF(OR('Données projet'!B9="",'Données projet'!C9="",'Données projet'!C9=0%),0,Calculateur!T3)</f>
        <v>327.31114099338032</v>
      </c>
      <c r="E6" s="147">
        <f ca="1">MIN(C6,D6)</f>
        <v>260.31965507630525</v>
      </c>
      <c r="F6" s="147">
        <f ca="1">E6*B6</f>
        <v>962.66208447217684</v>
      </c>
      <c r="G6" s="147">
        <f ca="1">F6*(100%-'Données projet'!$C$24)*(100%-'Données projet'!$C$25)*(100%-'Données projet'!$C$26)*(100%-'Données projet'!$C$27)</f>
        <v>866.39587602495919</v>
      </c>
      <c r="H6" s="148">
        <f>IF(OR('Données projet'!B9="",'Données projet'!C9="",'Données projet'!C9=0%),0,AVERAGE(Calculateur!$AC$3:$AC$33)*B6)</f>
        <v>48.1440516087495</v>
      </c>
      <c r="I6" s="149">
        <f>H6*(100%-'Données projet'!$C$24)*(100%-'Données projet'!$C$25)*(100%-'Données projet'!$C$26)*(100%-'Données projet'!$C$27)</f>
        <v>43.329646447874552</v>
      </c>
      <c r="J6" s="150">
        <f>IF(OR('Données projet'!B9="",'Données projet'!C9="",'Données projet'!C9=0%),0,SUM(Calculateur!$V$3:$V$33)*VLOOKUP('Données projet'!$B$9,Paramètres!$A$1:$I$89,9,0)*B6)</f>
        <v>317.43802676923076</v>
      </c>
      <c r="K6" s="151">
        <f>J6*(100%-'Données projet'!$C$24)*(100%-'Données projet'!$C$25)*(100%-'Données projet'!$C$26)*(100%-'Données projet'!$C$27)</f>
        <v>285.69422409230771</v>
      </c>
      <c r="L6" s="152">
        <f ca="1">G6+I6+K6</f>
        <v>1195.4197465651414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>
      <c r="A7" s="153" t="str">
        <f>IF('Données projet'!$B$10="","",'Données projet'!$B$10)</f>
        <v>Pin laricio</v>
      </c>
      <c r="B7" s="154">
        <f>'Données projet'!D10</f>
        <v>0.60199999999999998</v>
      </c>
      <c r="C7" s="147">
        <f ca="1">IF(OR('Données projet'!B10="",'Données projet'!C10="",'Données projet'!C10=0%),0,Calculateur!AN3)</f>
        <v>277.11749933885778</v>
      </c>
      <c r="D7" s="147">
        <f>IF(OR('Données projet'!B10="",'Données projet'!C10="",'Données projet'!C10=0%),0,Calculateur!AO3)</f>
        <v>244.4970554728738</v>
      </c>
      <c r="E7" s="147">
        <f t="shared" ref="E7:E15" ca="1" si="0">MIN(C7,D7)</f>
        <v>244.4970554728738</v>
      </c>
      <c r="F7" s="147">
        <f t="shared" ref="F7:F15" ca="1" si="1">E7*B7</f>
        <v>147.18722739467003</v>
      </c>
      <c r="G7" s="147">
        <f ca="1">F7*(100%-'Données projet'!$C$24)*(100%-'Données projet'!$C$25)*(100%-'Données projet'!$C$26)*(100%-'Données projet'!$C$27)</f>
        <v>132.46850465520302</v>
      </c>
      <c r="H7" s="155">
        <f>IF(OR('Données projet'!B10="",'Données projet'!C10="",'Données projet'!C10=0%),0,AVERAGE(Calculateur!$AX$3:$AX$33)*B7)</f>
        <v>5.0157408243376844</v>
      </c>
      <c r="I7" s="149">
        <f>H7*(100%-'Données projet'!$C$24)*(100%-'Données projet'!$C$25)*(100%-'Données projet'!$C$26)*(100%-'Données projet'!$C$27)</f>
        <v>4.5141667419039164</v>
      </c>
      <c r="J7" s="150">
        <f>IF(OR('Données projet'!B10="",'Données projet'!C10="",'Données projet'!C10=0%),0,SUM(Calculateur!$AQ$3:$AQ$33)*VLOOKUP('Données projet'!$B$10,Paramètres!$A$1:$I$89,9,0)*B7)</f>
        <v>36.971181692307688</v>
      </c>
      <c r="K7" s="151">
        <f>J7*(100%-'Données projet'!$C$24)*(100%-'Données projet'!$C$25)*(100%-'Données projet'!$C$26)*(100%-'Données projet'!$C$27)</f>
        <v>33.274063523076919</v>
      </c>
      <c r="L7" s="152">
        <f t="shared" ref="L7:L15" ca="1" si="2">G7+I7+K7</f>
        <v>170.25673492018387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>
      <c r="A16" s="209"/>
      <c r="B16" s="213"/>
      <c r="C16" s="214"/>
      <c r="D16" s="23"/>
      <c r="E16" s="23"/>
      <c r="F16" s="165">
        <f t="shared" ref="F16:L16" ca="1" si="3">SUM(F6:F15)</f>
        <v>1109.8493118668468</v>
      </c>
      <c r="G16" s="166">
        <f t="shared" ca="1" si="3"/>
        <v>998.86438068016218</v>
      </c>
      <c r="H16" s="167">
        <f t="shared" si="3"/>
        <v>53.159792433087183</v>
      </c>
      <c r="I16" s="167">
        <f t="shared" si="3"/>
        <v>47.843813189778466</v>
      </c>
      <c r="J16" s="168">
        <f t="shared" si="3"/>
        <v>354.40920846153847</v>
      </c>
      <c r="K16" s="168">
        <f t="shared" si="3"/>
        <v>318.96828761538461</v>
      </c>
      <c r="L16" s="169">
        <f t="shared" ca="1" si="3"/>
        <v>1365.6764814853252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>
      <c r="A17" s="209"/>
      <c r="B17" s="213"/>
      <c r="C17" s="214"/>
      <c r="D17" s="23"/>
      <c r="E17" s="23"/>
      <c r="F17" s="284" t="s">
        <v>291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H14" zoomScale="80" zoomScaleNormal="80" workbookViewId="0">
      <selection activeCell="E64" sqref="E64"/>
    </sheetView>
  </sheetViews>
  <sheetFormatPr defaultColWidth="11.42578125" defaultRowHeight="14.4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" thickBo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5" thickBot="1">
      <c r="A2" s="4"/>
      <c r="B2" s="272" t="s">
        <v>292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>
      <c r="A4" s="4"/>
      <c r="B4" s="4"/>
      <c r="C4" s="4"/>
      <c r="D4" s="4"/>
      <c r="E4" s="4"/>
      <c r="G4" s="4"/>
      <c r="H4" s="258" t="s">
        <v>293</v>
      </c>
      <c r="I4" s="258"/>
      <c r="K4" s="300" t="s">
        <v>294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56</v>
      </c>
      <c r="O7" s="247"/>
      <c r="P7" s="248"/>
      <c r="Q7" s="249"/>
      <c r="R7" s="292" t="s">
        <v>295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>
      <c r="A9" s="93" t="s">
        <v>296</v>
      </c>
      <c r="C9" s="23"/>
      <c r="D9" s="23"/>
      <c r="E9" s="23"/>
      <c r="F9" s="230"/>
      <c r="G9" s="93" t="s">
        <v>297</v>
      </c>
      <c r="J9" s="200"/>
      <c r="K9" s="208"/>
      <c r="O9" s="23"/>
      <c r="P9" s="23"/>
      <c r="Q9" s="234"/>
      <c r="R9" s="23"/>
      <c r="S9" s="4"/>
      <c r="T9" s="36" t="s">
        <v>298</v>
      </c>
      <c r="U9" s="176" t="s">
        <v>299</v>
      </c>
      <c r="V9" s="36" t="s">
        <v>300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>
      <c r="A10" s="93" t="s">
        <v>301</v>
      </c>
      <c r="C10" s="23"/>
      <c r="D10" s="23"/>
      <c r="E10" s="23"/>
      <c r="F10" s="230"/>
      <c r="G10" s="93" t="s">
        <v>302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-12972.414542864484</v>
      </c>
      <c r="U10" s="178">
        <f>'Données projet'!D9</f>
        <v>3.698</v>
      </c>
      <c r="V10" s="177">
        <f>U10*T10</f>
        <v>-47971.988979512862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>
      <c r="A11" s="93" t="s">
        <v>303</v>
      </c>
      <c r="B11" s="23"/>
      <c r="C11" s="23"/>
      <c r="D11" s="23"/>
      <c r="E11" s="23"/>
      <c r="F11" s="230"/>
      <c r="G11" s="93" t="s">
        <v>304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-11128.163920261968</v>
      </c>
      <c r="U11" s="178">
        <f>'Données projet'!D10</f>
        <v>0.60199999999999998</v>
      </c>
      <c r="V11" s="177">
        <f t="shared" ref="V11" si="0">U11*T11</f>
        <v>-6699.154679997705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>
      <c r="B13" s="23"/>
      <c r="C13" s="23"/>
      <c r="D13" s="23"/>
      <c r="E13" s="23"/>
      <c r="F13" s="230"/>
      <c r="J13" s="23"/>
      <c r="K13" s="208"/>
      <c r="L13" s="93" t="s">
        <v>305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>
      <c r="A14" s="46" t="s">
        <v>15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75</v>
      </c>
      <c r="I14" s="36" t="s">
        <v>306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>
      <c r="A15" s="4"/>
      <c r="B15" s="4"/>
      <c r="C15" s="4"/>
      <c r="D15" s="4"/>
      <c r="E15" s="4"/>
      <c r="F15" s="230"/>
      <c r="G15" s="303" t="s">
        <v>307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>
      <c r="A16" s="36" t="s">
        <v>46</v>
      </c>
      <c r="B16" s="48" t="s">
        <v>308</v>
      </c>
      <c r="C16" s="48" t="s">
        <v>309</v>
      </c>
      <c r="D16" s="36" t="s">
        <v>310</v>
      </c>
      <c r="E16" s="36" t="s">
        <v>311</v>
      </c>
      <c r="F16" s="230"/>
      <c r="G16" s="303"/>
      <c r="H16" s="190"/>
      <c r="I16" s="191"/>
      <c r="J16" s="202"/>
      <c r="K16" s="208"/>
      <c r="L16" s="300" t="s">
        <v>312</v>
      </c>
      <c r="M16" s="301"/>
      <c r="N16" s="2">
        <v>50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>
      <c r="A17" s="49">
        <v>0</v>
      </c>
      <c r="B17" s="199" t="s">
        <v>195</v>
      </c>
      <c r="C17" s="198" t="s">
        <v>195</v>
      </c>
      <c r="D17" s="197" t="s">
        <v>195</v>
      </c>
      <c r="E17" s="193">
        <f>5148+(8170/2)+(4600/2)</f>
        <v>11533</v>
      </c>
      <c r="F17" s="230"/>
      <c r="G17" s="303"/>
      <c r="J17" s="202"/>
      <c r="K17" s="208"/>
      <c r="L17" s="260" t="s">
        <v>313</v>
      </c>
      <c r="M17" s="262"/>
      <c r="N17" s="175">
        <f>VLOOKUP(N16,Calculateur!$A$2:$H$153,3,0)/VLOOKUP('Scénario référence'!$G$15,Paramètres!A1:I89,3,0)/VLOOKUP('Scénario référence'!$G$15,Paramètres!A1:I89,5,0)</f>
        <v>50.000000000000021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>
      <c r="A18" s="49">
        <v>1</v>
      </c>
      <c r="B18" s="199" t="s">
        <v>195</v>
      </c>
      <c r="C18" s="198" t="s">
        <v>195</v>
      </c>
      <c r="D18" s="197" t="s">
        <v>195</v>
      </c>
      <c r="E18" s="193">
        <f>11610/10</f>
        <v>1161</v>
      </c>
      <c r="F18" s="230"/>
      <c r="G18" s="303"/>
      <c r="J18" s="202"/>
      <c r="K18" s="208"/>
      <c r="L18" s="260" t="s">
        <v>309</v>
      </c>
      <c r="M18" s="262"/>
      <c r="N18" s="192">
        <v>100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>
      <c r="A19" s="49">
        <v>2</v>
      </c>
      <c r="B19" s="199" t="s">
        <v>195</v>
      </c>
      <c r="C19" s="198" t="s">
        <v>195</v>
      </c>
      <c r="D19" s="197" t="s">
        <v>195</v>
      </c>
      <c r="E19" s="193">
        <f t="shared" ref="E19:E22" si="2">11610/10</f>
        <v>1161</v>
      </c>
      <c r="F19" s="230"/>
      <c r="G19" s="303"/>
      <c r="H19" s="212" t="s">
        <v>75</v>
      </c>
      <c r="I19" s="212" t="s">
        <v>314</v>
      </c>
      <c r="J19" s="93"/>
      <c r="K19" s="173"/>
      <c r="L19" s="300" t="s">
        <v>315</v>
      </c>
      <c r="M19" s="301"/>
      <c r="N19" s="179">
        <f>N17*N18</f>
        <v>5000.0000000000018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>
      <c r="A20" s="49">
        <v>3</v>
      </c>
      <c r="B20" s="199" t="s">
        <v>195</v>
      </c>
      <c r="C20" s="198" t="s">
        <v>195</v>
      </c>
      <c r="D20" s="197" t="s">
        <v>195</v>
      </c>
      <c r="E20" s="193">
        <f t="shared" si="2"/>
        <v>1161</v>
      </c>
      <c r="F20" s="230"/>
      <c r="G20" s="303"/>
      <c r="H20" s="190">
        <v>1</v>
      </c>
      <c r="I20" s="191">
        <v>8323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>
      <c r="A21" s="49">
        <v>4</v>
      </c>
      <c r="B21" s="199" t="s">
        <v>195</v>
      </c>
      <c r="C21" s="198" t="s">
        <v>195</v>
      </c>
      <c r="D21" s="197" t="s">
        <v>195</v>
      </c>
      <c r="E21" s="193">
        <f t="shared" si="2"/>
        <v>1161</v>
      </c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>
      <c r="A22" s="49">
        <v>5</v>
      </c>
      <c r="B22" s="199" t="s">
        <v>195</v>
      </c>
      <c r="C22" s="198" t="s">
        <v>195</v>
      </c>
      <c r="D22" s="197" t="s">
        <v>195</v>
      </c>
      <c r="E22" s="193">
        <f t="shared" si="2"/>
        <v>1161</v>
      </c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>
      <c r="A23" s="180">
        <f>'Données projet'!A36</f>
        <v>15</v>
      </c>
      <c r="B23" s="181">
        <f>'Données projet'!D36</f>
        <v>49.784615384615385</v>
      </c>
      <c r="C23" s="193">
        <v>10</v>
      </c>
      <c r="D23" s="182">
        <f>B23*C23</f>
        <v>497.84615384615387</v>
      </c>
      <c r="E23" s="193">
        <v>150</v>
      </c>
      <c r="F23" s="230"/>
      <c r="H23" s="190"/>
      <c r="I23" s="191"/>
      <c r="K23" s="208"/>
      <c r="L23" s="302" t="s">
        <v>316</v>
      </c>
      <c r="M23" s="302"/>
      <c r="N23" s="302"/>
      <c r="O23" s="23"/>
      <c r="P23" s="23"/>
      <c r="Q23" s="234"/>
      <c r="R23" s="23"/>
      <c r="S23" s="36" t="s">
        <v>317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-88918.894855682825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>
      <c r="A24" s="180">
        <f>'Données projet'!A37</f>
        <v>20</v>
      </c>
      <c r="B24" s="181">
        <f>'Données projet'!D37</f>
        <v>48.723076923076924</v>
      </c>
      <c r="C24" s="193">
        <v>18</v>
      </c>
      <c r="D24" s="182">
        <f t="shared" ref="D24:D42" si="3">B24*C24</f>
        <v>877.01538461538462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318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2380.257474261522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>
      <c r="A25" s="180">
        <f>'Données projet'!A38</f>
        <v>26</v>
      </c>
      <c r="B25" s="181">
        <f>'Données projet'!D38</f>
        <v>46.984615384615381</v>
      </c>
      <c r="C25" s="193">
        <v>25</v>
      </c>
      <c r="D25" s="182">
        <f t="shared" si="3"/>
        <v>1174.6153846153845</v>
      </c>
      <c r="E25" s="193">
        <v>150</v>
      </c>
      <c r="F25" s="233"/>
      <c r="H25" s="190"/>
      <c r="I25" s="191"/>
      <c r="K25" s="208"/>
      <c r="L25" s="130" t="s">
        <v>319</v>
      </c>
      <c r="M25" s="130"/>
      <c r="N25" s="130"/>
      <c r="O25" s="130"/>
      <c r="P25" s="192"/>
      <c r="Q25" s="234"/>
      <c r="R25" s="23"/>
      <c r="S25" s="186" t="s">
        <v>320</v>
      </c>
      <c r="T25" s="299">
        <f ca="1">T23-T24</f>
        <v>-91299.152329944351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>
      <c r="A26" s="180">
        <f>'Données projet'!A39</f>
        <v>30</v>
      </c>
      <c r="B26" s="181">
        <f>'Données projet'!D39</f>
        <v>0</v>
      </c>
      <c r="C26" s="193">
        <v>25</v>
      </c>
      <c r="D26" s="182">
        <f t="shared" si="3"/>
        <v>0</v>
      </c>
      <c r="E26" s="193">
        <v>150</v>
      </c>
      <c r="F26" s="233"/>
      <c r="G26" s="229"/>
      <c r="H26" s="190"/>
      <c r="I26" s="191"/>
      <c r="K26" s="208"/>
      <c r="L26" s="286" t="s">
        <v>321</v>
      </c>
      <c r="M26" s="287"/>
      <c r="N26" s="287"/>
      <c r="O26" s="287"/>
      <c r="P26" s="288"/>
      <c r="Q26" s="234"/>
      <c r="R26" s="23"/>
      <c r="S26" s="186" t="s">
        <v>322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>
      <c r="A27" s="180">
        <f>'Données projet'!A40</f>
        <v>32</v>
      </c>
      <c r="B27" s="181">
        <f>'Données projet'!D40</f>
        <v>64.523076923076914</v>
      </c>
      <c r="C27" s="193">
        <v>35</v>
      </c>
      <c r="D27" s="182">
        <f t="shared" si="3"/>
        <v>2258.3076923076919</v>
      </c>
      <c r="E27" s="193">
        <v>150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323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>
      <c r="A28" s="180">
        <f>'Données projet'!A41</f>
        <v>40</v>
      </c>
      <c r="B28" s="181">
        <f>'Données projet'!D41</f>
        <v>92.661538461538456</v>
      </c>
      <c r="C28" s="193">
        <v>35</v>
      </c>
      <c r="D28" s="182">
        <f t="shared" si="3"/>
        <v>3243.1538461538457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>
      <c r="A29" s="180">
        <f>'Données projet'!A42</f>
        <v>48</v>
      </c>
      <c r="B29" s="181">
        <f>'Données projet'!D42</f>
        <v>83.969230769230762</v>
      </c>
      <c r="C29" s="193">
        <v>35</v>
      </c>
      <c r="D29" s="182">
        <f t="shared" si="3"/>
        <v>2938.9230769230767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>
      <c r="A30" s="180">
        <f>'Données projet'!A43</f>
        <v>56</v>
      </c>
      <c r="B30" s="181">
        <f>'Données projet'!D43</f>
        <v>446.47692307692301</v>
      </c>
      <c r="C30" s="193">
        <v>40</v>
      </c>
      <c r="D30" s="182">
        <f t="shared" si="3"/>
        <v>17859.076923076922</v>
      </c>
      <c r="E30" s="193">
        <v>150</v>
      </c>
      <c r="F30" s="233"/>
      <c r="G30" s="203"/>
      <c r="H30" s="190"/>
      <c r="I30" s="191"/>
      <c r="K30" s="183"/>
      <c r="L30" s="36" t="s">
        <v>324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>
      <c r="A31" s="180">
        <f>'Données projet'!A44</f>
        <v>0</v>
      </c>
      <c r="B31" s="181">
        <f>'Données projet'!D44</f>
        <v>0</v>
      </c>
      <c r="C31" s="193"/>
      <c r="D31" s="182">
        <f t="shared" si="3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>
      <c r="A32" s="180">
        <f>'Données projet'!A45</f>
        <v>0</v>
      </c>
      <c r="B32" s="181">
        <f>'Données projet'!D45</f>
        <v>0</v>
      </c>
      <c r="C32" s="193"/>
      <c r="D32" s="182">
        <f t="shared" si="3"/>
        <v>0</v>
      </c>
      <c r="E32" s="193"/>
      <c r="F32" s="233"/>
      <c r="G32" s="203"/>
      <c r="H32" s="190"/>
      <c r="I32" s="191"/>
      <c r="K32" s="173"/>
      <c r="N32" s="4"/>
      <c r="O32" s="85" t="s">
        <v>75</v>
      </c>
      <c r="P32" s="85" t="s">
        <v>310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>
      <c r="A33" s="180">
        <f>'Données projet'!A46</f>
        <v>0</v>
      </c>
      <c r="B33" s="181">
        <f>'Données projet'!D46</f>
        <v>0</v>
      </c>
      <c r="C33" s="193"/>
      <c r="D33" s="182">
        <f t="shared" si="3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4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>
      <c r="A34" s="180">
        <f>'Données projet'!A47</f>
        <v>0</v>
      </c>
      <c r="B34" s="181">
        <f>'Données projet'!D47</f>
        <v>0</v>
      </c>
      <c r="C34" s="193"/>
      <c r="D34" s="182">
        <f t="shared" si="3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4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>
      <c r="A35" s="180">
        <f>'Données projet'!A48</f>
        <v>0</v>
      </c>
      <c r="B35" s="181">
        <f>'Données projet'!D48</f>
        <v>0</v>
      </c>
      <c r="C35" s="193"/>
      <c r="D35" s="182">
        <f t="shared" si="3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4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>
      <c r="A36" s="180">
        <f>'Données projet'!A49</f>
        <v>0</v>
      </c>
      <c r="B36" s="181">
        <f>'Données projet'!D49</f>
        <v>0</v>
      </c>
      <c r="C36" s="193"/>
      <c r="D36" s="182">
        <f t="shared" si="3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4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>
      <c r="A37" s="180">
        <f>'Données projet'!A50</f>
        <v>0</v>
      </c>
      <c r="B37" s="181">
        <f>'Données projet'!D50</f>
        <v>0</v>
      </c>
      <c r="C37" s="193"/>
      <c r="D37" s="182">
        <f t="shared" si="3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4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>
      <c r="A38" s="180">
        <f>'Données projet'!A51</f>
        <v>0</v>
      </c>
      <c r="B38" s="181">
        <f>'Données projet'!D51</f>
        <v>0</v>
      </c>
      <c r="C38" s="193"/>
      <c r="D38" s="182">
        <f t="shared" si="3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4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>
      <c r="A39" s="180">
        <f>'Données projet'!A52</f>
        <v>0</v>
      </c>
      <c r="B39" s="181">
        <f>'Données projet'!D52</f>
        <v>0</v>
      </c>
      <c r="C39" s="193"/>
      <c r="D39" s="182">
        <f t="shared" si="3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4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>
      <c r="A40" s="180">
        <f>'Données projet'!A53</f>
        <v>0</v>
      </c>
      <c r="B40" s="181">
        <f>'Données projet'!D53</f>
        <v>0</v>
      </c>
      <c r="C40" s="193"/>
      <c r="D40" s="182">
        <f t="shared" si="3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4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>
      <c r="A41" s="180">
        <f>'Données projet'!A54</f>
        <v>0</v>
      </c>
      <c r="B41" s="181">
        <f>'Données projet'!D54</f>
        <v>0</v>
      </c>
      <c r="C41" s="193"/>
      <c r="D41" s="182">
        <f t="shared" si="3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4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>
      <c r="A42" s="180">
        <f>'Données projet'!A55</f>
        <v>0</v>
      </c>
      <c r="B42" s="181">
        <f>'Données projet'!D55</f>
        <v>0</v>
      </c>
      <c r="C42" s="193"/>
      <c r="D42" s="182">
        <f t="shared" si="3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4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4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4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>
      <c r="A45" s="46" t="s">
        <v>18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4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4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>
      <c r="A47" s="36" t="s">
        <v>46</v>
      </c>
      <c r="B47" s="48" t="s">
        <v>308</v>
      </c>
      <c r="C47" s="48" t="s">
        <v>309</v>
      </c>
      <c r="D47" s="36" t="s">
        <v>310</v>
      </c>
      <c r="E47" s="36" t="s">
        <v>311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4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>
      <c r="A48" s="49">
        <v>0</v>
      </c>
      <c r="B48" s="199" t="s">
        <v>195</v>
      </c>
      <c r="C48" s="198" t="s">
        <v>195</v>
      </c>
      <c r="D48" s="197" t="s">
        <v>195</v>
      </c>
      <c r="E48" s="193">
        <f>864+(8170/2)+(4600/2)</f>
        <v>7249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4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>
      <c r="A49" s="49">
        <v>1</v>
      </c>
      <c r="B49" s="199" t="s">
        <v>195</v>
      </c>
      <c r="C49" s="198" t="s">
        <v>195</v>
      </c>
      <c r="D49" s="197" t="s">
        <v>195</v>
      </c>
      <c r="E49" s="193">
        <f>11610/10</f>
        <v>1161</v>
      </c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4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>
      <c r="A50" s="49">
        <v>2</v>
      </c>
      <c r="B50" s="199" t="s">
        <v>195</v>
      </c>
      <c r="C50" s="198" t="s">
        <v>195</v>
      </c>
      <c r="D50" s="197" t="s">
        <v>195</v>
      </c>
      <c r="E50" s="193">
        <f t="shared" ref="E50:E53" si="5">11610/10</f>
        <v>1161</v>
      </c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4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>
      <c r="A51" s="49">
        <v>3</v>
      </c>
      <c r="B51" s="199" t="s">
        <v>195</v>
      </c>
      <c r="C51" s="198" t="s">
        <v>195</v>
      </c>
      <c r="D51" s="197" t="s">
        <v>195</v>
      </c>
      <c r="E51" s="193">
        <f t="shared" si="5"/>
        <v>1161</v>
      </c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4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>
      <c r="A52" s="49">
        <v>4</v>
      </c>
      <c r="B52" s="199" t="s">
        <v>195</v>
      </c>
      <c r="C52" s="198" t="s">
        <v>195</v>
      </c>
      <c r="D52" s="197" t="s">
        <v>195</v>
      </c>
      <c r="E52" s="193">
        <f t="shared" si="5"/>
        <v>1161</v>
      </c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4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>
      <c r="A53" s="49">
        <v>5</v>
      </c>
      <c r="B53" s="199" t="s">
        <v>195</v>
      </c>
      <c r="C53" s="198" t="s">
        <v>195</v>
      </c>
      <c r="D53" s="197" t="s">
        <v>195</v>
      </c>
      <c r="E53" s="193">
        <f t="shared" si="5"/>
        <v>1161</v>
      </c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4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>
      <c r="A54" s="180">
        <f>'Données projet'!A62</f>
        <v>19</v>
      </c>
      <c r="B54" s="181">
        <f>'Données projet'!D62</f>
        <v>46.53846153846154</v>
      </c>
      <c r="C54" s="191">
        <v>10</v>
      </c>
      <c r="D54" s="179">
        <f>B54*C54</f>
        <v>465.38461538461542</v>
      </c>
      <c r="E54" s="193">
        <v>150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4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>
      <c r="A55" s="180">
        <f>'Données projet'!A63</f>
        <v>24</v>
      </c>
      <c r="B55" s="181">
        <f>'Données projet'!D63</f>
        <v>40.41538461538461</v>
      </c>
      <c r="C55" s="191">
        <v>10</v>
      </c>
      <c r="D55" s="179">
        <f t="shared" ref="D55:D73" si="6">B55*C55</f>
        <v>404.15384615384608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4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>
      <c r="A56" s="180">
        <f>'Données projet'!A64</f>
        <v>30</v>
      </c>
      <c r="B56" s="181">
        <f>'Données projet'!D64</f>
        <v>55.869230769230761</v>
      </c>
      <c r="C56" s="191">
        <v>10</v>
      </c>
      <c r="D56" s="179">
        <f t="shared" si="6"/>
        <v>558.69230769230762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4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>
      <c r="A57" s="180">
        <f>'Données projet'!A65</f>
        <v>37</v>
      </c>
      <c r="B57" s="181">
        <f>'Données projet'!D65</f>
        <v>43.623076923076923</v>
      </c>
      <c r="C57" s="191">
        <v>15</v>
      </c>
      <c r="D57" s="179">
        <f t="shared" si="6"/>
        <v>654.34615384615381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4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>
      <c r="A58" s="180">
        <f>'Données projet'!A66</f>
        <v>46</v>
      </c>
      <c r="B58" s="181">
        <f>'Données projet'!D66</f>
        <v>72.561538461538461</v>
      </c>
      <c r="C58" s="191">
        <v>25</v>
      </c>
      <c r="D58" s="179">
        <f t="shared" si="6"/>
        <v>1814.0384615384614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4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>
      <c r="A59" s="180">
        <f>'Données projet'!A67</f>
        <v>56</v>
      </c>
      <c r="B59" s="181">
        <f>'Données projet'!D67</f>
        <v>60.092307692307692</v>
      </c>
      <c r="C59" s="191">
        <v>25</v>
      </c>
      <c r="D59" s="179">
        <f t="shared" si="6"/>
        <v>1502.3076923076924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4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>
      <c r="A60" s="180">
        <f>'Données projet'!A68</f>
        <v>66</v>
      </c>
      <c r="B60" s="181">
        <f>'Données projet'!D68</f>
        <v>68.146153846153851</v>
      </c>
      <c r="C60" s="191">
        <v>25</v>
      </c>
      <c r="D60" s="179">
        <f t="shared" si="6"/>
        <v>1703.6538461538462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4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>
      <c r="A61" s="180">
        <f>'Données projet'!A69</f>
        <v>76</v>
      </c>
      <c r="B61" s="181">
        <f>'Données projet'!D69</f>
        <v>520.22307692307686</v>
      </c>
      <c r="C61" s="191">
        <v>25</v>
      </c>
      <c r="D61" s="179">
        <f t="shared" si="6"/>
        <v>13005.576923076922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4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>
      <c r="A62" s="180">
        <f>'Données projet'!A70</f>
        <v>0</v>
      </c>
      <c r="B62" s="181">
        <f>'Données projet'!D70</f>
        <v>0</v>
      </c>
      <c r="C62" s="191"/>
      <c r="D62" s="179">
        <f t="shared" si="6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4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>
      <c r="A63" s="180">
        <f>'Données projet'!A71</f>
        <v>0</v>
      </c>
      <c r="B63" s="181">
        <f>'Données projet'!D71</f>
        <v>0</v>
      </c>
      <c r="C63" s="191"/>
      <c r="D63" s="179">
        <f t="shared" si="6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4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>
      <c r="A64" s="180">
        <f>'Données projet'!A72</f>
        <v>0</v>
      </c>
      <c r="B64" s="181">
        <f>'Données projet'!D72</f>
        <v>0</v>
      </c>
      <c r="C64" s="191"/>
      <c r="D64" s="179">
        <f t="shared" si="6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4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>
      <c r="A65" s="180">
        <f>'Données projet'!A73</f>
        <v>0</v>
      </c>
      <c r="B65" s="181">
        <f>'Données projet'!D73</f>
        <v>0</v>
      </c>
      <c r="C65" s="191"/>
      <c r="D65" s="179">
        <f t="shared" si="6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7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>
      <c r="A66" s="180">
        <f>'Données projet'!A74</f>
        <v>0</v>
      </c>
      <c r="B66" s="181">
        <f>'Données projet'!D74</f>
        <v>0</v>
      </c>
      <c r="C66" s="191"/>
      <c r="D66" s="179">
        <f t="shared" si="6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7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>
      <c r="A67" s="180">
        <f>'Données projet'!A75</f>
        <v>0</v>
      </c>
      <c r="B67" s="181">
        <f>'Données projet'!D75</f>
        <v>0</v>
      </c>
      <c r="C67" s="191"/>
      <c r="D67" s="179">
        <f t="shared" si="6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7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>
      <c r="A68" s="180">
        <f>'Données projet'!A76</f>
        <v>0</v>
      </c>
      <c r="B68" s="181">
        <f>'Données projet'!D76</f>
        <v>0</v>
      </c>
      <c r="C68" s="191"/>
      <c r="D68" s="179">
        <f t="shared" si="6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7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>
      <c r="A69" s="180">
        <f>'Données projet'!A77</f>
        <v>0</v>
      </c>
      <c r="B69" s="181">
        <f>'Données projet'!D77</f>
        <v>0</v>
      </c>
      <c r="C69" s="191"/>
      <c r="D69" s="179">
        <f t="shared" si="6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7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>
      <c r="A70" s="180">
        <f>'Données projet'!A78</f>
        <v>0</v>
      </c>
      <c r="B70" s="181">
        <f>'Données projet'!D78</f>
        <v>0</v>
      </c>
      <c r="C70" s="191"/>
      <c r="D70" s="179">
        <f t="shared" si="6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7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>
      <c r="A71" s="180">
        <f>'Données projet'!A79</f>
        <v>0</v>
      </c>
      <c r="B71" s="181">
        <f>'Données projet'!D79</f>
        <v>0</v>
      </c>
      <c r="C71" s="191"/>
      <c r="D71" s="179">
        <f t="shared" si="6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7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>
      <c r="A72" s="180">
        <f>'Données projet'!A80</f>
        <v>0</v>
      </c>
      <c r="B72" s="181">
        <f>'Données projet'!D80</f>
        <v>0</v>
      </c>
      <c r="C72" s="191"/>
      <c r="D72" s="179">
        <f t="shared" si="6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7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>
      <c r="A73" s="180">
        <f>'Données projet'!A81</f>
        <v>0</v>
      </c>
      <c r="B73" s="181">
        <f>'Données projet'!D81</f>
        <v>0</v>
      </c>
      <c r="C73" s="191"/>
      <c r="D73" s="179">
        <f t="shared" si="6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7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7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7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>
      <c r="A76" s="46" t="s">
        <v>20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7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7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>
      <c r="A78" s="36" t="s">
        <v>46</v>
      </c>
      <c r="B78" s="48" t="s">
        <v>308</v>
      </c>
      <c r="C78" s="48" t="s">
        <v>309</v>
      </c>
      <c r="D78" s="36" t="s">
        <v>310</v>
      </c>
      <c r="E78" s="36" t="s">
        <v>311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7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>
      <c r="A79" s="49">
        <v>0</v>
      </c>
      <c r="B79" s="199" t="s">
        <v>195</v>
      </c>
      <c r="C79" s="198" t="s">
        <v>195</v>
      </c>
      <c r="D79" s="197" t="s">
        <v>195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7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>
      <c r="A80" s="49">
        <v>1</v>
      </c>
      <c r="B80" s="199" t="s">
        <v>195</v>
      </c>
      <c r="C80" s="198" t="s">
        <v>195</v>
      </c>
      <c r="D80" s="197" t="s">
        <v>195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7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>
      <c r="A81" s="49">
        <v>2</v>
      </c>
      <c r="B81" s="199" t="s">
        <v>195</v>
      </c>
      <c r="C81" s="198" t="s">
        <v>195</v>
      </c>
      <c r="D81" s="197" t="s">
        <v>195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7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>
      <c r="A82" s="49">
        <v>3</v>
      </c>
      <c r="B82" s="199" t="s">
        <v>195</v>
      </c>
      <c r="C82" s="198" t="s">
        <v>195</v>
      </c>
      <c r="D82" s="197" t="s">
        <v>195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7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>
      <c r="A83" s="49">
        <v>4</v>
      </c>
      <c r="B83" s="199" t="s">
        <v>195</v>
      </c>
      <c r="C83" s="198" t="s">
        <v>195</v>
      </c>
      <c r="D83" s="197" t="s">
        <v>195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7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>
      <c r="A84" s="49">
        <v>5</v>
      </c>
      <c r="B84" s="199" t="s">
        <v>195</v>
      </c>
      <c r="C84" s="198" t="s">
        <v>195</v>
      </c>
      <c r="D84" s="197" t="s">
        <v>195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7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7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>
      <c r="A86" s="180">
        <f>'Données projet'!A89</f>
        <v>0</v>
      </c>
      <c r="B86" s="181">
        <f>'Données projet'!D89</f>
        <v>0</v>
      </c>
      <c r="C86" s="191"/>
      <c r="D86" s="179">
        <f t="shared" ref="D86:D104" si="8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7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>
      <c r="A87" s="180">
        <f>'Données projet'!A90</f>
        <v>0</v>
      </c>
      <c r="B87" s="181">
        <f>'Données projet'!D90</f>
        <v>0</v>
      </c>
      <c r="C87" s="191"/>
      <c r="D87" s="179">
        <f t="shared" si="8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7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>
      <c r="A88" s="180">
        <f>'Données projet'!A91</f>
        <v>0</v>
      </c>
      <c r="B88" s="181">
        <f>'Données projet'!D91</f>
        <v>0</v>
      </c>
      <c r="C88" s="191"/>
      <c r="D88" s="179">
        <f t="shared" si="8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7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>
      <c r="A89" s="180">
        <f>'Données projet'!A92</f>
        <v>0</v>
      </c>
      <c r="B89" s="181">
        <f>'Données projet'!D92</f>
        <v>0</v>
      </c>
      <c r="C89" s="191"/>
      <c r="D89" s="179">
        <f t="shared" si="8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7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>
      <c r="A90" s="180">
        <f>'Données projet'!A93</f>
        <v>0</v>
      </c>
      <c r="B90" s="181">
        <f>'Données projet'!D93</f>
        <v>0</v>
      </c>
      <c r="C90" s="191"/>
      <c r="D90" s="179">
        <f t="shared" si="8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str">
        <f>IF(O89+1&lt;=MIN('Données projet'!$E$9:$E$18),O89+1,"STOP")</f>
        <v>STOP</v>
      </c>
      <c r="P90" s="185" t="e">
        <f t="shared" si="7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>
      <c r="A91" s="180">
        <f>'Données projet'!A94</f>
        <v>0</v>
      </c>
      <c r="B91" s="181">
        <f>'Données projet'!D94</f>
        <v>0</v>
      </c>
      <c r="C91" s="191"/>
      <c r="D91" s="179">
        <f t="shared" si="8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7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>
      <c r="A92" s="180">
        <f>'Données projet'!A95</f>
        <v>0</v>
      </c>
      <c r="B92" s="181">
        <f>'Données projet'!D95</f>
        <v>0</v>
      </c>
      <c r="C92" s="191"/>
      <c r="D92" s="179">
        <f t="shared" si="8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7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>
      <c r="A93" s="180">
        <f>'Données projet'!A96</f>
        <v>0</v>
      </c>
      <c r="B93" s="181">
        <f>'Données projet'!D96</f>
        <v>0</v>
      </c>
      <c r="C93" s="191"/>
      <c r="D93" s="179">
        <f t="shared" si="8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7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>
      <c r="A94" s="180">
        <f>'Données projet'!A97</f>
        <v>0</v>
      </c>
      <c r="B94" s="181">
        <f>'Données projet'!D97</f>
        <v>0</v>
      </c>
      <c r="C94" s="191"/>
      <c r="D94" s="179">
        <f t="shared" si="8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7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>
      <c r="A95" s="180">
        <f>'Données projet'!A98</f>
        <v>0</v>
      </c>
      <c r="B95" s="181">
        <f>'Données projet'!D98</f>
        <v>0</v>
      </c>
      <c r="C95" s="191"/>
      <c r="D95" s="179">
        <f t="shared" si="8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7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>
      <c r="A96" s="180">
        <f>'Données projet'!A99</f>
        <v>0</v>
      </c>
      <c r="B96" s="181">
        <f>'Données projet'!D99</f>
        <v>0</v>
      </c>
      <c r="C96" s="191"/>
      <c r="D96" s="179">
        <f t="shared" si="8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7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>
      <c r="A97" s="180">
        <f>'Données projet'!A100</f>
        <v>0</v>
      </c>
      <c r="B97" s="181">
        <f>'Données projet'!D100</f>
        <v>0</v>
      </c>
      <c r="C97" s="191"/>
      <c r="D97" s="179">
        <f t="shared" si="8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9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>
      <c r="A98" s="180">
        <f>'Données projet'!A101</f>
        <v>0</v>
      </c>
      <c r="B98" s="181">
        <f>'Données projet'!D101</f>
        <v>0</v>
      </c>
      <c r="C98" s="191"/>
      <c r="D98" s="179">
        <f t="shared" si="8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9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>
      <c r="A99" s="180">
        <f>'Données projet'!A102</f>
        <v>0</v>
      </c>
      <c r="B99" s="181">
        <f>'Données projet'!D102</f>
        <v>0</v>
      </c>
      <c r="C99" s="191"/>
      <c r="D99" s="179">
        <f t="shared" si="8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9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>
      <c r="A100" s="180">
        <f>'Données projet'!A103</f>
        <v>0</v>
      </c>
      <c r="B100" s="181">
        <f>'Données projet'!D103</f>
        <v>0</v>
      </c>
      <c r="C100" s="191"/>
      <c r="D100" s="179">
        <f t="shared" si="8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9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>
      <c r="A101" s="180">
        <f>'Données projet'!A104</f>
        <v>0</v>
      </c>
      <c r="B101" s="181">
        <f>'Données projet'!D104</f>
        <v>0</v>
      </c>
      <c r="C101" s="191"/>
      <c r="D101" s="179">
        <f t="shared" si="8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9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>
      <c r="A102" s="180">
        <f>'Données projet'!A105</f>
        <v>0</v>
      </c>
      <c r="B102" s="181">
        <f>'Données projet'!D105</f>
        <v>0</v>
      </c>
      <c r="C102" s="191"/>
      <c r="D102" s="179">
        <f t="shared" si="8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9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>
      <c r="A103" s="180">
        <f>'Données projet'!A106</f>
        <v>0</v>
      </c>
      <c r="B103" s="181">
        <f>'Données projet'!D106</f>
        <v>0</v>
      </c>
      <c r="C103" s="191"/>
      <c r="D103" s="179">
        <f t="shared" si="8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9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>
      <c r="A104" s="180">
        <f>'Données projet'!A107</f>
        <v>0</v>
      </c>
      <c r="B104" s="181">
        <f>'Données projet'!D107</f>
        <v>0</v>
      </c>
      <c r="C104" s="191"/>
      <c r="D104" s="179">
        <f t="shared" si="8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9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9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9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>
      <c r="A107" s="46" t="s">
        <v>21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9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9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>
      <c r="A109" s="36" t="s">
        <v>46</v>
      </c>
      <c r="B109" s="48" t="s">
        <v>308</v>
      </c>
      <c r="C109" s="48" t="s">
        <v>309</v>
      </c>
      <c r="D109" s="36" t="s">
        <v>310</v>
      </c>
      <c r="E109" s="36" t="s">
        <v>311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9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>
      <c r="A110" s="49">
        <v>0</v>
      </c>
      <c r="B110" s="199" t="s">
        <v>195</v>
      </c>
      <c r="C110" s="198" t="s">
        <v>195</v>
      </c>
      <c r="D110" s="197" t="s">
        <v>195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9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>
      <c r="A111" s="49">
        <v>1</v>
      </c>
      <c r="B111" s="199" t="s">
        <v>195</v>
      </c>
      <c r="C111" s="198" t="s">
        <v>195</v>
      </c>
      <c r="D111" s="197" t="s">
        <v>195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9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>
      <c r="A112" s="49">
        <v>2</v>
      </c>
      <c r="B112" s="199" t="s">
        <v>195</v>
      </c>
      <c r="C112" s="198" t="s">
        <v>195</v>
      </c>
      <c r="D112" s="197" t="s">
        <v>195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9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>
      <c r="A113" s="49">
        <v>3</v>
      </c>
      <c r="B113" s="199" t="s">
        <v>195</v>
      </c>
      <c r="C113" s="198" t="s">
        <v>195</v>
      </c>
      <c r="D113" s="197" t="s">
        <v>195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9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>
      <c r="A114" s="49">
        <v>4</v>
      </c>
      <c r="B114" s="199" t="s">
        <v>195</v>
      </c>
      <c r="C114" s="198" t="s">
        <v>195</v>
      </c>
      <c r="D114" s="197" t="s">
        <v>195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9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>
      <c r="A115" s="49">
        <v>5</v>
      </c>
      <c r="B115" s="199" t="s">
        <v>195</v>
      </c>
      <c r="C115" s="198" t="s">
        <v>195</v>
      </c>
      <c r="D115" s="197" t="s">
        <v>195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9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9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10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9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>
      <c r="A118" s="180">
        <f>'Données projet'!A116</f>
        <v>0</v>
      </c>
      <c r="B118" s="181">
        <f>'Données projet'!D116</f>
        <v>0</v>
      </c>
      <c r="C118" s="191"/>
      <c r="D118" s="179">
        <f t="shared" si="10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9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>
      <c r="A119" s="180">
        <f>'Données projet'!A117</f>
        <v>0</v>
      </c>
      <c r="B119" s="181">
        <f>'Données projet'!D117</f>
        <v>0</v>
      </c>
      <c r="C119" s="191"/>
      <c r="D119" s="179">
        <f t="shared" si="10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9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>
      <c r="A120" s="180">
        <f>'Données projet'!A118</f>
        <v>0</v>
      </c>
      <c r="B120" s="181">
        <f>'Données projet'!D118</f>
        <v>0</v>
      </c>
      <c r="C120" s="191"/>
      <c r="D120" s="179">
        <f t="shared" si="10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9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>
      <c r="A121" s="180">
        <f>'Données projet'!A119</f>
        <v>0</v>
      </c>
      <c r="B121" s="181">
        <f>'Données projet'!D119</f>
        <v>0</v>
      </c>
      <c r="C121" s="191"/>
      <c r="D121" s="179">
        <f t="shared" si="10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9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>
      <c r="A122" s="180">
        <f>'Données projet'!A120</f>
        <v>0</v>
      </c>
      <c r="B122" s="181">
        <f>'Données projet'!D120</f>
        <v>0</v>
      </c>
      <c r="C122" s="191"/>
      <c r="D122" s="179">
        <f t="shared" si="10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9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>
      <c r="A123" s="180">
        <f>'Données projet'!A121</f>
        <v>0</v>
      </c>
      <c r="B123" s="181">
        <f>'Données projet'!D121</f>
        <v>0</v>
      </c>
      <c r="C123" s="191"/>
      <c r="D123" s="179">
        <f t="shared" si="10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9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>
      <c r="A124" s="180">
        <f>'Données projet'!A122</f>
        <v>0</v>
      </c>
      <c r="B124" s="181">
        <f>'Données projet'!D122</f>
        <v>0</v>
      </c>
      <c r="C124" s="191"/>
      <c r="D124" s="179">
        <f t="shared" si="10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9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>
      <c r="A125" s="180">
        <f>'Données projet'!A123</f>
        <v>0</v>
      </c>
      <c r="B125" s="181">
        <f>'Données projet'!D123</f>
        <v>0</v>
      </c>
      <c r="C125" s="191"/>
      <c r="D125" s="179">
        <f t="shared" si="10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9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>
      <c r="A126" s="180">
        <f>'Données projet'!A124</f>
        <v>0</v>
      </c>
      <c r="B126" s="181">
        <f>'Données projet'!D124</f>
        <v>0</v>
      </c>
      <c r="C126" s="191"/>
      <c r="D126" s="179">
        <f t="shared" si="10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9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>
      <c r="A127" s="180">
        <f>'Données projet'!A125</f>
        <v>0</v>
      </c>
      <c r="B127" s="181">
        <f>'Données projet'!D125</f>
        <v>0</v>
      </c>
      <c r="C127" s="191"/>
      <c r="D127" s="179">
        <f t="shared" si="10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9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>
      <c r="A128" s="180">
        <f>'Données projet'!A126</f>
        <v>0</v>
      </c>
      <c r="B128" s="181">
        <f>'Données projet'!D126</f>
        <v>0</v>
      </c>
      <c r="C128" s="191"/>
      <c r="D128" s="179">
        <f t="shared" si="10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9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>
      <c r="A129" s="180">
        <f>'Données projet'!A127</f>
        <v>0</v>
      </c>
      <c r="B129" s="181">
        <f>'Données projet'!D127</f>
        <v>0</v>
      </c>
      <c r="C129" s="191"/>
      <c r="D129" s="179">
        <f t="shared" si="10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11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>
      <c r="A130" s="180">
        <f>'Données projet'!A128</f>
        <v>0</v>
      </c>
      <c r="B130" s="181">
        <f>'Données projet'!D128</f>
        <v>0</v>
      </c>
      <c r="C130" s="191"/>
      <c r="D130" s="179">
        <f t="shared" si="10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11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>
      <c r="A131" s="180">
        <f>'Données projet'!A129</f>
        <v>0</v>
      </c>
      <c r="B131" s="181">
        <f>'Données projet'!D129</f>
        <v>0</v>
      </c>
      <c r="C131" s="191"/>
      <c r="D131" s="179">
        <f t="shared" si="10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11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>
      <c r="A132" s="180">
        <f>'Données projet'!A130</f>
        <v>0</v>
      </c>
      <c r="B132" s="181">
        <f>'Données projet'!D130</f>
        <v>0</v>
      </c>
      <c r="C132" s="191"/>
      <c r="D132" s="179">
        <f t="shared" si="10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11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>
      <c r="A133" s="180">
        <f>'Données projet'!A131</f>
        <v>0</v>
      </c>
      <c r="B133" s="181">
        <f>'Données projet'!D131</f>
        <v>0</v>
      </c>
      <c r="C133" s="191"/>
      <c r="D133" s="179">
        <f t="shared" si="10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>
      <c r="A134" s="180">
        <f>'Données projet'!A132</f>
        <v>0</v>
      </c>
      <c r="B134" s="181">
        <f>'Données projet'!D132</f>
        <v>0</v>
      </c>
      <c r="C134" s="191"/>
      <c r="D134" s="179">
        <f t="shared" si="10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>
      <c r="A135" s="180">
        <f>'Données projet'!A133</f>
        <v>0</v>
      </c>
      <c r="B135" s="181">
        <f>'Données projet'!D133</f>
        <v>0</v>
      </c>
      <c r="C135" s="191"/>
      <c r="D135" s="179">
        <f t="shared" si="10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>
      <c r="A138" s="46" t="s">
        <v>22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>
      <c r="A140" s="36" t="s">
        <v>46</v>
      </c>
      <c r="B140" s="48" t="s">
        <v>308</v>
      </c>
      <c r="C140" s="48" t="s">
        <v>309</v>
      </c>
      <c r="D140" s="36" t="s">
        <v>310</v>
      </c>
      <c r="E140" s="36" t="s">
        <v>311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>
      <c r="A141" s="49">
        <v>0</v>
      </c>
      <c r="B141" s="199" t="s">
        <v>195</v>
      </c>
      <c r="C141" s="198" t="s">
        <v>195</v>
      </c>
      <c r="D141" s="197" t="s">
        <v>195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>
      <c r="A142" s="49">
        <v>1</v>
      </c>
      <c r="B142" s="199" t="s">
        <v>195</v>
      </c>
      <c r="C142" s="198" t="s">
        <v>195</v>
      </c>
      <c r="D142" s="197" t="s">
        <v>195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>
      <c r="A143" s="49">
        <v>2</v>
      </c>
      <c r="B143" s="199" t="s">
        <v>195</v>
      </c>
      <c r="C143" s="198" t="s">
        <v>195</v>
      </c>
      <c r="D143" s="197" t="s">
        <v>195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>
      <c r="A144" s="49">
        <v>3</v>
      </c>
      <c r="B144" s="199" t="s">
        <v>195</v>
      </c>
      <c r="C144" s="198" t="s">
        <v>195</v>
      </c>
      <c r="D144" s="197" t="s">
        <v>195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>
      <c r="A145" s="49">
        <v>4</v>
      </c>
      <c r="B145" s="199" t="s">
        <v>195</v>
      </c>
      <c r="C145" s="198" t="s">
        <v>195</v>
      </c>
      <c r="D145" s="197" t="s">
        <v>195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>
      <c r="A146" s="49">
        <v>5</v>
      </c>
      <c r="B146" s="199" t="s">
        <v>195</v>
      </c>
      <c r="C146" s="198" t="s">
        <v>195</v>
      </c>
      <c r="D146" s="197" t="s">
        <v>195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2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>
      <c r="A149" s="42">
        <f>'Données projet'!A142</f>
        <v>0</v>
      </c>
      <c r="B149" s="175">
        <f>'Données projet'!D142</f>
        <v>0</v>
      </c>
      <c r="C149" s="191"/>
      <c r="D149" s="182">
        <f t="shared" si="12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>
      <c r="A150" s="42">
        <f>'Données projet'!A143</f>
        <v>0</v>
      </c>
      <c r="B150" s="175">
        <f>'Données projet'!D143</f>
        <v>0</v>
      </c>
      <c r="C150" s="191"/>
      <c r="D150" s="182">
        <f t="shared" si="12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>
      <c r="A151" s="42">
        <f>'Données projet'!A144</f>
        <v>0</v>
      </c>
      <c r="B151" s="175">
        <f>'Données projet'!D144</f>
        <v>0</v>
      </c>
      <c r="C151" s="191"/>
      <c r="D151" s="182">
        <f t="shared" si="12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>
      <c r="A152" s="42">
        <f>'Données projet'!A145</f>
        <v>0</v>
      </c>
      <c r="B152" s="175">
        <f>'Données projet'!D145</f>
        <v>0</v>
      </c>
      <c r="C152" s="191"/>
      <c r="D152" s="182">
        <f t="shared" si="12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>
      <c r="A153" s="42">
        <f>'Données projet'!A146</f>
        <v>0</v>
      </c>
      <c r="B153" s="175">
        <f>'Données projet'!D146</f>
        <v>0</v>
      </c>
      <c r="C153" s="191"/>
      <c r="D153" s="182">
        <f t="shared" si="12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>
      <c r="A154" s="42">
        <f>'Données projet'!A147</f>
        <v>0</v>
      </c>
      <c r="B154" s="175">
        <f>'Données projet'!D147</f>
        <v>0</v>
      </c>
      <c r="C154" s="191"/>
      <c r="D154" s="182">
        <f t="shared" si="12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>
      <c r="A155" s="42">
        <f>'Données projet'!A148</f>
        <v>0</v>
      </c>
      <c r="B155" s="175">
        <f>'Données projet'!D148</f>
        <v>0</v>
      </c>
      <c r="C155" s="191"/>
      <c r="D155" s="182">
        <f t="shared" si="12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>
      <c r="A156" s="42">
        <f>'Données projet'!A149</f>
        <v>0</v>
      </c>
      <c r="B156" s="175">
        <f>'Données projet'!D149</f>
        <v>0</v>
      </c>
      <c r="C156" s="191"/>
      <c r="D156" s="182">
        <f t="shared" si="12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>
      <c r="A157" s="42">
        <f>'Données projet'!A150</f>
        <v>0</v>
      </c>
      <c r="B157" s="175">
        <f>'Données projet'!D150</f>
        <v>0</v>
      </c>
      <c r="C157" s="191"/>
      <c r="D157" s="182">
        <f t="shared" si="12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>
      <c r="A158" s="42">
        <f>'Données projet'!A151</f>
        <v>0</v>
      </c>
      <c r="B158" s="175">
        <f>'Données projet'!D151</f>
        <v>0</v>
      </c>
      <c r="C158" s="191"/>
      <c r="D158" s="182">
        <f t="shared" si="12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>
      <c r="A159" s="42">
        <f>'Données projet'!A152</f>
        <v>0</v>
      </c>
      <c r="B159" s="175">
        <f>'Données projet'!D152</f>
        <v>0</v>
      </c>
      <c r="C159" s="191"/>
      <c r="D159" s="182">
        <f t="shared" si="12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>
      <c r="A160" s="42">
        <f>'Données projet'!A153</f>
        <v>0</v>
      </c>
      <c r="B160" s="175">
        <f>'Données projet'!D153</f>
        <v>0</v>
      </c>
      <c r="C160" s="191"/>
      <c r="D160" s="182">
        <f t="shared" si="12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>
      <c r="A161" s="42">
        <f>'Données projet'!A154</f>
        <v>0</v>
      </c>
      <c r="B161" s="175">
        <f>'Données projet'!D154</f>
        <v>0</v>
      </c>
      <c r="C161" s="191"/>
      <c r="D161" s="182">
        <f t="shared" si="12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>
      <c r="A162" s="42">
        <f>'Données projet'!A155</f>
        <v>0</v>
      </c>
      <c r="B162" s="175">
        <f>'Données projet'!D155</f>
        <v>0</v>
      </c>
      <c r="C162" s="191"/>
      <c r="D162" s="182">
        <f t="shared" si="12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>
      <c r="A163" s="42">
        <f>'Données projet'!A156</f>
        <v>0</v>
      </c>
      <c r="B163" s="175">
        <f>'Données projet'!D156</f>
        <v>0</v>
      </c>
      <c r="C163" s="191"/>
      <c r="D163" s="182">
        <f t="shared" si="12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>
      <c r="A164" s="42">
        <f>'Données projet'!A157</f>
        <v>0</v>
      </c>
      <c r="B164" s="175">
        <f>'Données projet'!D157</f>
        <v>0</v>
      </c>
      <c r="C164" s="191"/>
      <c r="D164" s="182">
        <f t="shared" si="12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>
      <c r="A165" s="42">
        <f>'Données projet'!A158</f>
        <v>0</v>
      </c>
      <c r="B165" s="175">
        <f>'Données projet'!D158</f>
        <v>0</v>
      </c>
      <c r="C165" s="191"/>
      <c r="D165" s="182">
        <f t="shared" si="12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>
      <c r="A166" s="42">
        <f>'Données projet'!A159</f>
        <v>0</v>
      </c>
      <c r="B166" s="175">
        <f>'Données projet'!D159</f>
        <v>0</v>
      </c>
      <c r="C166" s="191"/>
      <c r="D166" s="182">
        <f t="shared" si="12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>
      <c r="A169" s="46" t="s">
        <v>23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>
      <c r="A171" s="36" t="s">
        <v>46</v>
      </c>
      <c r="B171" s="48" t="s">
        <v>308</v>
      </c>
      <c r="C171" s="48" t="s">
        <v>309</v>
      </c>
      <c r="D171" s="36" t="s">
        <v>310</v>
      </c>
      <c r="E171" s="36" t="s">
        <v>311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>
      <c r="A172" s="49">
        <v>0</v>
      </c>
      <c r="B172" s="199" t="s">
        <v>195</v>
      </c>
      <c r="C172" s="198" t="s">
        <v>195</v>
      </c>
      <c r="D172" s="197" t="s">
        <v>195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>
      <c r="A173" s="49">
        <v>1</v>
      </c>
      <c r="B173" s="199" t="s">
        <v>195</v>
      </c>
      <c r="C173" s="198" t="s">
        <v>195</v>
      </c>
      <c r="D173" s="197" t="s">
        <v>195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>
      <c r="A174" s="49">
        <v>2</v>
      </c>
      <c r="B174" s="199" t="s">
        <v>195</v>
      </c>
      <c r="C174" s="198" t="s">
        <v>195</v>
      </c>
      <c r="D174" s="197" t="s">
        <v>195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>
      <c r="A175" s="49">
        <v>3</v>
      </c>
      <c r="B175" s="199" t="s">
        <v>195</v>
      </c>
      <c r="C175" s="198" t="s">
        <v>195</v>
      </c>
      <c r="D175" s="197" t="s">
        <v>195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>
      <c r="A176" s="49">
        <v>4</v>
      </c>
      <c r="B176" s="199" t="s">
        <v>195</v>
      </c>
      <c r="C176" s="198" t="s">
        <v>195</v>
      </c>
      <c r="D176" s="197" t="s">
        <v>195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>
      <c r="A177" s="49">
        <v>5</v>
      </c>
      <c r="B177" s="199" t="s">
        <v>195</v>
      </c>
      <c r="C177" s="198" t="s">
        <v>195</v>
      </c>
      <c r="D177" s="197" t="s">
        <v>195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3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>
      <c r="A180" s="180">
        <f>'Données projet'!A168</f>
        <v>0</v>
      </c>
      <c r="B180" s="181">
        <f>'Données projet'!D168</f>
        <v>0</v>
      </c>
      <c r="C180" s="193"/>
      <c r="D180" s="179">
        <f t="shared" si="13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>
      <c r="A181" s="180">
        <f>'Données projet'!A169</f>
        <v>0</v>
      </c>
      <c r="B181" s="181">
        <f>'Données projet'!D169</f>
        <v>0</v>
      </c>
      <c r="C181" s="193"/>
      <c r="D181" s="179">
        <f t="shared" si="13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>
      <c r="A182" s="180">
        <f>'Données projet'!A170</f>
        <v>0</v>
      </c>
      <c r="B182" s="181">
        <f>'Données projet'!D170</f>
        <v>0</v>
      </c>
      <c r="C182" s="193"/>
      <c r="D182" s="179">
        <f t="shared" si="13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>
      <c r="A183" s="180">
        <f>'Données projet'!A171</f>
        <v>0</v>
      </c>
      <c r="B183" s="181">
        <f>'Données projet'!D171</f>
        <v>0</v>
      </c>
      <c r="C183" s="193"/>
      <c r="D183" s="179">
        <f t="shared" si="13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>
      <c r="A184" s="180">
        <f>'Données projet'!A172</f>
        <v>0</v>
      </c>
      <c r="B184" s="181">
        <f>'Données projet'!D172</f>
        <v>0</v>
      </c>
      <c r="C184" s="193"/>
      <c r="D184" s="179">
        <f t="shared" si="13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>
      <c r="A185" s="180">
        <f>'Données projet'!A173</f>
        <v>0</v>
      </c>
      <c r="B185" s="181">
        <f>'Données projet'!D173</f>
        <v>0</v>
      </c>
      <c r="C185" s="193"/>
      <c r="D185" s="179">
        <f t="shared" si="13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>
      <c r="A186" s="180">
        <f>'Données projet'!A174</f>
        <v>0</v>
      </c>
      <c r="B186" s="181">
        <f>'Données projet'!D174</f>
        <v>0</v>
      </c>
      <c r="C186" s="193"/>
      <c r="D186" s="179">
        <f t="shared" si="13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>
      <c r="A187" s="180">
        <f>'Données projet'!A175</f>
        <v>0</v>
      </c>
      <c r="B187" s="181">
        <f>'Données projet'!D175</f>
        <v>0</v>
      </c>
      <c r="C187" s="193"/>
      <c r="D187" s="179">
        <f t="shared" si="13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>
      <c r="A188" s="180">
        <f>'Données projet'!A176</f>
        <v>0</v>
      </c>
      <c r="B188" s="181">
        <f>'Données projet'!D176</f>
        <v>0</v>
      </c>
      <c r="C188" s="193"/>
      <c r="D188" s="179">
        <f t="shared" si="13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>
      <c r="A189" s="180">
        <f>'Données projet'!A177</f>
        <v>0</v>
      </c>
      <c r="B189" s="181">
        <f>'Données projet'!D177</f>
        <v>0</v>
      </c>
      <c r="C189" s="193"/>
      <c r="D189" s="179">
        <f t="shared" si="13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>
      <c r="A190" s="180">
        <f>'Données projet'!A178</f>
        <v>0</v>
      </c>
      <c r="B190" s="181">
        <f>'Données projet'!D178</f>
        <v>0</v>
      </c>
      <c r="C190" s="193"/>
      <c r="D190" s="179">
        <f t="shared" si="13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>
      <c r="A191" s="180">
        <f>'Données projet'!A179</f>
        <v>0</v>
      </c>
      <c r="B191" s="181">
        <f>'Données projet'!D179</f>
        <v>0</v>
      </c>
      <c r="C191" s="193"/>
      <c r="D191" s="179">
        <f t="shared" si="13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>
      <c r="A192" s="180">
        <f>'Données projet'!A180</f>
        <v>0</v>
      </c>
      <c r="B192" s="181">
        <f>'Données projet'!D180</f>
        <v>0</v>
      </c>
      <c r="C192" s="193"/>
      <c r="D192" s="179">
        <f t="shared" si="13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>
      <c r="A193" s="180">
        <f>'Données projet'!A181</f>
        <v>0</v>
      </c>
      <c r="B193" s="181">
        <f>'Données projet'!D181</f>
        <v>0</v>
      </c>
      <c r="C193" s="193"/>
      <c r="D193" s="179">
        <f t="shared" si="13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>
      <c r="A194" s="180">
        <f>'Données projet'!A182</f>
        <v>0</v>
      </c>
      <c r="B194" s="181">
        <f>'Données projet'!D182</f>
        <v>0</v>
      </c>
      <c r="C194" s="193"/>
      <c r="D194" s="179">
        <f t="shared" si="13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>
      <c r="A195" s="180">
        <f>'Données projet'!A183</f>
        <v>0</v>
      </c>
      <c r="B195" s="181">
        <f>'Données projet'!D183</f>
        <v>0</v>
      </c>
      <c r="C195" s="193"/>
      <c r="D195" s="179">
        <f t="shared" si="13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>
      <c r="A196" s="180">
        <f>'Données projet'!A184</f>
        <v>0</v>
      </c>
      <c r="B196" s="181">
        <f>'Données projet'!D184</f>
        <v>0</v>
      </c>
      <c r="C196" s="193"/>
      <c r="D196" s="179">
        <f t="shared" si="13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>
      <c r="A197" s="180">
        <f>'Données projet'!A185</f>
        <v>0</v>
      </c>
      <c r="B197" s="181">
        <f>'Données projet'!D185</f>
        <v>0</v>
      </c>
      <c r="C197" s="193"/>
      <c r="D197" s="179">
        <f t="shared" si="13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>
      <c r="A200" s="46" t="s">
        <v>24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>
      <c r="A202" s="36" t="s">
        <v>46</v>
      </c>
      <c r="B202" s="48" t="s">
        <v>308</v>
      </c>
      <c r="C202" s="48" t="s">
        <v>309</v>
      </c>
      <c r="D202" s="36" t="s">
        <v>310</v>
      </c>
      <c r="E202" s="36" t="s">
        <v>311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>
      <c r="A203" s="49">
        <v>0</v>
      </c>
      <c r="B203" s="199" t="s">
        <v>195</v>
      </c>
      <c r="C203" s="198" t="s">
        <v>195</v>
      </c>
      <c r="D203" s="197" t="s">
        <v>195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>
      <c r="A204" s="49">
        <v>1</v>
      </c>
      <c r="B204" s="199" t="s">
        <v>195</v>
      </c>
      <c r="C204" s="198" t="s">
        <v>195</v>
      </c>
      <c r="D204" s="197" t="s">
        <v>195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>
      <c r="A205" s="49">
        <v>2</v>
      </c>
      <c r="B205" s="199" t="s">
        <v>195</v>
      </c>
      <c r="C205" s="198" t="s">
        <v>195</v>
      </c>
      <c r="D205" s="197" t="s">
        <v>195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>
      <c r="A206" s="49">
        <v>3</v>
      </c>
      <c r="B206" s="199" t="s">
        <v>195</v>
      </c>
      <c r="C206" s="198" t="s">
        <v>195</v>
      </c>
      <c r="D206" s="197" t="s">
        <v>195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>
      <c r="A207" s="49">
        <v>4</v>
      </c>
      <c r="B207" s="199" t="s">
        <v>195</v>
      </c>
      <c r="C207" s="198" t="s">
        <v>195</v>
      </c>
      <c r="D207" s="197" t="s">
        <v>195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>
      <c r="A208" s="49">
        <v>5</v>
      </c>
      <c r="B208" s="199" t="s">
        <v>195</v>
      </c>
      <c r="C208" s="198" t="s">
        <v>195</v>
      </c>
      <c r="D208" s="197" t="s">
        <v>195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4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>
      <c r="A211" s="180">
        <f>'Données projet'!A194</f>
        <v>0</v>
      </c>
      <c r="B211" s="181">
        <f>'Données projet'!D194</f>
        <v>0</v>
      </c>
      <c r="C211" s="193"/>
      <c r="D211" s="179">
        <f t="shared" si="14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>
      <c r="A212" s="180">
        <f>'Données projet'!A195</f>
        <v>0</v>
      </c>
      <c r="B212" s="181">
        <f>'Données projet'!D195</f>
        <v>0</v>
      </c>
      <c r="C212" s="193"/>
      <c r="D212" s="179">
        <f t="shared" si="14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>
      <c r="A213" s="180">
        <f>'Données projet'!A196</f>
        <v>0</v>
      </c>
      <c r="B213" s="181">
        <f>'Données projet'!D196</f>
        <v>0</v>
      </c>
      <c r="C213" s="193"/>
      <c r="D213" s="179">
        <f t="shared" si="14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>
      <c r="A214" s="180">
        <f>'Données projet'!A197</f>
        <v>0</v>
      </c>
      <c r="B214" s="181">
        <f>'Données projet'!D197</f>
        <v>0</v>
      </c>
      <c r="C214" s="193"/>
      <c r="D214" s="179">
        <f t="shared" si="14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>
      <c r="A215" s="180">
        <f>'Données projet'!A198</f>
        <v>0</v>
      </c>
      <c r="B215" s="181">
        <f>'Données projet'!D198</f>
        <v>0</v>
      </c>
      <c r="C215" s="193"/>
      <c r="D215" s="179">
        <f t="shared" si="14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>
      <c r="A216" s="180">
        <f>'Données projet'!A199</f>
        <v>0</v>
      </c>
      <c r="B216" s="181">
        <f>'Données projet'!D199</f>
        <v>0</v>
      </c>
      <c r="C216" s="193"/>
      <c r="D216" s="179">
        <f t="shared" si="14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>
      <c r="A217" s="180">
        <f>'Données projet'!A200</f>
        <v>0</v>
      </c>
      <c r="B217" s="181">
        <f>'Données projet'!D200</f>
        <v>0</v>
      </c>
      <c r="C217" s="193"/>
      <c r="D217" s="179">
        <f t="shared" si="14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>
      <c r="A218" s="180">
        <f>'Données projet'!A201</f>
        <v>0</v>
      </c>
      <c r="B218" s="181">
        <f>'Données projet'!D201</f>
        <v>0</v>
      </c>
      <c r="C218" s="193"/>
      <c r="D218" s="179">
        <f t="shared" si="14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>
      <c r="A219" s="180">
        <f>'Données projet'!A202</f>
        <v>0</v>
      </c>
      <c r="B219" s="181">
        <f>'Données projet'!D202</f>
        <v>0</v>
      </c>
      <c r="C219" s="193"/>
      <c r="D219" s="179">
        <f t="shared" si="14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>
      <c r="A220" s="180">
        <f>'Données projet'!A203</f>
        <v>0</v>
      </c>
      <c r="B220" s="181">
        <f>'Données projet'!D203</f>
        <v>0</v>
      </c>
      <c r="C220" s="193"/>
      <c r="D220" s="179">
        <f t="shared" si="14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>
      <c r="A221" s="180">
        <f>'Données projet'!A204</f>
        <v>0</v>
      </c>
      <c r="B221" s="181">
        <f>'Données projet'!D204</f>
        <v>0</v>
      </c>
      <c r="C221" s="193"/>
      <c r="D221" s="179">
        <f t="shared" si="14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>
      <c r="A222" s="180">
        <f>'Données projet'!A205</f>
        <v>0</v>
      </c>
      <c r="B222" s="181">
        <f>'Données projet'!D205</f>
        <v>0</v>
      </c>
      <c r="C222" s="193"/>
      <c r="D222" s="179">
        <f t="shared" si="14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>
      <c r="A223" s="180">
        <f>'Données projet'!A206</f>
        <v>0</v>
      </c>
      <c r="B223" s="181">
        <f>'Données projet'!D206</f>
        <v>0</v>
      </c>
      <c r="C223" s="193"/>
      <c r="D223" s="179">
        <f t="shared" si="14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>
      <c r="A224" s="180">
        <f>'Données projet'!A207</f>
        <v>0</v>
      </c>
      <c r="B224" s="181">
        <f>'Données projet'!D207</f>
        <v>0</v>
      </c>
      <c r="C224" s="193"/>
      <c r="D224" s="179">
        <f t="shared" si="14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>
      <c r="A225" s="180">
        <f>'Données projet'!A208</f>
        <v>0</v>
      </c>
      <c r="B225" s="181">
        <f>'Données projet'!D208</f>
        <v>0</v>
      </c>
      <c r="C225" s="193"/>
      <c r="D225" s="179">
        <f t="shared" si="14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>
      <c r="A226" s="180">
        <f>'Données projet'!A209</f>
        <v>0</v>
      </c>
      <c r="B226" s="181">
        <f>'Données projet'!D209</f>
        <v>0</v>
      </c>
      <c r="C226" s="193"/>
      <c r="D226" s="179">
        <f t="shared" si="14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>
      <c r="A227" s="180">
        <f>'Données projet'!A210</f>
        <v>0</v>
      </c>
      <c r="B227" s="181">
        <f>'Données projet'!D210</f>
        <v>0</v>
      </c>
      <c r="C227" s="193"/>
      <c r="D227" s="179">
        <f t="shared" si="14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>
      <c r="A228" s="180">
        <f>'Données projet'!A211</f>
        <v>0</v>
      </c>
      <c r="B228" s="181">
        <f>'Données projet'!D211</f>
        <v>0</v>
      </c>
      <c r="C228" s="193"/>
      <c r="D228" s="179">
        <f t="shared" si="14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>
      <c r="A231" s="46" t="s">
        <v>25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>
      <c r="A233" s="36" t="s">
        <v>46</v>
      </c>
      <c r="B233" s="48" t="s">
        <v>308</v>
      </c>
      <c r="C233" s="48" t="s">
        <v>309</v>
      </c>
      <c r="D233" s="36" t="s">
        <v>310</v>
      </c>
      <c r="E233" s="36" t="s">
        <v>311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>
      <c r="A234" s="49">
        <v>0</v>
      </c>
      <c r="B234" s="199" t="s">
        <v>195</v>
      </c>
      <c r="C234" s="198" t="s">
        <v>195</v>
      </c>
      <c r="D234" s="197" t="s">
        <v>195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>
      <c r="A235" s="49">
        <v>1</v>
      </c>
      <c r="B235" s="199" t="s">
        <v>195</v>
      </c>
      <c r="C235" s="198" t="s">
        <v>195</v>
      </c>
      <c r="D235" s="197" t="s">
        <v>195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>
      <c r="A236" s="49">
        <v>2</v>
      </c>
      <c r="B236" s="199" t="s">
        <v>195</v>
      </c>
      <c r="C236" s="198" t="s">
        <v>195</v>
      </c>
      <c r="D236" s="197" t="s">
        <v>195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>
      <c r="A237" s="49">
        <v>3</v>
      </c>
      <c r="B237" s="199" t="s">
        <v>195</v>
      </c>
      <c r="C237" s="198" t="s">
        <v>195</v>
      </c>
      <c r="D237" s="197" t="s">
        <v>195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>
      <c r="A238" s="49">
        <v>4</v>
      </c>
      <c r="B238" s="199" t="s">
        <v>195</v>
      </c>
      <c r="C238" s="198" t="s">
        <v>195</v>
      </c>
      <c r="D238" s="197" t="s">
        <v>195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>
      <c r="A239" s="49">
        <v>5</v>
      </c>
      <c r="B239" s="199" t="s">
        <v>195</v>
      </c>
      <c r="C239" s="198" t="s">
        <v>195</v>
      </c>
      <c r="D239" s="197" t="s">
        <v>195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5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>
      <c r="A242" s="180">
        <f>'Données projet'!A220</f>
        <v>0</v>
      </c>
      <c r="B242" s="181">
        <f>'Données projet'!D220</f>
        <v>0</v>
      </c>
      <c r="C242" s="193"/>
      <c r="D242" s="179">
        <f t="shared" si="15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>
      <c r="A243" s="180">
        <f>'Données projet'!A221</f>
        <v>0</v>
      </c>
      <c r="B243" s="181">
        <f>'Données projet'!D221</f>
        <v>0</v>
      </c>
      <c r="C243" s="193"/>
      <c r="D243" s="179">
        <f t="shared" si="15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>
      <c r="A244" s="180">
        <f>'Données projet'!A222</f>
        <v>0</v>
      </c>
      <c r="B244" s="181">
        <f>'Données projet'!D222</f>
        <v>0</v>
      </c>
      <c r="C244" s="193"/>
      <c r="D244" s="179">
        <f t="shared" si="15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>
      <c r="A245" s="180">
        <f>'Données projet'!A223</f>
        <v>0</v>
      </c>
      <c r="B245" s="181">
        <f>'Données projet'!D223</f>
        <v>0</v>
      </c>
      <c r="C245" s="193"/>
      <c r="D245" s="179">
        <f t="shared" si="15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>
      <c r="A246" s="180">
        <f>'Données projet'!A224</f>
        <v>0</v>
      </c>
      <c r="B246" s="181">
        <f>'Données projet'!D224</f>
        <v>0</v>
      </c>
      <c r="C246" s="193"/>
      <c r="D246" s="179">
        <f t="shared" si="15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>
      <c r="A247" s="180">
        <f>'Données projet'!A225</f>
        <v>0</v>
      </c>
      <c r="B247" s="181">
        <f>'Données projet'!D225</f>
        <v>0</v>
      </c>
      <c r="C247" s="193"/>
      <c r="D247" s="179">
        <f t="shared" si="15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>
      <c r="A248" s="180">
        <f>'Données projet'!A226</f>
        <v>0</v>
      </c>
      <c r="B248" s="181">
        <f>'Données projet'!D226</f>
        <v>0</v>
      </c>
      <c r="C248" s="193"/>
      <c r="D248" s="179">
        <f t="shared" si="15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>
      <c r="A249" s="180">
        <f>'Données projet'!A227</f>
        <v>0</v>
      </c>
      <c r="B249" s="181">
        <f>'Données projet'!D227</f>
        <v>0</v>
      </c>
      <c r="C249" s="193"/>
      <c r="D249" s="179">
        <f t="shared" si="15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>
      <c r="A250" s="180">
        <f>'Données projet'!A228</f>
        <v>0</v>
      </c>
      <c r="B250" s="181">
        <f>'Données projet'!D228</f>
        <v>0</v>
      </c>
      <c r="C250" s="193"/>
      <c r="D250" s="179">
        <f t="shared" si="15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>
      <c r="A251" s="180">
        <f>'Données projet'!A229</f>
        <v>0</v>
      </c>
      <c r="B251" s="181">
        <f>'Données projet'!D229</f>
        <v>0</v>
      </c>
      <c r="C251" s="193"/>
      <c r="D251" s="179">
        <f t="shared" si="15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>
      <c r="A252" s="180">
        <f>'Données projet'!A230</f>
        <v>0</v>
      </c>
      <c r="B252" s="181">
        <f>'Données projet'!D230</f>
        <v>0</v>
      </c>
      <c r="C252" s="193"/>
      <c r="D252" s="179">
        <f t="shared" si="15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>
      <c r="A253" s="180">
        <f>'Données projet'!A231</f>
        <v>0</v>
      </c>
      <c r="B253" s="181">
        <f>'Données projet'!D231</f>
        <v>0</v>
      </c>
      <c r="C253" s="193"/>
      <c r="D253" s="179">
        <f t="shared" si="15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>
      <c r="A254" s="180">
        <f>'Données projet'!A232</f>
        <v>0</v>
      </c>
      <c r="B254" s="181">
        <f>'Données projet'!D232</f>
        <v>0</v>
      </c>
      <c r="C254" s="193"/>
      <c r="D254" s="179">
        <f t="shared" si="15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>
      <c r="A255" s="180">
        <f>'Données projet'!A233</f>
        <v>0</v>
      </c>
      <c r="B255" s="181">
        <f>'Données projet'!D233</f>
        <v>0</v>
      </c>
      <c r="C255" s="193"/>
      <c r="D255" s="179">
        <f t="shared" si="15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>
      <c r="A256" s="180">
        <f>'Données projet'!A234</f>
        <v>0</v>
      </c>
      <c r="B256" s="181">
        <f>'Données projet'!D234</f>
        <v>0</v>
      </c>
      <c r="C256" s="193"/>
      <c r="D256" s="179">
        <f t="shared" si="15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>
      <c r="A257" s="180">
        <f>'Données projet'!A235</f>
        <v>0</v>
      </c>
      <c r="B257" s="181">
        <f>'Données projet'!D235</f>
        <v>0</v>
      </c>
      <c r="C257" s="193"/>
      <c r="D257" s="179">
        <f t="shared" si="15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>
      <c r="A258" s="180">
        <f>'Données projet'!A236</f>
        <v>0</v>
      </c>
      <c r="B258" s="181">
        <f>'Données projet'!D236</f>
        <v>0</v>
      </c>
      <c r="C258" s="193"/>
      <c r="D258" s="179">
        <f t="shared" si="15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>
      <c r="A259" s="180">
        <f>'Données projet'!A237</f>
        <v>0</v>
      </c>
      <c r="B259" s="181">
        <f>'Données projet'!D237</f>
        <v>0</v>
      </c>
      <c r="C259" s="193"/>
      <c r="D259" s="179">
        <f t="shared" si="15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>
      <c r="A262" s="46" t="s">
        <v>26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>
      <c r="A264" s="36" t="s">
        <v>46</v>
      </c>
      <c r="B264" s="48" t="s">
        <v>308</v>
      </c>
      <c r="C264" s="48" t="s">
        <v>309</v>
      </c>
      <c r="D264" s="36" t="s">
        <v>310</v>
      </c>
      <c r="E264" s="36" t="s">
        <v>311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>
      <c r="A265" s="49">
        <v>0</v>
      </c>
      <c r="B265" s="199" t="s">
        <v>195</v>
      </c>
      <c r="C265" s="198" t="s">
        <v>195</v>
      </c>
      <c r="D265" s="197" t="s">
        <v>195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>
      <c r="A266" s="49">
        <v>1</v>
      </c>
      <c r="B266" s="199" t="s">
        <v>195</v>
      </c>
      <c r="C266" s="198" t="s">
        <v>195</v>
      </c>
      <c r="D266" s="197" t="s">
        <v>195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>
      <c r="A267" s="49">
        <v>2</v>
      </c>
      <c r="B267" s="199" t="s">
        <v>195</v>
      </c>
      <c r="C267" s="198" t="s">
        <v>195</v>
      </c>
      <c r="D267" s="197" t="s">
        <v>195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>
      <c r="A268" s="49">
        <v>3</v>
      </c>
      <c r="B268" s="199" t="s">
        <v>195</v>
      </c>
      <c r="C268" s="198" t="s">
        <v>195</v>
      </c>
      <c r="D268" s="197" t="s">
        <v>195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>
      <c r="A269" s="49">
        <v>4</v>
      </c>
      <c r="B269" s="199" t="s">
        <v>195</v>
      </c>
      <c r="C269" s="198" t="s">
        <v>195</v>
      </c>
      <c r="D269" s="197" t="s">
        <v>195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>
      <c r="A270" s="49">
        <v>5</v>
      </c>
      <c r="B270" s="199" t="s">
        <v>195</v>
      </c>
      <c r="C270" s="198" t="s">
        <v>195</v>
      </c>
      <c r="D270" s="197" t="s">
        <v>195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6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>
      <c r="A273" s="180">
        <f>'Données projet'!A246</f>
        <v>0</v>
      </c>
      <c r="B273" s="181">
        <f>'Données projet'!D246</f>
        <v>0</v>
      </c>
      <c r="C273" s="193"/>
      <c r="D273" s="179">
        <f t="shared" si="16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>
      <c r="A274" s="180">
        <f>'Données projet'!A247</f>
        <v>0</v>
      </c>
      <c r="B274" s="181">
        <f>'Données projet'!D247</f>
        <v>0</v>
      </c>
      <c r="C274" s="193"/>
      <c r="D274" s="179">
        <f t="shared" si="16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>
      <c r="A275" s="180">
        <f>'Données projet'!A248</f>
        <v>0</v>
      </c>
      <c r="B275" s="181">
        <f>'Données projet'!D248</f>
        <v>0</v>
      </c>
      <c r="C275" s="193"/>
      <c r="D275" s="179">
        <f t="shared" si="16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>
      <c r="A276" s="180">
        <f>'Données projet'!A249</f>
        <v>0</v>
      </c>
      <c r="B276" s="181">
        <f>'Données projet'!D249</f>
        <v>0</v>
      </c>
      <c r="C276" s="193"/>
      <c r="D276" s="179">
        <f t="shared" si="16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>
      <c r="A277" s="180">
        <f>'Données projet'!A250</f>
        <v>0</v>
      </c>
      <c r="B277" s="181">
        <f>'Données projet'!D250</f>
        <v>0</v>
      </c>
      <c r="C277" s="193"/>
      <c r="D277" s="179">
        <f t="shared" si="16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>
      <c r="A278" s="180">
        <f>'Données projet'!A251</f>
        <v>0</v>
      </c>
      <c r="B278" s="181">
        <f>'Données projet'!D251</f>
        <v>0</v>
      </c>
      <c r="C278" s="193"/>
      <c r="D278" s="179">
        <f t="shared" si="16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>
      <c r="A279" s="180">
        <f>'Données projet'!A252</f>
        <v>0</v>
      </c>
      <c r="B279" s="181">
        <f>'Données projet'!D252</f>
        <v>0</v>
      </c>
      <c r="C279" s="193"/>
      <c r="D279" s="179">
        <f t="shared" si="16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>
      <c r="A280" s="180">
        <f>'Données projet'!A253</f>
        <v>0</v>
      </c>
      <c r="B280" s="181">
        <f>'Données projet'!D253</f>
        <v>0</v>
      </c>
      <c r="C280" s="193"/>
      <c r="D280" s="179">
        <f t="shared" si="16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>
      <c r="A281" s="180">
        <f>'Données projet'!A254</f>
        <v>0</v>
      </c>
      <c r="B281" s="181">
        <f>'Données projet'!D254</f>
        <v>0</v>
      </c>
      <c r="C281" s="193"/>
      <c r="D281" s="179">
        <f t="shared" si="16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>
      <c r="A282" s="180">
        <f>'Données projet'!A255</f>
        <v>0</v>
      </c>
      <c r="B282" s="181">
        <f>'Données projet'!D255</f>
        <v>0</v>
      </c>
      <c r="C282" s="193"/>
      <c r="D282" s="179">
        <f t="shared" si="16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>
      <c r="A283" s="180">
        <f>'Données projet'!A256</f>
        <v>0</v>
      </c>
      <c r="B283" s="181">
        <f>'Données projet'!D256</f>
        <v>0</v>
      </c>
      <c r="C283" s="193"/>
      <c r="D283" s="179">
        <f t="shared" si="16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>
      <c r="A284" s="180">
        <f>'Données projet'!A257</f>
        <v>0</v>
      </c>
      <c r="B284" s="181">
        <f>'Données projet'!D257</f>
        <v>0</v>
      </c>
      <c r="C284" s="193"/>
      <c r="D284" s="179">
        <f t="shared" si="16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>
      <c r="A285" s="180">
        <f>'Données projet'!A258</f>
        <v>0</v>
      </c>
      <c r="B285" s="181">
        <f>'Données projet'!D258</f>
        <v>0</v>
      </c>
      <c r="C285" s="193"/>
      <c r="D285" s="179">
        <f t="shared" si="16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>
      <c r="A286" s="180">
        <f>'Données projet'!A259</f>
        <v>0</v>
      </c>
      <c r="B286" s="181">
        <f>'Données projet'!D259</f>
        <v>0</v>
      </c>
      <c r="C286" s="193"/>
      <c r="D286" s="179">
        <f t="shared" si="16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>
      <c r="A287" s="180">
        <f>'Données projet'!A260</f>
        <v>0</v>
      </c>
      <c r="B287" s="181">
        <f>'Données projet'!D260</f>
        <v>0</v>
      </c>
      <c r="C287" s="193"/>
      <c r="D287" s="179">
        <f t="shared" si="16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>
      <c r="A288" s="180">
        <f>'Données projet'!A261</f>
        <v>0</v>
      </c>
      <c r="B288" s="181">
        <f>'Données projet'!D261</f>
        <v>0</v>
      </c>
      <c r="C288" s="193"/>
      <c r="D288" s="179">
        <f t="shared" si="16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>
      <c r="A289" s="180">
        <f>'Données projet'!A262</f>
        <v>0</v>
      </c>
      <c r="B289" s="181">
        <f>'Données projet'!D262</f>
        <v>0</v>
      </c>
      <c r="C289" s="193"/>
      <c r="D289" s="179">
        <f t="shared" si="16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>
      <c r="A290" s="180">
        <f>'Données projet'!A263</f>
        <v>0</v>
      </c>
      <c r="B290" s="181">
        <f>'Données projet'!D263</f>
        <v>0</v>
      </c>
      <c r="C290" s="193"/>
      <c r="D290" s="179">
        <f t="shared" si="16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>
      <c r="A293" s="46" t="s">
        <v>27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>
      <c r="A295" s="36" t="s">
        <v>46</v>
      </c>
      <c r="B295" s="48" t="s">
        <v>308</v>
      </c>
      <c r="C295" s="48" t="s">
        <v>309</v>
      </c>
      <c r="D295" s="36" t="s">
        <v>310</v>
      </c>
      <c r="E295" s="36" t="s">
        <v>311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>
      <c r="A296" s="49">
        <v>0</v>
      </c>
      <c r="B296" s="199" t="s">
        <v>195</v>
      </c>
      <c r="C296" s="198" t="s">
        <v>195</v>
      </c>
      <c r="D296" s="197" t="s">
        <v>195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>
      <c r="A297" s="49">
        <v>1</v>
      </c>
      <c r="B297" s="199" t="s">
        <v>195</v>
      </c>
      <c r="C297" s="198" t="s">
        <v>195</v>
      </c>
      <c r="D297" s="197" t="s">
        <v>195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>
      <c r="A298" s="49">
        <v>2</v>
      </c>
      <c r="B298" s="199" t="s">
        <v>195</v>
      </c>
      <c r="C298" s="198" t="s">
        <v>195</v>
      </c>
      <c r="D298" s="197" t="s">
        <v>195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>
      <c r="A299" s="49">
        <v>3</v>
      </c>
      <c r="B299" s="199" t="s">
        <v>195</v>
      </c>
      <c r="C299" s="198" t="s">
        <v>195</v>
      </c>
      <c r="D299" s="197" t="s">
        <v>195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>
      <c r="A300" s="49">
        <v>4</v>
      </c>
      <c r="B300" s="199" t="s">
        <v>195</v>
      </c>
      <c r="C300" s="198" t="s">
        <v>195</v>
      </c>
      <c r="D300" s="197" t="s">
        <v>195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>
      <c r="A301" s="49">
        <v>5</v>
      </c>
      <c r="B301" s="199" t="s">
        <v>195</v>
      </c>
      <c r="C301" s="198" t="s">
        <v>195</v>
      </c>
      <c r="D301" s="197" t="s">
        <v>195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7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>
      <c r="A304" s="180">
        <f>'Données projet'!A272</f>
        <v>0</v>
      </c>
      <c r="B304" s="181">
        <f>'Données projet'!D272</f>
        <v>0</v>
      </c>
      <c r="C304" s="191"/>
      <c r="D304" s="182">
        <f t="shared" si="17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>
      <c r="A305" s="180">
        <f>'Données projet'!A273</f>
        <v>0</v>
      </c>
      <c r="B305" s="181">
        <f>'Données projet'!D273</f>
        <v>0</v>
      </c>
      <c r="C305" s="191"/>
      <c r="D305" s="182">
        <f t="shared" si="17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>
      <c r="A306" s="180">
        <f>'Données projet'!A274</f>
        <v>0</v>
      </c>
      <c r="B306" s="181">
        <f>'Données projet'!D274</f>
        <v>0</v>
      </c>
      <c r="C306" s="191"/>
      <c r="D306" s="182">
        <f t="shared" si="17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>
      <c r="A307" s="180">
        <f>'Données projet'!A275</f>
        <v>0</v>
      </c>
      <c r="B307" s="181">
        <f>'Données projet'!D275</f>
        <v>0</v>
      </c>
      <c r="C307" s="191"/>
      <c r="D307" s="182">
        <f t="shared" si="17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>
      <c r="A308" s="180">
        <f>'Données projet'!A276</f>
        <v>0</v>
      </c>
      <c r="B308" s="181">
        <f>'Données projet'!D276</f>
        <v>0</v>
      </c>
      <c r="C308" s="191"/>
      <c r="D308" s="182">
        <f t="shared" si="17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>
      <c r="A309" s="180">
        <f>'Données projet'!A277</f>
        <v>0</v>
      </c>
      <c r="B309" s="181">
        <f>'Données projet'!D277</f>
        <v>0</v>
      </c>
      <c r="C309" s="191"/>
      <c r="D309" s="182">
        <f t="shared" si="17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>
      <c r="A310" s="180">
        <f>'Données projet'!A278</f>
        <v>0</v>
      </c>
      <c r="B310" s="181">
        <f>'Données projet'!D278</f>
        <v>0</v>
      </c>
      <c r="C310" s="191"/>
      <c r="D310" s="182">
        <f t="shared" si="17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>
      <c r="A311" s="180">
        <f>'Données projet'!A279</f>
        <v>0</v>
      </c>
      <c r="B311" s="181">
        <f>'Données projet'!D279</f>
        <v>0</v>
      </c>
      <c r="C311" s="191"/>
      <c r="D311" s="182">
        <f t="shared" si="17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>
      <c r="A312" s="180">
        <f>'Données projet'!A280</f>
        <v>0</v>
      </c>
      <c r="B312" s="181">
        <f>'Données projet'!D280</f>
        <v>0</v>
      </c>
      <c r="C312" s="191"/>
      <c r="D312" s="182">
        <f t="shared" si="17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>
      <c r="A313" s="180">
        <f>'Données projet'!A281</f>
        <v>0</v>
      </c>
      <c r="B313" s="181">
        <f>'Données projet'!D281</f>
        <v>0</v>
      </c>
      <c r="C313" s="191"/>
      <c r="D313" s="182">
        <f t="shared" si="17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>
      <c r="A314" s="180">
        <f>'Données projet'!A282</f>
        <v>0</v>
      </c>
      <c r="B314" s="181">
        <f>'Données projet'!D282</f>
        <v>0</v>
      </c>
      <c r="C314" s="191"/>
      <c r="D314" s="182">
        <f t="shared" si="17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>
      <c r="A315" s="180">
        <f>'Données projet'!A283</f>
        <v>0</v>
      </c>
      <c r="B315" s="181">
        <f>'Données projet'!D283</f>
        <v>0</v>
      </c>
      <c r="C315" s="191"/>
      <c r="D315" s="182">
        <f t="shared" si="17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>
      <c r="A316" s="180">
        <f>'Données projet'!A284</f>
        <v>0</v>
      </c>
      <c r="B316" s="181">
        <f>'Données projet'!D284</f>
        <v>0</v>
      </c>
      <c r="C316" s="191"/>
      <c r="D316" s="182">
        <f t="shared" si="17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>
      <c r="A317" s="180">
        <f>'Données projet'!A285</f>
        <v>0</v>
      </c>
      <c r="B317" s="181">
        <f>'Données projet'!D285</f>
        <v>0</v>
      </c>
      <c r="C317" s="191"/>
      <c r="D317" s="182">
        <f t="shared" si="17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>
      <c r="A318" s="180">
        <f>'Données projet'!A286</f>
        <v>0</v>
      </c>
      <c r="B318" s="181">
        <f>'Données projet'!D286</f>
        <v>0</v>
      </c>
      <c r="C318" s="191"/>
      <c r="D318" s="182">
        <f t="shared" si="17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>
      <c r="A319" s="180">
        <f>'Données projet'!A287</f>
        <v>0</v>
      </c>
      <c r="B319" s="181">
        <f>'Données projet'!D287</f>
        <v>0</v>
      </c>
      <c r="C319" s="191"/>
      <c r="D319" s="182">
        <f t="shared" si="17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>
      <c r="A320" s="180">
        <f>'Données projet'!A288</f>
        <v>0</v>
      </c>
      <c r="B320" s="181">
        <f>'Données projet'!D288</f>
        <v>0</v>
      </c>
      <c r="C320" s="191"/>
      <c r="D320" s="182">
        <f t="shared" si="17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>
      <c r="A321" s="180">
        <f>'Données projet'!A289</f>
        <v>0</v>
      </c>
      <c r="B321" s="181">
        <f>'Données projet'!D289</f>
        <v>0</v>
      </c>
      <c r="C321" s="196"/>
      <c r="D321" s="182">
        <f t="shared" si="17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Props1.xml><?xml version="1.0" encoding="utf-8"?>
<ds:datastoreItem xmlns:ds="http://schemas.openxmlformats.org/officeDocument/2006/customXml" ds:itemID="{7C15621E-3B9D-46C8-9CF8-053DEFDE5488}"/>
</file>

<file path=customXml/itemProps2.xml><?xml version="1.0" encoding="utf-8"?>
<ds:datastoreItem xmlns:ds="http://schemas.openxmlformats.org/officeDocument/2006/customXml" ds:itemID="{512BAEF1-AAC4-49E2-A6BD-04B7D7FEFD3F}"/>
</file>

<file path=customXml/itemProps3.xml><?xml version="1.0" encoding="utf-8"?>
<ds:datastoreItem xmlns:ds="http://schemas.openxmlformats.org/officeDocument/2006/customXml" ds:itemID="{3118F9DD-407B-4402-A290-6DE3A81340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CNPF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Lucas Fontaine</cp:lastModifiedBy>
  <cp:revision/>
  <dcterms:created xsi:type="dcterms:W3CDTF">2021-02-01T08:22:39Z</dcterms:created>
  <dcterms:modified xsi:type="dcterms:W3CDTF">2025-02-25T12:44:19Z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