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-my.sharepoint.com/personal/philomene_block_oklima_fr/Documents/Bureau/"/>
    </mc:Choice>
  </mc:AlternateContent>
  <xr:revisionPtr revIDLastSave="1" documentId="8_{82829876-657A-406E-A1C5-1D98DD6C3D6F}" xr6:coauthVersionLast="47" xr6:coauthVersionMax="47" xr10:uidLastSave="{524FEAC0-7B10-4D41-ABC8-E6BF0D9A4385}"/>
  <bookViews>
    <workbookView xWindow="-104" yWindow="-104" windowWidth="22326" windowHeight="13329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C12" i="1" l="1"/>
  <c r="B12" i="1"/>
  <c r="C11" i="1"/>
  <c r="B11" i="1"/>
  <c r="C10" i="1"/>
  <c r="B10" i="1"/>
  <c r="C9" i="1"/>
  <c r="B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47" i="2" l="1" a="1"/>
  <c r="BC47" i="2" s="1"/>
  <c r="BC68" i="2" a="1"/>
  <c r="BC68" i="2" s="1"/>
  <c r="BC58" i="2" a="1"/>
  <c r="BC58" i="2" s="1"/>
  <c r="BP203" i="2"/>
  <c r="BC32" i="2" a="1"/>
  <c r="BC32" i="2" s="1"/>
  <c r="AH163" i="2" a="1"/>
  <c r="AH163" i="2" s="1"/>
  <c r="AH62" i="2" a="1"/>
  <c r="AH6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81" i="2" l="1"/>
  <c r="CD189" i="2"/>
  <c r="CD46" i="2"/>
  <c r="CD14" i="2"/>
  <c r="CD200" i="2"/>
  <c r="CD98" i="2"/>
  <c r="CD67" i="2"/>
  <c r="CD76" i="2"/>
  <c r="CD95" i="2"/>
  <c r="CD23" i="2"/>
  <c r="CD182" i="2"/>
  <c r="CD195" i="2"/>
  <c r="CD32" i="2"/>
  <c r="CD61" i="2"/>
  <c r="CD60" i="2"/>
  <c r="CD158" i="2"/>
  <c r="CD28" i="2"/>
  <c r="CD155" i="2"/>
  <c r="CD191" i="2"/>
  <c r="CD7" i="2"/>
  <c r="CD33" i="2"/>
  <c r="CD181" i="2"/>
  <c r="CD157" i="2"/>
  <c r="CD47" i="2"/>
  <c r="CD163" i="2"/>
  <c r="CD85" i="2"/>
  <c r="CD129" i="2"/>
  <c r="CD164" i="2"/>
  <c r="CD35" i="2"/>
  <c r="CD12" i="2"/>
  <c r="CD68" i="2"/>
  <c r="CD39" i="2"/>
  <c r="CD162" i="2"/>
  <c r="CD193" i="2"/>
  <c r="CD79" i="2"/>
  <c r="CD146" i="2"/>
  <c r="CD20" i="2"/>
  <c r="CD90" i="2"/>
  <c r="CD130" i="2"/>
  <c r="CD97" i="2"/>
  <c r="CD117" i="2"/>
  <c r="CD173" i="2"/>
  <c r="CD170" i="2"/>
  <c r="CD122" i="2"/>
  <c r="CD13" i="2"/>
  <c r="CD154" i="2"/>
  <c r="CD120" i="2"/>
  <c r="CD168" i="2"/>
  <c r="CD87" i="2"/>
  <c r="CD80" i="2"/>
  <c r="CD48" i="2"/>
  <c r="CD106" i="2"/>
  <c r="CD176" i="2"/>
  <c r="CD116" i="2"/>
  <c r="CD105" i="2"/>
  <c r="CD171" i="2"/>
  <c r="CD62" i="2"/>
  <c r="CD24" i="2"/>
  <c r="CD201" i="2"/>
  <c r="CD30" i="2"/>
  <c r="CD11" i="2"/>
  <c r="CD69" i="2"/>
  <c r="CD175" i="2"/>
  <c r="CD139" i="2"/>
  <c r="CD54" i="2"/>
  <c r="CD121" i="2"/>
  <c r="CD102" i="2"/>
  <c r="CD166" i="2"/>
  <c r="CD110" i="2"/>
  <c r="CD172" i="2"/>
  <c r="CD111" i="2"/>
  <c r="CD8" i="2"/>
  <c r="CD16" i="2"/>
  <c r="CD184" i="2"/>
  <c r="CD19" i="2"/>
  <c r="CD134" i="2"/>
  <c r="CD27" i="2"/>
  <c r="CD58" i="2"/>
  <c r="CD144" i="2"/>
  <c r="CD192" i="2"/>
  <c r="CD38" i="2"/>
  <c r="CD70" i="2"/>
  <c r="CD108" i="2"/>
  <c r="CD96" i="2"/>
  <c r="CD94" i="2"/>
  <c r="CD133" i="2"/>
  <c r="CD93" i="2"/>
  <c r="CD153" i="2"/>
  <c r="CD131" i="2"/>
  <c r="CD34" i="2"/>
  <c r="CD45" i="2"/>
  <c r="CD196" i="2"/>
  <c r="CD86" i="2"/>
  <c r="CD151" i="2"/>
  <c r="CD104" i="2"/>
  <c r="CD145" i="2"/>
  <c r="CD150" i="2"/>
  <c r="CD103" i="2"/>
  <c r="CD138" i="2"/>
  <c r="CD53" i="2"/>
  <c r="CD59" i="2"/>
  <c r="CD140" i="2"/>
  <c r="CD185" i="2"/>
  <c r="CD78" i="2"/>
  <c r="CD177" i="2"/>
  <c r="CD169" i="2"/>
  <c r="CD202" i="2"/>
  <c r="CD72" i="2"/>
  <c r="CD77" i="2"/>
  <c r="CD75" i="2"/>
  <c r="CD114" i="2"/>
  <c r="CD88" i="2"/>
  <c r="CD25" i="2"/>
  <c r="CD174" i="2"/>
  <c r="CD149" i="2"/>
  <c r="CD115" i="2"/>
  <c r="CD65" i="2"/>
  <c r="CD126" i="2"/>
  <c r="CD74" i="2"/>
  <c r="CD161" i="2"/>
  <c r="CD137" i="2"/>
  <c r="CD124" i="2"/>
  <c r="CD190" i="2"/>
  <c r="CD17" i="2"/>
  <c r="CD197" i="2"/>
  <c r="CD6" i="2"/>
  <c r="CD183" i="2"/>
  <c r="CD100" i="2"/>
  <c r="CD167" i="2"/>
  <c r="CD119" i="2"/>
  <c r="CD41" i="2"/>
  <c r="CD203" i="2"/>
  <c r="CD89" i="2"/>
  <c r="CD160" i="2"/>
  <c r="CD187" i="2"/>
  <c r="CD56" i="2"/>
  <c r="CD107" i="2"/>
  <c r="CD113" i="2"/>
  <c r="CD31" i="2"/>
  <c r="CD147" i="2"/>
  <c r="CD22" i="2"/>
  <c r="CD143" i="2"/>
  <c r="CD132" i="2"/>
  <c r="CD92" i="2"/>
  <c r="CD43" i="2"/>
  <c r="CD21" i="2"/>
  <c r="CD42" i="2"/>
  <c r="CD178" i="2"/>
  <c r="CD91" i="2"/>
  <c r="CD10" i="2"/>
  <c r="CD194" i="2"/>
  <c r="CD9" i="2"/>
  <c r="CD84" i="2"/>
  <c r="CD101" i="2"/>
  <c r="CD36" i="2"/>
  <c r="CD186" i="2"/>
  <c r="CD198" i="2"/>
  <c r="CD50" i="2"/>
  <c r="CD148" i="2"/>
  <c r="CD199" i="2"/>
  <c r="CD123" i="2"/>
  <c r="CD135" i="2"/>
  <c r="CD83" i="2"/>
  <c r="CD29" i="2"/>
  <c r="CD5" i="2"/>
  <c r="CD73" i="2"/>
  <c r="CD136" i="2"/>
  <c r="CD66" i="2"/>
  <c r="CD180" i="2"/>
  <c r="CD141" i="2"/>
  <c r="CD159" i="2"/>
  <c r="CD71" i="2"/>
  <c r="CD64" i="2"/>
  <c r="CD55" i="2"/>
  <c r="CD4" i="2"/>
  <c r="CD125" i="2"/>
  <c r="CD109" i="2"/>
  <c r="CD51" i="2"/>
  <c r="CD188" i="2"/>
  <c r="CD3" i="2"/>
  <c r="C9" i="4" s="1"/>
  <c r="E9" i="4" s="1"/>
  <c r="F9" i="4" s="1"/>
  <c r="G9" i="4" s="1"/>
  <c r="L9" i="4" s="1"/>
  <c r="CD152" i="2"/>
  <c r="CD179" i="2"/>
  <c r="CD118" i="2"/>
  <c r="CD82" i="2"/>
  <c r="CD40" i="2"/>
  <c r="CD127" i="2"/>
  <c r="CD99" i="2"/>
  <c r="CD15" i="2"/>
  <c r="CD44" i="2"/>
  <c r="CD156" i="2"/>
  <c r="CD49" i="2"/>
  <c r="CD26" i="2"/>
  <c r="CD52" i="2"/>
  <c r="CD142" i="2"/>
  <c r="CD112" i="2"/>
  <c r="CD165" i="2"/>
  <c r="CD37" i="2"/>
  <c r="CD128" i="2"/>
  <c r="CD63" i="2"/>
  <c r="CD57" i="2"/>
  <c r="CD18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01" i="2" l="1"/>
  <c r="BI193" i="2"/>
  <c r="BI99" i="2"/>
  <c r="BI47" i="2"/>
  <c r="BI166" i="2"/>
  <c r="BI44" i="2"/>
  <c r="BI23" i="2"/>
  <c r="BI29" i="2"/>
  <c r="BI34" i="2"/>
  <c r="BI115" i="2"/>
  <c r="BI120" i="2"/>
  <c r="BI151" i="2"/>
  <c r="BI117" i="2"/>
  <c r="BI190" i="2"/>
  <c r="BI128" i="2"/>
  <c r="BI167" i="2"/>
  <c r="BI137" i="2"/>
  <c r="BI64" i="2"/>
  <c r="BI48" i="2"/>
  <c r="BI74" i="2"/>
  <c r="BI10" i="2"/>
  <c r="BI148" i="2"/>
  <c r="BI89" i="2"/>
  <c r="BI179" i="2"/>
  <c r="BI104" i="2"/>
  <c r="BI123" i="2"/>
  <c r="BI132" i="2"/>
  <c r="BI90" i="2"/>
  <c r="BI20" i="2"/>
  <c r="BI131" i="2"/>
  <c r="BI41" i="2"/>
  <c r="BI147" i="2"/>
  <c r="BI118" i="2"/>
  <c r="BI73" i="2"/>
  <c r="BI95" i="2"/>
  <c r="BI52" i="2"/>
  <c r="BI76" i="2"/>
  <c r="BI6" i="2"/>
  <c r="BI176" i="2"/>
  <c r="BI200" i="2"/>
  <c r="BI188" i="2"/>
  <c r="BI75" i="2"/>
  <c r="BI54" i="2"/>
  <c r="BI149" i="2"/>
  <c r="BI98" i="2"/>
  <c r="BI146" i="2"/>
  <c r="BI100" i="2"/>
  <c r="BI9" i="2"/>
  <c r="BI159" i="2"/>
  <c r="BI130" i="2"/>
  <c r="BI62" i="2"/>
  <c r="BI134" i="2"/>
  <c r="BI68" i="2"/>
  <c r="BI3" i="2"/>
  <c r="C8" i="4" s="1"/>
  <c r="E8" i="4" s="1"/>
  <c r="F8" i="4" s="1"/>
  <c r="G8" i="4" s="1"/>
  <c r="L8" i="4" s="1"/>
  <c r="BI53" i="2"/>
  <c r="BI186" i="2"/>
  <c r="BI119" i="2"/>
  <c r="BI42" i="2"/>
  <c r="BI189" i="2"/>
  <c r="BI13" i="2"/>
  <c r="BI183" i="2"/>
  <c r="BI162" i="2"/>
  <c r="BI122" i="2"/>
  <c r="BI178" i="2"/>
  <c r="BI113" i="2"/>
  <c r="BI5" i="2"/>
  <c r="BI49" i="2"/>
  <c r="BI50" i="2"/>
  <c r="BI85" i="2"/>
  <c r="BI14" i="2"/>
  <c r="BI111" i="2"/>
  <c r="BI67" i="2"/>
  <c r="BI4" i="2"/>
  <c r="BI174" i="2"/>
  <c r="BI91" i="2"/>
  <c r="BI124" i="2"/>
  <c r="BI17" i="2"/>
  <c r="BI173" i="2"/>
  <c r="BI125" i="2"/>
  <c r="BI71" i="2"/>
  <c r="BI161" i="2"/>
  <c r="BI136" i="2"/>
  <c r="BI88" i="2"/>
  <c r="BI51" i="2"/>
  <c r="BI93" i="2"/>
  <c r="BI139" i="2"/>
  <c r="BI191" i="2"/>
  <c r="BI33" i="2"/>
  <c r="BI16" i="2"/>
  <c r="BI171" i="2"/>
  <c r="BI158" i="2"/>
  <c r="BI22" i="2"/>
  <c r="BI12" i="2"/>
  <c r="BI155" i="2"/>
  <c r="BI21" i="2"/>
  <c r="BI26" i="2"/>
  <c r="BI135" i="2"/>
  <c r="BI129" i="2"/>
  <c r="BI199" i="2"/>
  <c r="BI142" i="2"/>
  <c r="BI105" i="2"/>
  <c r="BI182" i="2"/>
  <c r="BI19" i="2"/>
  <c r="BI7" i="2"/>
  <c r="BI25" i="2"/>
  <c r="BI87" i="2"/>
  <c r="BI39" i="2"/>
  <c r="BI56" i="2"/>
  <c r="BI180" i="2"/>
  <c r="BI66" i="2"/>
  <c r="BI77" i="2"/>
  <c r="BI109" i="2"/>
  <c r="BI144" i="2"/>
  <c r="BI160" i="2"/>
  <c r="BI63" i="2"/>
  <c r="BI141" i="2"/>
  <c r="BI163" i="2"/>
  <c r="BI82" i="2"/>
  <c r="BI18" i="2"/>
  <c r="BI172" i="2"/>
  <c r="BI84" i="2"/>
  <c r="BI15" i="2"/>
  <c r="BI114" i="2"/>
  <c r="BI197" i="2"/>
  <c r="BI108" i="2"/>
  <c r="BI185" i="2"/>
  <c r="BI58" i="2"/>
  <c r="BI194" i="2"/>
  <c r="BI94" i="2"/>
  <c r="BI65" i="2"/>
  <c r="BI70" i="2"/>
  <c r="BI157" i="2"/>
  <c r="BI143" i="2"/>
  <c r="BI145" i="2"/>
  <c r="BI202" i="2"/>
  <c r="BI32" i="2"/>
  <c r="BI80" i="2"/>
  <c r="BI27" i="2"/>
  <c r="BI46" i="2"/>
  <c r="BI127" i="2"/>
  <c r="BI43" i="2"/>
  <c r="BI55" i="2"/>
  <c r="BI150" i="2"/>
  <c r="BI92" i="2"/>
  <c r="BI28" i="2"/>
  <c r="BI102" i="2"/>
  <c r="BI83" i="2"/>
  <c r="BI97" i="2"/>
  <c r="BI133" i="2"/>
  <c r="BI79" i="2"/>
  <c r="BI195" i="2"/>
  <c r="BI184" i="2"/>
  <c r="BI175" i="2"/>
  <c r="BI192" i="2"/>
  <c r="BI96" i="2"/>
  <c r="BI69" i="2"/>
  <c r="BI168" i="2"/>
  <c r="BI181" i="2"/>
  <c r="BI170" i="2"/>
  <c r="BI165" i="2"/>
  <c r="BI35" i="2"/>
  <c r="BI187" i="2"/>
  <c r="BI61" i="2"/>
  <c r="BI11" i="2"/>
  <c r="BI81" i="2"/>
  <c r="BI201" i="2"/>
  <c r="BI24" i="2"/>
  <c r="BI60" i="2"/>
  <c r="BI153" i="2"/>
  <c r="BI116" i="2"/>
  <c r="BI154" i="2"/>
  <c r="BI196" i="2"/>
  <c r="BI112" i="2"/>
  <c r="BI152" i="2"/>
  <c r="BI45" i="2"/>
  <c r="BI59" i="2"/>
  <c r="BI110" i="2"/>
  <c r="BI164" i="2"/>
  <c r="BI121" i="2"/>
  <c r="BI86" i="2"/>
  <c r="BI78" i="2"/>
  <c r="BI177" i="2"/>
  <c r="BI31" i="2"/>
  <c r="BI103" i="2"/>
  <c r="BI30" i="2"/>
  <c r="BI8" i="2"/>
  <c r="BI72" i="2"/>
  <c r="BI198" i="2"/>
  <c r="BI38" i="2"/>
  <c r="BI203" i="2"/>
  <c r="BI107" i="2"/>
  <c r="BI126" i="2"/>
  <c r="BI169" i="2"/>
  <c r="BI138" i="2"/>
  <c r="BI37" i="2"/>
  <c r="BI40" i="2"/>
  <c r="BI36" i="2"/>
  <c r="BI106" i="2"/>
  <c r="BI156" i="2"/>
  <c r="BI140" i="2"/>
  <c r="BI57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<sst xmlns="http://schemas.openxmlformats.org/spreadsheetml/2006/main" count="1188" uniqueCount="337">
  <si>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</si>
  <si>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</si>
  <si>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</si>
  <si>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</si>
  <si>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</si>
  <si>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</si>
  <si>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</si>
  <si>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</si>
  <si>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</si>
  <si>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</si>
  <si>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</si>
  <si>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</si>
  <si>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</si>
  <si>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</si>
  <si>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</si>
  <si>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</si>
  <si>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</si>
  <si>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</si>
  <si>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</si>
  <si>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</si>
  <si>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</si>
  <si>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</si>
  <si>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</si>
  <si>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</si>
  <si>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</si>
  <si>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</si>
  <si>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</si>
  <si>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</si>
  <si>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</si>
  <si>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</si>
  <si>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</si>
  <si>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</si>
  <si>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</si>
  <si>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</si>
  <si>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</si>
  <si>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</si>
  <si>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</si>
  <si>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</si>
  <si>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</si>
  <si>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</si>
  <si>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</si>
  <si>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</si>
  <si>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</si>
  <si>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</si>
  <si>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</si>
  <si>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</si>
  <si>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</si>
  <si>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</si>
  <si>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</si>
  <si>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</si>
  <si>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</si>
  <si>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</si>
  <si>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</si>
  <si>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</si>
  <si>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</si>
  <si>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</si>
  <si>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</si>
  <si>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</si>
  <si>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</si>
  <si>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</si>
  <si>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</si>
  <si>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</si>
  <si>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</si>
  <si>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</si>
  <si>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</si>
  <si>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</si>
  <si>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</si>
  <si>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</si>
  <si>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</si>
  <si>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</si>
  <si>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</si>
  <si>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</si>
  <si>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</si>
  <si>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</si>
  <si>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</si>
  <si>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</si>
  <si>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</si>
  <si>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</si>
  <si>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</si>
  <si>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</si>
  <si>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</si>
  <si>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</si>
  <si>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</si>
  <si>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</si>
  <si>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</si>
  <si>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</si>
  <si>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</si>
  <si>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</si>
  <si>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</si>
  <si>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</si>
  <si>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</si>
  <si>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</si>
  <si>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</si>
  <si>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</si>
  <si>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</si>
  <si>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</si>
  <si>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</si>
  <si>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</si>
  <si>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</si>
  <si>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</si>
  <si>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</si>
  <si>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</si>
  <si>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</si>
  <si>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</si>
  <si>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</si>
  <si>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</si>
  <si>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</si>
  <si>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</si>
  <si>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</si>
  <si>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</si>
  <si>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</si>
  <si>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</si>
  <si>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</si>
  <si>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</si>
  <si>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</si>
  <si>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</si>
  <si>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</si>
  <si>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</si>
  <si>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</si>
  <si>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</si>
  <si>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</si>
  <si>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</si>
  <si>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</si>
  <si>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</si>
  <si>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</si>
  <si>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</si>
  <si>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</si>
  <si>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</si>
  <si>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</si>
  <si>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</si>
  <si>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</si>
  <si>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</si>
  <si>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</si>
  <si>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</si>
  <si>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</si>
  <si>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</si>
  <si>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</si>
  <si>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</si>
  <si>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</si>
  <si>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</si>
  <si>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</si>
  <si>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</si>
  <si>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</si>
  <si>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</si>
  <si>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</si>
  <si>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</si>
  <si>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</si>
  <si>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</si>
  <si>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</si>
  <si>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</si>
  <si>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</si>
  <si>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</si>
  <si>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</si>
  <si>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</si>
  <si>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</si>
  <si>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</si>
  <si>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</si>
  <si>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</si>
  <si>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</si>
  <si>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</si>
  <si>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</si>
  <si>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</si>
  <si>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</si>
  <si>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</si>
  <si>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</si>
  <si>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</si>
  <si>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</si>
  <si>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</si>
  <si>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</si>
  <si>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</si>
  <si>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</si>
  <si>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</si>
  <si>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</si>
  <si>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</si>
  <si>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</si>
  <si>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</si>
  <si>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</si>
  <si>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</si>
  <si>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</si>
  <si>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</si>
  <si>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</si>
  <si>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</si>
  <si>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</si>
  <si>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</si>
  <si>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</si>
  <si>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</si>
  <si>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</si>
  <si>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</si>
  <si>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</si>
  <si>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</si>
  <si>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</si>
  <si>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</si>
  <si>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</si>
  <si>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</si>
  <si>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</si>
  <si>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</si>
  <si>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</si>
  <si>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</si>
  <si>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</si>
  <si>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</si>
  <si>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</si>
  <si>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</si>
  <si>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</si>
  <si>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</si>
  <si>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</si>
  <si>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</si>
  <si>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</si>
  <si>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</si>
  <si>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</si>
  <si>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</si>
  <si>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</si>
  <si>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</si>
  <si>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</si>
  <si>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</si>
  <si>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</si>
  <si>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</si>
  <si>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</si>
  <si>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</si>
  <si>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</si>
  <si>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</si>
  <si>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</si>
  <si>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</si>
  <si>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</si>
  <si>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</si>
  <si>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</si>
  <si>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</si>
  <si>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</si>
  <si>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</si>
  <si>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</si>
  <si>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</si>
  <si>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</si>
  <si>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</si>
  <si>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</si>
  <si>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</si>
  <si>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</si>
  <si>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</si>
  <si>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</si>
  <si>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</si>
  <si>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</si>
  <si>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</si>
  <si>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</si>
  <si>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</si>
  <si>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</si>
  <si>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</si>
  <si>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</si>
  <si>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</si>
  <si>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</si>
  <si>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</si>
  <si>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</si>
  <si>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</si>
  <si>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</si>
  <si>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</si>
  <si>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</si>
  <si>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</si>
  <si>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</si>
  <si>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</si>
  <si>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</si>
  <si>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</si>
  <si>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</si>
  <si>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</si>
  <si>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</si>
  <si>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</si>
  <si>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</si>
  <si>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</si>
  <si>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</si>
  <si>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</si>
  <si>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</si>
  <si>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</si>
  <si>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</si>
  <si>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</si>
  <si>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</si>
  <si>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</si>
  <si>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</si>
  <si>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</si>
  <si>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</si>
  <si>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</si>
  <si>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</si>
  <si>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</si>
  <si>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</si>
  <si>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</si>
  <si>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</si>
  <si>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</si>
  <si>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</si>
  <si>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</si>
  <si>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</si>
  <si>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</si>
  <si>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</si>
  <si>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</si>
  <si>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</si>
  <si>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</si>
  <si>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</si>
  <si>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</si>
  <si>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</si>
  <si>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</si>
  <si>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</si>
  <si>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</si>
  <si>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</si>
  <si>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</si>
  <si>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</si>
  <si>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</si>
  <si>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</si>
  <si>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</si>
  <si>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</si>
  <si>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</si>
  <si>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</si>
  <si>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</si>
  <si>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</si>
  <si>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</si>
  <si>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</si>
  <si>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</si>
  <si>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</si>
  <si>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</si>
  <si>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</si>
  <si>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</si>
  <si>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</si>
  <si>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</si>
  <si>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</si>
  <si>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</si>
  <si>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</si>
  <si>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</si>
  <si>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</si>
  <si>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</si>
  <si>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</si>
  <si>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</si>
  <si>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na</t>
  </si>
  <si>
    <t>23</t>
  </si>
  <si>
    <t>24</t>
  </si>
  <si>
    <t>21</t>
  </si>
  <si>
    <t>20</t>
  </si>
  <si>
    <t>18</t>
  </si>
  <si>
    <t>16</t>
  </si>
  <si>
    <t>14</t>
  </si>
  <si>
    <t>12</t>
  </si>
  <si>
    <t>54</t>
  </si>
  <si>
    <t>26</t>
  </si>
  <si>
    <t>27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</si>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</sst>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0.5"/>
      <color rgb="FF000000"/>
      <name val="Cambria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32" fillId="14" borderId="54" xfId="0" applyNumberFormat="1" applyFont="1" applyFill="1" applyBorder="1" applyAlignment="1" applyProtection="1">
      <alignment horizontal="right" vertical="top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291.44362414058196</c:v>
                </c:pt>
                <c:pt idx="28">
                  <c:v>316.40922168115691</c:v>
                </c:pt>
                <c:pt idx="29">
                  <c:v>341.33118577652465</c:v>
                </c:pt>
                <c:pt idx="30">
                  <c:v>366.2131477730768</c:v>
                </c:pt>
                <c:pt idx="31">
                  <c:v>390.65906037894007</c:v>
                </c:pt>
                <c:pt idx="32">
                  <c:v>415.07179480856433</c:v>
                </c:pt>
                <c:pt idx="33">
                  <c:v>355.88364575491551</c:v>
                </c:pt>
                <c:pt idx="34">
                  <c:v>378.90598373659327</c:v>
                </c:pt>
                <c:pt idx="35">
                  <c:v>401.89789012628256</c:v>
                </c:pt>
                <c:pt idx="36">
                  <c:v>424.8613493114824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516.46302801285572</c:v>
                </c:pt>
                <c:pt idx="41">
                  <c:v>418.21652921659637</c:v>
                </c:pt>
                <c:pt idx="42">
                  <c:v>437.54828979657401</c:v>
                </c:pt>
                <c:pt idx="43">
                  <c:v>456.86173367611201</c:v>
                </c:pt>
                <c:pt idx="44">
                  <c:v>476.15774366224099</c:v>
                </c:pt>
                <c:pt idx="45">
                  <c:v>495.43712521859487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463.11224037370857</c:v>
                </c:pt>
                <c:pt idx="50">
                  <c:v>479.3932375320328</c:v>
                </c:pt>
                <c:pt idx="51">
                  <c:v>495.66248405140635</c:v>
                </c:pt>
                <c:pt idx="52">
                  <c:v>511.92041976382592</c:v>
                </c:pt>
                <c:pt idx="53">
                  <c:v>528.16745429901346</c:v>
                </c:pt>
                <c:pt idx="54">
                  <c:v>544.40397004275667</c:v>
                </c:pt>
                <c:pt idx="55">
                  <c:v>560.63032472410339</c:v>
                </c:pt>
                <c:pt idx="56">
                  <c:v>576.84685368758073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2.9770808019599735</c:v>
                </c:pt>
                <c:pt idx="2">
                  <c:v>3.4373570828714688</c:v>
                </c:pt>
                <c:pt idx="3">
                  <c:v>3.969049858352836</c:v>
                </c:pt>
                <c:pt idx="4">
                  <c:v>4.5832774414983648</c:v>
                </c:pt>
                <c:pt idx="5">
                  <c:v>5.2928945237969822</c:v>
                </c:pt>
                <c:pt idx="6">
                  <c:v>6.1127641431566362</c:v>
                </c:pt>
                <c:pt idx="7">
                  <c:v>7.0600723651439914</c:v>
                </c:pt>
                <c:pt idx="8">
                  <c:v>8.1546924022830094</c:v>
                </c:pt>
                <c:pt idx="9">
                  <c:v>9.4196059574262012</c:v>
                </c:pt>
                <c:pt idx="10">
                  <c:v>10.881390806178834</c:v>
                </c:pt>
                <c:pt idx="11">
                  <c:v>12.570785056701292</c:v>
                </c:pt>
                <c:pt idx="12">
                  <c:v>14.523340173738314</c:v>
                </c:pt>
                <c:pt idx="13">
                  <c:v>16.780176763115087</c:v>
                </c:pt>
                <c:pt idx="14">
                  <c:v>19.388859324553817</c:v>
                </c:pt>
                <c:pt idx="15">
                  <c:v>22.40440874242114</c:v>
                </c:pt>
                <c:pt idx="16">
                  <c:v>25.890474251448747</c:v>
                </c:pt>
                <c:pt idx="17">
                  <c:v>29.92069005192911</c:v>
                </c:pt>
                <c:pt idx="18">
                  <c:v>34.580245730952278</c:v>
                </c:pt>
                <c:pt idx="19">
                  <c:v>39.967704259345972</c:v>
                </c:pt>
                <c:pt idx="20">
                  <c:v>46.197106678273713</c:v>
                </c:pt>
                <c:pt idx="21">
                  <c:v>53.400408781022065</c:v>
                </c:pt>
                <c:pt idx="22">
                  <c:v>61.730302268911977</c:v>
                </c:pt>
                <c:pt idx="23">
                  <c:v>71.363481171441208</c:v>
                </c:pt>
                <c:pt idx="24">
                  <c:v>82.504423950448952</c:v>
                </c:pt>
                <c:pt idx="25">
                  <c:v>95.389772865783996</c:v>
                </c:pt>
                <c:pt idx="26">
                  <c:v>110.29340510848425</c:v>
                </c:pt>
                <c:pt idx="27">
                  <c:v>127.53230518830827</c:v>
                </c:pt>
                <c:pt idx="28">
                  <c:v>147.47336542186929</c:v>
                </c:pt>
                <c:pt idx="29">
                  <c:v>170.54126148381732</c:v>
                </c:pt>
                <c:pt idx="30">
                  <c:v>197.22757329492163</c:v>
                </c:pt>
                <c:pt idx="31">
                  <c:v>208.92142876180176</c:v>
                </c:pt>
                <c:pt idx="32">
                  <c:v>220.60017986363141</c:v>
                </c:pt>
                <c:pt idx="33">
                  <c:v>232.264739416477</c:v>
                </c:pt>
                <c:pt idx="34">
                  <c:v>243.91592098733301</c:v>
                </c:pt>
                <c:pt idx="35">
                  <c:v>255.55445401337798</c:v>
                </c:pt>
                <c:pt idx="36">
                  <c:v>267.18099601974819</c:v>
                </c:pt>
                <c:pt idx="37">
                  <c:v>278.79614259728777</c:v>
                </c:pt>
                <c:pt idx="38">
                  <c:v>290.4004356291054</c:v>
                </c:pt>
                <c:pt idx="39">
                  <c:v>301.99437013242931</c:v>
                </c:pt>
                <c:pt idx="40">
                  <c:v>313.57839999414279</c:v>
                </c:pt>
                <c:pt idx="41">
                  <c:v>325.15294281399184</c:v>
                </c:pt>
                <c:pt idx="42">
                  <c:v>336.71838402176826</c:v>
                </c:pt>
                <c:pt idx="43">
                  <c:v>348.27508039901596</c:v>
                </c:pt>
                <c:pt idx="44">
                  <c:v>359.82336310869147</c:v>
                </c:pt>
                <c:pt idx="45">
                  <c:v>234.70281254814427</c:v>
                </c:pt>
                <c:pt idx="46">
                  <c:v>249.59893217379951</c:v>
                </c:pt>
                <c:pt idx="47">
                  <c:v>264.47489375819822</c:v>
                </c:pt>
                <c:pt idx="48">
                  <c:v>279.33199093869058</c:v>
                </c:pt>
                <c:pt idx="49">
                  <c:v>294.17136845681017</c:v>
                </c:pt>
                <c:pt idx="50">
                  <c:v>308.99404610191897</c:v>
                </c:pt>
                <c:pt idx="51">
                  <c:v>323.80093781674623</c:v>
                </c:pt>
                <c:pt idx="52">
                  <c:v>255.78698052992738</c:v>
                </c:pt>
                <c:pt idx="53">
                  <c:v>269.71503855690486</c:v>
                </c:pt>
                <c:pt idx="54">
                  <c:v>283.62691234584025</c:v>
                </c:pt>
                <c:pt idx="55">
                  <c:v>297.52350768668458</c:v>
                </c:pt>
                <c:pt idx="56">
                  <c:v>311.40563882069802</c:v>
                </c:pt>
                <c:pt idx="57">
                  <c:v>325.27404144854546</c:v>
                </c:pt>
                <c:pt idx="58">
                  <c:v>339.12938340274769</c:v>
                </c:pt>
                <c:pt idx="59">
                  <c:v>352.97227348409729</c:v>
                </c:pt>
                <c:pt idx="60">
                  <c:v>281.39125702931875</c:v>
                </c:pt>
                <c:pt idx="61">
                  <c:v>294.31014596253618</c:v>
                </c:pt>
                <c:pt idx="62">
                  <c:v>307.2163841165638</c:v>
                </c:pt>
                <c:pt idx="63">
                  <c:v>320.11057795832443</c:v>
                </c:pt>
                <c:pt idx="64">
                  <c:v>332.99328109429655</c:v>
                </c:pt>
                <c:pt idx="65">
                  <c:v>345.86500078813629</c:v>
                </c:pt>
                <c:pt idx="66">
                  <c:v>358.72620345698607</c:v>
                </c:pt>
                <c:pt idx="67">
                  <c:v>371.57731933813437</c:v>
                </c:pt>
                <c:pt idx="68">
                  <c:v>314.62020332185165</c:v>
                </c:pt>
                <c:pt idx="69">
                  <c:v>326.95889671398453</c:v>
                </c:pt>
                <c:pt idx="70">
                  <c:v>339.28731000411216</c:v>
                </c:pt>
                <c:pt idx="71">
                  <c:v>351.60586945648743</c:v>
                </c:pt>
                <c:pt idx="72">
                  <c:v>363.9149690215898</c:v>
                </c:pt>
                <c:pt idx="73">
                  <c:v>376.21497381909467</c:v>
                </c:pt>
                <c:pt idx="74">
                  <c:v>388.50622314145625</c:v>
                </c:pt>
                <c:pt idx="75">
                  <c:v>400.78903305747446</c:v>
                </c:pt>
                <c:pt idx="76">
                  <c:v>345.86384431093734</c:v>
                </c:pt>
                <c:pt idx="77">
                  <c:v>357.77573460306729</c:v>
                </c:pt>
                <c:pt idx="78">
                  <c:v>369.67894674632447</c:v>
                </c:pt>
                <c:pt idx="79">
                  <c:v>381.57379960604271</c:v>
                </c:pt>
                <c:pt idx="80">
                  <c:v>393.46059054098606</c:v>
                </c:pt>
                <c:pt idx="81">
                  <c:v>405.33959747363838</c:v>
                </c:pt>
                <c:pt idx="82">
                  <c:v>417.21108070510104</c:v>
                </c:pt>
                <c:pt idx="83">
                  <c:v>429.07528451262601</c:v>
                </c:pt>
                <c:pt idx="84">
                  <c:v>440.93243856122854</c:v>
                </c:pt>
                <c:pt idx="85">
                  <c:v>376.60167716610619</c:v>
                </c:pt>
                <c:pt idx="86">
                  <c:v>387.96577939828467</c:v>
                </c:pt>
                <c:pt idx="87">
                  <c:v>399.32265618290847</c:v>
                </c:pt>
                <c:pt idx="88">
                  <c:v>410.67254202116061</c:v>
                </c:pt>
                <c:pt idx="89">
                  <c:v>422.01565739214857</c:v>
                </c:pt>
                <c:pt idx="90">
                  <c:v>433.35220995374738</c:v>
                </c:pt>
                <c:pt idx="91">
                  <c:v>444.6823956112226</c:v>
                </c:pt>
                <c:pt idx="92">
                  <c:v>456.00639947125768</c:v>
                </c:pt>
                <c:pt idx="93">
                  <c:v>467.32439669627183</c:v>
                </c:pt>
                <c:pt idx="94">
                  <c:v>413.86099161777793</c:v>
                </c:pt>
                <c:pt idx="95">
                  <c:v>425.19717647466877</c:v>
                </c:pt>
                <c:pt idx="96">
                  <c:v>436.52686044713772</c:v>
                </c:pt>
                <c:pt idx="97">
                  <c:v>447.85023606285631</c:v>
                </c:pt>
                <c:pt idx="98">
                  <c:v>459.16748531856956</c:v>
                </c:pt>
                <c:pt idx="99">
                  <c:v>470.47878050700183</c:v>
                </c:pt>
                <c:pt idx="100">
                  <c:v>481.78428496010048</c:v>
                </c:pt>
                <c:pt idx="101">
                  <c:v>493.08415371888253</c:v>
                </c:pt>
                <c:pt idx="102">
                  <c:v>504.37853413868493</c:v>
                </c:pt>
                <c:pt idx="103">
                  <c:v>515.6675664373829</c:v>
                </c:pt>
                <c:pt idx="104">
                  <c:v>441.67788304694392</c:v>
                </c:pt>
                <c:pt idx="105">
                  <c:v>452.64938831122686</c:v>
                </c:pt>
                <c:pt idx="106">
                  <c:v>463.61520902016565</c:v>
                </c:pt>
                <c:pt idx="107">
                  <c:v>474.57549859599521</c:v>
                </c:pt>
                <c:pt idx="108">
                  <c:v>485.53040279578119</c:v>
                </c:pt>
                <c:pt idx="109">
                  <c:v>496.48006026237272</c:v>
                </c:pt>
                <c:pt idx="110">
                  <c:v>507.42460302422029</c:v>
                </c:pt>
                <c:pt idx="111">
                  <c:v>518.36415694983214</c:v>
                </c:pt>
                <c:pt idx="112">
                  <c:v>529.29884216187008</c:v>
                </c:pt>
                <c:pt idx="113">
                  <c:v>540.22877341525339</c:v>
                </c:pt>
                <c:pt idx="114">
                  <c:v>483.77843347470525</c:v>
                </c:pt>
                <c:pt idx="115">
                  <c:v>495.18106269086019</c:v>
                </c:pt>
                <c:pt idx="116">
                  <c:v>506.57812932992596</c:v>
                </c:pt>
                <c:pt idx="117">
                  <c:v>517.96977617364007</c:v>
                </c:pt>
                <c:pt idx="118">
                  <c:v>529.35613921155607</c:v>
                </c:pt>
                <c:pt idx="119">
                  <c:v>540.73734810639564</c:v>
                </c:pt>
                <c:pt idx="120">
                  <c:v>552.11352661818967</c:v>
                </c:pt>
                <c:pt idx="121">
                  <c:v>563.48479299165012</c:v>
                </c:pt>
                <c:pt idx="122">
                  <c:v>574.85126031065295</c:v>
                </c:pt>
                <c:pt idx="123">
                  <c:v>586.21303682323253</c:v>
                </c:pt>
                <c:pt idx="124">
                  <c:v>597.57022624007823</c:v>
                </c:pt>
                <c:pt idx="125">
                  <c:v>608.92292800916312</c:v>
                </c:pt>
                <c:pt idx="126">
                  <c:v>516.97691743661551</c:v>
                </c:pt>
                <c:pt idx="127">
                  <c:v>528.23080123722991</c:v>
                </c:pt>
                <c:pt idx="128">
                  <c:v>539.47963831715936</c:v>
                </c:pt>
                <c:pt idx="129">
                  <c:v>550.7235487287619</c:v>
                </c:pt>
                <c:pt idx="130">
                  <c:v>561.96264722308808</c:v>
                </c:pt>
                <c:pt idx="131">
                  <c:v>573.19704358756508</c:v>
                </c:pt>
                <c:pt idx="132">
                  <c:v>584.42684295583661</c:v>
                </c:pt>
                <c:pt idx="133">
                  <c:v>595.65214609255543</c:v>
                </c:pt>
                <c:pt idx="134">
                  <c:v>606.87304965559781</c:v>
                </c:pt>
                <c:pt idx="135">
                  <c:v>618.08964643788192</c:v>
                </c:pt>
                <c:pt idx="136">
                  <c:v>629.30202559072757</c:v>
                </c:pt>
                <c:pt idx="137">
                  <c:v>640.51027283047199</c:v>
                </c:pt>
                <c:pt idx="138">
                  <c:v>541.94116393966794</c:v>
                </c:pt>
                <c:pt idx="139">
                  <c:v>552.88748579227229</c:v>
                </c:pt>
                <c:pt idx="140">
                  <c:v>563.82926666737285</c:v>
                </c:pt>
                <c:pt idx="141">
                  <c:v>574.76660709862961</c:v>
                </c:pt>
                <c:pt idx="142">
                  <c:v>585.69960348209554</c:v>
                </c:pt>
                <c:pt idx="143">
                  <c:v>596.6283483221988</c:v>
                </c:pt>
                <c:pt idx="144">
                  <c:v>607.55293045876988</c:v>
                </c:pt>
                <c:pt idx="145">
                  <c:v>618.47343527689191</c:v>
                </c:pt>
                <c:pt idx="146">
                  <c:v>629.38994490116841</c:v>
                </c:pt>
                <c:pt idx="147">
                  <c:v>640.30253837581188</c:v>
                </c:pt>
                <c:pt idx="148">
                  <c:v>651.21129183182666</c:v>
                </c:pt>
                <c:pt idx="149">
                  <c:v>662.11627864240563</c:v>
                </c:pt>
                <c:pt idx="150">
                  <c:v>410.25891232631693</c:v>
                </c:pt>
                <c:pt idx="151">
                  <c:v>416.93235115607769</c:v>
                </c:pt>
                <c:pt idx="152">
                  <c:v>423.60348761898211</c:v>
                </c:pt>
                <c:pt idx="153">
                  <c:v>430.27236311544448</c:v>
                </c:pt>
                <c:pt idx="154">
                  <c:v>282.60235881259825</c:v>
                </c:pt>
                <c:pt idx="155">
                  <c:v>286.67220565892609</c:v>
                </c:pt>
                <c:pt idx="156">
                  <c:v>290.74075975339895</c:v>
                </c:pt>
                <c:pt idx="157">
                  <c:v>294.80804177163026</c:v>
                </c:pt>
                <c:pt idx="158">
                  <c:v>197.61056174383398</c:v>
                </c:pt>
                <c:pt idx="159">
                  <c:v>200.15752525879137</c:v>
                </c:pt>
                <c:pt idx="160">
                  <c:v>202.70373739936451</c:v>
                </c:pt>
                <c:pt idx="161">
                  <c:v>205.24920896259434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3.6730282214288827</c:v>
                </c:pt>
                <c:pt idx="2">
                  <c:v>5.0830721403463937</c:v>
                </c:pt>
                <c:pt idx="3">
                  <c:v>7.036679533704671</c:v>
                </c:pt>
                <c:pt idx="4">
                  <c:v>9.7442075368743222</c:v>
                </c:pt>
                <c:pt idx="5">
                  <c:v>13.497714670318894</c:v>
                </c:pt>
                <c:pt idx="6">
                  <c:v>18.702798513212141</c:v>
                </c:pt>
                <c:pt idx="7">
                  <c:v>25.92287762963684</c:v>
                </c:pt>
                <c:pt idx="8">
                  <c:v>35.940795178890447</c:v>
                </c:pt>
                <c:pt idx="9">
                  <c:v>49.844538070800986</c:v>
                </c:pt>
                <c:pt idx="10">
                  <c:v>69.146536639181463</c:v>
                </c:pt>
                <c:pt idx="11">
                  <c:v>89.481359471532414</c:v>
                </c:pt>
                <c:pt idx="12">
                  <c:v>109.69969907041973</c:v>
                </c:pt>
                <c:pt idx="13">
                  <c:v>129.82617251251659</c:v>
                </c:pt>
                <c:pt idx="14">
                  <c:v>149.87707112836947</c:v>
                </c:pt>
                <c:pt idx="15">
                  <c:v>169.8639461155727</c:v>
                </c:pt>
                <c:pt idx="16">
                  <c:v>195.22253928938787</c:v>
                </c:pt>
                <c:pt idx="17">
                  <c:v>220.50453226750395</c:v>
                </c:pt>
                <c:pt idx="18">
                  <c:v>245.71994542966834</c:v>
                </c:pt>
                <c:pt idx="19">
                  <c:v>270.87657100003173</c:v>
                </c:pt>
                <c:pt idx="20">
                  <c:v>295.98063417932605</c:v>
                </c:pt>
                <c:pt idx="21">
                  <c:v>197.48280714753739</c:v>
                </c:pt>
                <c:pt idx="22">
                  <c:v>220.50453226750395</c:v>
                </c:pt>
                <c:pt idx="23">
                  <c:v>243.47106182824413</c:v>
                </c:pt>
                <c:pt idx="24">
                  <c:v>266.38833386373528</c:v>
                </c:pt>
                <c:pt idx="25">
                  <c:v>289.26118046969754</c:v>
                </c:pt>
                <c:pt idx="26">
                  <c:v>252.91325418581559</c:v>
                </c:pt>
                <c:pt idx="27">
                  <c:v>274.91455293818166</c:v>
                </c:pt>
                <c:pt idx="28">
                  <c:v>296.87630238617862</c:v>
                </c:pt>
                <c:pt idx="29">
                  <c:v>318.80183833443067</c:v>
                </c:pt>
                <c:pt idx="30">
                  <c:v>340.6940002860228</c:v>
                </c:pt>
                <c:pt idx="31">
                  <c:v>300.90606654813729</c:v>
                </c:pt>
                <c:pt idx="32">
                  <c:v>321.48425180635394</c:v>
                </c:pt>
                <c:pt idx="33">
                  <c:v>342.03330890235503</c:v>
                </c:pt>
                <c:pt idx="34">
                  <c:v>362.55523309892413</c:v>
                </c:pt>
                <c:pt idx="35">
                  <c:v>383.05177541071208</c:v>
                </c:pt>
                <c:pt idx="36">
                  <c:v>342.4797194558883</c:v>
                </c:pt>
                <c:pt idx="37">
                  <c:v>362.10938015631001</c:v>
                </c:pt>
                <c:pt idx="38">
                  <c:v>381.71578669021255</c:v>
                </c:pt>
                <c:pt idx="39">
                  <c:v>401.30030091052237</c:v>
                </c:pt>
                <c:pt idx="40">
                  <c:v>420.864140955106</c:v>
                </c:pt>
                <c:pt idx="41">
                  <c:v>378.59808340312696</c:v>
                </c:pt>
                <c:pt idx="42">
                  <c:v>396.40615590256056</c:v>
                </c:pt>
                <c:pt idx="43">
                  <c:v>414.19690225230175</c:v>
                </c:pt>
                <c:pt idx="44">
                  <c:v>431.97117107689922</c:v>
                </c:pt>
                <c:pt idx="45">
                  <c:v>449.72973549516246</c:v>
                </c:pt>
                <c:pt idx="46">
                  <c:v>408.416756548705</c:v>
                </c:pt>
                <c:pt idx="47">
                  <c:v>424.86338979756653</c:v>
                </c:pt>
                <c:pt idx="48">
                  <c:v>441.29632927906988</c:v>
                </c:pt>
                <c:pt idx="49">
                  <c:v>457.71615652908685</c:v>
                </c:pt>
                <c:pt idx="50">
                  <c:v>474.12340797215165</c:v>
                </c:pt>
                <c:pt idx="51">
                  <c:v>435.52411678963432</c:v>
                </c:pt>
                <c:pt idx="52">
                  <c:v>450.17350463671522</c:v>
                </c:pt>
                <c:pt idx="53">
                  <c:v>464.81269749872439</c:v>
                </c:pt>
                <c:pt idx="54">
                  <c:v>479.44206160972567</c:v>
                </c:pt>
                <c:pt idx="55">
                  <c:v>494.06193903689768</c:v>
                </c:pt>
                <c:pt idx="56">
                  <c:v>456.38529460741091</c:v>
                </c:pt>
                <c:pt idx="57">
                  <c:v>469.69022691951341</c:v>
                </c:pt>
                <c:pt idx="58">
                  <c:v>482.98713293042402</c:v>
                </c:pt>
                <c:pt idx="59">
                  <c:v>496.27626470453976</c:v>
                </c:pt>
                <c:pt idx="60">
                  <c:v>509.55785970842743</c:v>
                </c:pt>
                <c:pt idx="61">
                  <c:v>475.45318983876706</c:v>
                </c:pt>
                <c:pt idx="62">
                  <c:v>487.86070439311379</c:v>
                </c:pt>
                <c:pt idx="63">
                  <c:v>500.26152412217448</c:v>
                </c:pt>
                <c:pt idx="64">
                  <c:v>512.65583834806694</c:v>
                </c:pt>
                <c:pt idx="65">
                  <c:v>525.04382649327351</c:v>
                </c:pt>
                <c:pt idx="66">
                  <c:v>491.84740297234742</c:v>
                </c:pt>
                <c:pt idx="67">
                  <c:v>502.91798999726456</c:v>
                </c:pt>
                <c:pt idx="68">
                  <c:v>513.98342229938953</c:v>
                </c:pt>
                <c:pt idx="69">
                  <c:v>525.04382649327351</c:v>
                </c:pt>
                <c:pt idx="70">
                  <c:v>536.099323424212</c:v>
                </c:pt>
                <c:pt idx="71">
                  <c:v>506.01682508175622</c:v>
                </c:pt>
                <c:pt idx="72">
                  <c:v>515.75342165232314</c:v>
                </c:pt>
                <c:pt idx="73">
                  <c:v>525.48613980439268</c:v>
                </c:pt>
                <c:pt idx="74">
                  <c:v>535.21506150486687</c:v>
                </c:pt>
                <c:pt idx="75">
                  <c:v>544.94026549750731</c:v>
                </c:pt>
                <c:pt idx="76">
                  <c:v>518.4081804575975</c:v>
                </c:pt>
                <c:pt idx="77">
                  <c:v>527.25531469060445</c:v>
                </c:pt>
                <c:pt idx="78">
                  <c:v>536.099323424212</c:v>
                </c:pt>
                <c:pt idx="79">
                  <c:v>544.94026549750731</c:v>
                </c:pt>
                <c:pt idx="80">
                  <c:v>553.77819768444851</c:v>
                </c:pt>
                <c:pt idx="81">
                  <c:v>528.58211378930434</c:v>
                </c:pt>
                <c:pt idx="82">
                  <c:v>536.54144288093755</c:v>
                </c:pt>
                <c:pt idx="83">
                  <c:v>544.49829034246511</c:v>
                </c:pt>
                <c:pt idx="84">
                  <c:v>552.45269756028677</c:v>
                </c:pt>
                <c:pt idx="85">
                  <c:v>560.40470463156919</c:v>
                </c:pt>
                <c:pt idx="86">
                  <c:v>536.099323424212</c:v>
                </c:pt>
                <c:pt idx="87">
                  <c:v>542.7303143394812</c:v>
                </c:pt>
                <c:pt idx="88">
                  <c:v>549.35960435614891</c:v>
                </c:pt>
                <c:pt idx="89">
                  <c:v>555.98721690157754</c:v>
                </c:pt>
                <c:pt idx="90">
                  <c:v>562.61317479886077</c:v>
                </c:pt>
                <c:pt idx="91">
                  <c:v>542.7303143394812</c:v>
                </c:pt>
                <c:pt idx="92">
                  <c:v>549.35960435614891</c:v>
                </c:pt>
                <c:pt idx="93">
                  <c:v>555.98721690157754</c:v>
                </c:pt>
                <c:pt idx="94">
                  <c:v>562.61317479886077</c:v>
                </c:pt>
                <c:pt idx="95">
                  <c:v>569.23750028949542</c:v>
                </c:pt>
                <c:pt idx="96">
                  <c:v>549.35960435614891</c:v>
                </c:pt>
                <c:pt idx="97">
                  <c:v>555.98721690157754</c:v>
                </c:pt>
                <c:pt idx="98">
                  <c:v>562.61317479886077</c:v>
                </c:pt>
                <c:pt idx="99">
                  <c:v>569.23750028949542</c:v>
                </c:pt>
                <c:pt idx="100">
                  <c:v>575.86021505494898</c:v>
                </c:pt>
                <c:pt idx="101">
                  <c:v>549.35960435614891</c:v>
                </c:pt>
                <c:pt idx="102">
                  <c:v>549.35960435614891</c:v>
                </c:pt>
                <c:pt idx="103">
                  <c:v>549.35960435614891</c:v>
                </c:pt>
                <c:pt idx="104">
                  <c:v>549.35960435614891</c:v>
                </c:pt>
                <c:pt idx="105">
                  <c:v>549.35960435614891</c:v>
                </c:pt>
                <c:pt idx="106">
                  <c:v>549.35960435614891</c:v>
                </c:pt>
                <c:pt idx="107">
                  <c:v>549.35960435614891</c:v>
                </c:pt>
                <c:pt idx="108">
                  <c:v>549.35960435614891</c:v>
                </c:pt>
                <c:pt idx="109">
                  <c:v>549.35960435614891</c:v>
                </c:pt>
                <c:pt idx="110">
                  <c:v>549.35960435614891</c:v>
                </c:pt>
                <c:pt idx="111">
                  <c:v>549.35960435614891</c:v>
                </c:pt>
                <c:pt idx="112">
                  <c:v>549.35960435614891</c:v>
                </c:pt>
                <c:pt idx="113">
                  <c:v>549.35960435614891</c:v>
                </c:pt>
                <c:pt idx="114">
                  <c:v>549.35960435614891</c:v>
                </c:pt>
                <c:pt idx="115">
                  <c:v>549.35960435614891</c:v>
                </c:pt>
                <c:pt idx="116">
                  <c:v>549.35960435614891</c:v>
                </c:pt>
                <c:pt idx="117">
                  <c:v>549.35960435614891</c:v>
                </c:pt>
                <c:pt idx="118">
                  <c:v>549.35960435614891</c:v>
                </c:pt>
                <c:pt idx="119">
                  <c:v>549.35960435614891</c:v>
                </c:pt>
                <c:pt idx="120">
                  <c:v>549.35960435614891</c:v>
                </c:pt>
                <c:pt idx="121">
                  <c:v>549.35960435614891</c:v>
                </c:pt>
                <c:pt idx="122">
                  <c:v>549.35960435614891</c:v>
                </c:pt>
                <c:pt idx="123">
                  <c:v>549.35960435614891</c:v>
                </c:pt>
                <c:pt idx="124">
                  <c:v>549.35960435614891</c:v>
                </c:pt>
                <c:pt idx="125">
                  <c:v>549.35960435614891</c:v>
                </c:pt>
                <c:pt idx="126">
                  <c:v>549.35960435614891</c:v>
                </c:pt>
                <c:pt idx="127">
                  <c:v>549.35960435614891</c:v>
                </c:pt>
                <c:pt idx="128">
                  <c:v>549.35960435614891</c:v>
                </c:pt>
                <c:pt idx="129">
                  <c:v>549.35960435614891</c:v>
                </c:pt>
                <c:pt idx="130">
                  <c:v>549.35960435614891</c:v>
                </c:pt>
                <c:pt idx="131">
                  <c:v>549.35960435614891</c:v>
                </c:pt>
                <c:pt idx="132">
                  <c:v>549.35960435614891</c:v>
                </c:pt>
                <c:pt idx="133">
                  <c:v>549.35960435614891</c:v>
                </c:pt>
                <c:pt idx="134">
                  <c:v>549.35960435614891</c:v>
                </c:pt>
                <c:pt idx="135">
                  <c:v>549.35960435614891</c:v>
                </c:pt>
                <c:pt idx="136">
                  <c:v>549.35960435614891</c:v>
                </c:pt>
                <c:pt idx="137">
                  <c:v>549.35960435614891</c:v>
                </c:pt>
                <c:pt idx="138">
                  <c:v>549.35960435614891</c:v>
                </c:pt>
                <c:pt idx="139">
                  <c:v>549.35960435614891</c:v>
                </c:pt>
                <c:pt idx="140">
                  <c:v>549.35960435614891</c:v>
                </c:pt>
                <c:pt idx="141">
                  <c:v>549.35960435614891</c:v>
                </c:pt>
                <c:pt idx="142">
                  <c:v>549.35960435614891</c:v>
                </c:pt>
                <c:pt idx="143">
                  <c:v>549.35960435614891</c:v>
                </c:pt>
                <c:pt idx="144">
                  <c:v>549.35960435614891</c:v>
                </c:pt>
                <c:pt idx="145">
                  <c:v>549.35960435614891</c:v>
                </c:pt>
                <c:pt idx="146">
                  <c:v>549.35960435614891</c:v>
                </c:pt>
                <c:pt idx="147">
                  <c:v>549.35960435614891</c:v>
                </c:pt>
                <c:pt idx="148">
                  <c:v>549.35960435614891</c:v>
                </c:pt>
                <c:pt idx="149">
                  <c:v>549.35960435614891</c:v>
                </c:pt>
                <c:pt idx="150">
                  <c:v>549.35960435614891</c:v>
                </c:pt>
                <c:pt idx="151">
                  <c:v>549.35960435614891</c:v>
                </c:pt>
                <c:pt idx="152">
                  <c:v>549.35960435614891</c:v>
                </c:pt>
                <c:pt idx="153">
                  <c:v>549.35960435614891</c:v>
                </c:pt>
                <c:pt idx="154">
                  <c:v>549.35960435614891</c:v>
                </c:pt>
                <c:pt idx="155">
                  <c:v>549.35960435614891</c:v>
                </c:pt>
                <c:pt idx="156">
                  <c:v>549.35960435614891</c:v>
                </c:pt>
                <c:pt idx="157">
                  <c:v>549.35960435614891</c:v>
                </c:pt>
                <c:pt idx="158">
                  <c:v>549.35960435614891</c:v>
                </c:pt>
                <c:pt idx="159">
                  <c:v>549.35960435614891</c:v>
                </c:pt>
                <c:pt idx="160">
                  <c:v>549.35960435614891</c:v>
                </c:pt>
                <c:pt idx="161">
                  <c:v>549.35960435614891</c:v>
                </c:pt>
                <c:pt idx="162">
                  <c:v>549.35960435614891</c:v>
                </c:pt>
                <c:pt idx="163">
                  <c:v>549.35960435614891</c:v>
                </c:pt>
                <c:pt idx="164">
                  <c:v>549.35960435614891</c:v>
                </c:pt>
                <c:pt idx="165">
                  <c:v>549.35960435614891</c:v>
                </c:pt>
                <c:pt idx="166">
                  <c:v>549.35960435614891</c:v>
                </c:pt>
                <c:pt idx="167">
                  <c:v>549.35960435614891</c:v>
                </c:pt>
                <c:pt idx="168">
                  <c:v>549.35960435614891</c:v>
                </c:pt>
                <c:pt idx="169">
                  <c:v>549.35960435614891</c:v>
                </c:pt>
                <c:pt idx="170">
                  <c:v>549.35960435614891</c:v>
                </c:pt>
                <c:pt idx="171">
                  <c:v>549.35960435614891</c:v>
                </c:pt>
                <c:pt idx="172">
                  <c:v>549.35960435614891</c:v>
                </c:pt>
                <c:pt idx="173">
                  <c:v>549.35960435614891</c:v>
                </c:pt>
                <c:pt idx="174">
                  <c:v>549.35960435614891</c:v>
                </c:pt>
                <c:pt idx="175">
                  <c:v>549.35960435614891</c:v>
                </c:pt>
                <c:pt idx="176">
                  <c:v>549.35960435614891</c:v>
                </c:pt>
                <c:pt idx="177">
                  <c:v>549.35960435614891</c:v>
                </c:pt>
                <c:pt idx="178">
                  <c:v>549.35960435614891</c:v>
                </c:pt>
                <c:pt idx="179">
                  <c:v>549.35960435614891</c:v>
                </c:pt>
                <c:pt idx="180">
                  <c:v>549.35960435614891</c:v>
                </c:pt>
                <c:pt idx="181">
                  <c:v>549.35960435614891</c:v>
                </c:pt>
                <c:pt idx="182">
                  <c:v>549.35960435614891</c:v>
                </c:pt>
                <c:pt idx="183">
                  <c:v>549.35960435614891</c:v>
                </c:pt>
                <c:pt idx="184">
                  <c:v>549.35960435614891</c:v>
                </c:pt>
                <c:pt idx="185">
                  <c:v>549.35960435614891</c:v>
                </c:pt>
                <c:pt idx="186">
                  <c:v>549.35960435614891</c:v>
                </c:pt>
                <c:pt idx="187">
                  <c:v>549.35960435614891</c:v>
                </c:pt>
                <c:pt idx="188">
                  <c:v>549.35960435614891</c:v>
                </c:pt>
                <c:pt idx="189">
                  <c:v>549.35960435614891</c:v>
                </c:pt>
                <c:pt idx="190">
                  <c:v>549.35960435614891</c:v>
                </c:pt>
                <c:pt idx="191">
                  <c:v>549.35960435614891</c:v>
                </c:pt>
                <c:pt idx="192">
                  <c:v>549.35960435614891</c:v>
                </c:pt>
                <c:pt idx="193">
                  <c:v>549.35960435614891</c:v>
                </c:pt>
                <c:pt idx="194">
                  <c:v>549.35960435614891</c:v>
                </c:pt>
                <c:pt idx="195">
                  <c:v>549.35960435614891</c:v>
                </c:pt>
                <c:pt idx="196">
                  <c:v>549.35960435614891</c:v>
                </c:pt>
                <c:pt idx="197">
                  <c:v>549.35960435614891</c:v>
                </c:pt>
                <c:pt idx="198">
                  <c:v>549.35960435614891</c:v>
                </c:pt>
                <c:pt idx="199">
                  <c:v>549.35960435614891</c:v>
                </c:pt>
                <c:pt idx="200">
                  <c:v>549.35960435614891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klima1.sharepoint.com/sites/TeamOklima/Shared%20Documents/03%20-%20D&#233;veloppement/1%20-%20FORET/1%20-%20PROJETS/CANTEL%20Simon/Montagnat/3.Devis_finaux/Calculateur_RE_OKLIMA_v4.3.xlsx" TargetMode="External"/><Relationship Id="rId1" Type="http://schemas.openxmlformats.org/officeDocument/2006/relationships/externalLinkPath" Target="https://oklima1.sharepoint.com/sites/TeamOklima/Shared%20Documents/03%20-%20D&#233;veloppement/1%20-%20FORET/1%20-%20PROJETS/CANTEL%20Simon/Montagnat/3.Devis_finaux/Calculateur_RE_OKLIMA_v4.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ez-moi"/>
      <sheetName val="CO2"/>
      <sheetName val="ECO"/>
      <sheetName val="Financement"/>
      <sheetName val="Communes Francaises"/>
      <sheetName val="&gt;"/>
      <sheetName val="Données projet"/>
      <sheetName val="Scénario référence"/>
      <sheetName val="Calculateur"/>
      <sheetName val="Paramètres"/>
      <sheetName val="REE"/>
      <sheetName val="VAN"/>
      <sheetName val="&gt;&gt;"/>
      <sheetName val="COUT"/>
      <sheetName val="Feuil2"/>
      <sheetName val="ESSENCES"/>
      <sheetName val="param"/>
    </sheetNames>
    <sheetDataSet>
      <sheetData sheetId="0"/>
      <sheetData sheetId="1">
        <row r="34">
          <cell r="D34" t="str">
            <v>Pin laricio</v>
          </cell>
          <cell r="E34">
            <v>0.44</v>
          </cell>
        </row>
        <row r="35">
          <cell r="D35" t="str">
            <v>Pin maritime</v>
          </cell>
          <cell r="E35">
            <v>0.46</v>
          </cell>
        </row>
        <row r="36">
          <cell r="D36" t="str">
            <v>Chêne pubescent</v>
          </cell>
          <cell r="E36">
            <v>0.05</v>
          </cell>
        </row>
        <row r="37">
          <cell r="D37" t="str">
            <v>Chêne chevelu</v>
          </cell>
          <cell r="E37">
            <v>0.05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3984375" defaultRowHeight="14.4" x14ac:dyDescent="0.3"/>
  <cols>
    <col min="1" max="1" width="6.69921875" customWidth="1"/>
    <col min="2" max="13" width="15.8984375" customWidth="1"/>
  </cols>
  <sheetData>
    <row r="12" spans="2:13" ht="15" customHeight="1" x14ac:dyDescent="0.3">
      <c r="B12" s="258" t="s">
        <v>0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1.95" customHeight="1" x14ac:dyDescent="0.3">
      <c r="B18" s="258" t="s">
        <v>1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1.95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1.95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1.95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1.95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1.95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1.95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1.95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1.95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1.95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1.95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1.95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1.95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1.95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90" zoomScale="61" zoomScaleNormal="61" workbookViewId="0">
      <selection activeCell="J126" sqref="J126"/>
    </sheetView>
  </sheetViews>
  <sheetFormatPr baseColWidth="10" defaultColWidth="11.3984375" defaultRowHeight="14.4" x14ac:dyDescent="0.3"/>
  <cols>
    <col min="1" max="1" width="13.69921875" style="23" customWidth="1"/>
    <col min="2" max="2" width="36.09765625" style="23" customWidth="1"/>
    <col min="3" max="3" width="14.8984375" style="23" bestFit="1" customWidth="1"/>
    <col min="4" max="4" width="16.3984375" style="23" customWidth="1"/>
    <col min="5" max="5" width="23.296875" style="23" customWidth="1"/>
    <col min="6" max="6" width="28.8984375" style="23" bestFit="1" customWidth="1"/>
    <col min="7" max="8" width="14.69921875" style="23" customWidth="1"/>
    <col min="9" max="9" width="17" style="23" customWidth="1"/>
    <col min="10" max="10" width="13.8984375" style="23" customWidth="1"/>
    <col min="11" max="16384" width="11.3984375" style="23"/>
  </cols>
  <sheetData>
    <row r="1" spans="1:38" x14ac:dyDescent="0.3">
      <c r="A1" s="4"/>
      <c r="B1" s="4"/>
      <c r="C1" s="263" t="s">
        <v>2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35">
      <c r="A3" s="4"/>
      <c r="B3" s="264" t="s">
        <v>4</v>
      </c>
      <c r="C3" s="265"/>
      <c r="D3" s="265"/>
      <c r="E3" s="265"/>
      <c r="F3" s="266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95" x14ac:dyDescent="0.3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95" x14ac:dyDescent="0.3">
      <c r="A5" s="269" t="s">
        <v>7</v>
      </c>
      <c r="B5" s="269"/>
      <c r="C5" s="24">
        <v>2.61</v>
      </c>
      <c r="D5" s="270" t="s">
        <v>8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95" x14ac:dyDescent="0.3">
      <c r="A7" s="268" t="s">
        <v>9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5" customHeight="1" x14ac:dyDescent="0.3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15</v>
      </c>
      <c r="B9" s="31" t="str">
        <f>[1]CO2!D34</f>
        <v>Pin laricio</v>
      </c>
      <c r="C9" s="32">
        <f>[1]CO2!E34</f>
        <v>0.44</v>
      </c>
      <c r="D9" s="33">
        <f t="shared" ref="D9:D18" si="0">C9*$C$5</f>
        <v>1.1483999999999999</v>
      </c>
      <c r="E9" s="34">
        <v>76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17</v>
      </c>
      <c r="B10" s="31" t="str">
        <f>[1]CO2!D35</f>
        <v>Pin maritime</v>
      </c>
      <c r="C10" s="32">
        <f>[1]CO2!E35</f>
        <v>0.46</v>
      </c>
      <c r="D10" s="33">
        <f t="shared" si="0"/>
        <v>1.2005999999999999</v>
      </c>
      <c r="E10" s="34">
        <v>56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18</v>
      </c>
      <c r="B11" s="31" t="str">
        <f>[1]CO2!D36</f>
        <v>Chêne pubescent</v>
      </c>
      <c r="C11" s="32">
        <f>[1]CO2!E36</f>
        <v>0.05</v>
      </c>
      <c r="D11" s="33">
        <f t="shared" si="0"/>
        <v>0.1305</v>
      </c>
      <c r="E11" s="34">
        <v>161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19</v>
      </c>
      <c r="B12" s="31" t="str">
        <f>[1]CO2!D37</f>
        <v>Chêne chevelu</v>
      </c>
      <c r="C12" s="32">
        <f>[1]CO2!E37</f>
        <v>0.05</v>
      </c>
      <c r="D12" s="33">
        <f t="shared" si="0"/>
        <v>0.1305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26</v>
      </c>
      <c r="C19" s="37">
        <f>SUM(C9:C18)</f>
        <v>1</v>
      </c>
      <c r="D19" s="38">
        <f>SUM(D9:D18)</f>
        <v>2.61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.35" x14ac:dyDescent="0.45">
      <c r="A22" s="267" t="s">
        <v>27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33</v>
      </c>
      <c r="B26" s="42" t="s">
        <v>34</v>
      </c>
      <c r="C26" s="43">
        <v>0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.35" x14ac:dyDescent="0.3">
      <c r="A30" s="268" t="s">
        <v>39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15</v>
      </c>
      <c r="B32" s="47" t="str">
        <f>IF(B9="","",B9)</f>
        <v>Pin laricio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41</v>
      </c>
      <c r="C34" s="259" t="s">
        <v>42</v>
      </c>
      <c r="D34" s="259"/>
      <c r="E34" s="260" t="s">
        <v>43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8" x14ac:dyDescent="0.3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19</v>
      </c>
      <c r="B36" s="60">
        <v>127.98461538461538</v>
      </c>
      <c r="C36" s="60">
        <v>1</v>
      </c>
      <c r="D36" s="60">
        <v>46.53846153846154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6.7360323886639675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24</v>
      </c>
      <c r="B37" s="60">
        <v>159.94615384615383</v>
      </c>
      <c r="C37" s="60">
        <v>2</v>
      </c>
      <c r="D37" s="60">
        <v>40.41538461538461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15.7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215.65384615384616</v>
      </c>
      <c r="C38" s="60">
        <v>3</v>
      </c>
      <c r="D38" s="60">
        <v>55.869230769230761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16.020512820512824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37</v>
      </c>
      <c r="B39" s="60">
        <v>268.16923076923075</v>
      </c>
      <c r="C39" s="60">
        <v>4</v>
      </c>
      <c r="D39" s="60">
        <v>43.623076923076923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15.48351648351648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46</v>
      </c>
      <c r="B40" s="60">
        <v>362.82307692307688</v>
      </c>
      <c r="C40" s="60">
        <v>5</v>
      </c>
      <c r="D40" s="60">
        <v>72.561538461538461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15.364102564102561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56</v>
      </c>
      <c r="B41" s="60">
        <v>428.20000000000005</v>
      </c>
      <c r="C41" s="60">
        <v>6</v>
      </c>
      <c r="D41" s="60">
        <v>60.092307692307692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13.793846153846165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66</v>
      </c>
      <c r="B42" s="60">
        <v>488.65384615384613</v>
      </c>
      <c r="C42" s="60">
        <v>7</v>
      </c>
      <c r="D42" s="60">
        <v>68.146153846153851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12.05461538461538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76</v>
      </c>
      <c r="B43" s="60">
        <v>520.22307692307686</v>
      </c>
      <c r="C43" s="60">
        <v>8</v>
      </c>
      <c r="D43" s="60">
        <v>520.22307692307686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9.9715384615384544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17</v>
      </c>
      <c r="B58" s="52" t="str">
        <f>IF(B10="","",B10)</f>
        <v>Pin maritime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41</v>
      </c>
      <c r="C60" s="259" t="s">
        <v>42</v>
      </c>
      <c r="D60" s="259"/>
      <c r="E60" s="260" t="s">
        <v>43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8" x14ac:dyDescent="0.3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15</v>
      </c>
      <c r="B62" s="60">
        <v>141.17692307692306</v>
      </c>
      <c r="C62" s="60">
        <v>1</v>
      </c>
      <c r="D62" s="60">
        <v>49.784615384615385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9.4117948717948714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20</v>
      </c>
      <c r="B63" s="60">
        <v>183.7076923076923</v>
      </c>
      <c r="C63" s="60">
        <v>2</v>
      </c>
      <c r="D63" s="60">
        <v>48.723076923076924</v>
      </c>
      <c r="E63" s="51">
        <v>0</v>
      </c>
      <c r="F63" s="51">
        <v>0.56000000000000005</v>
      </c>
      <c r="G63" s="51">
        <v>0.44</v>
      </c>
      <c r="H63" s="51">
        <v>0</v>
      </c>
      <c r="I63" s="49">
        <f>IF(A63&lt;&gt;0,(B63-(B62-D62))/(A63-A62),"")</f>
        <v>18.463076923076926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26</v>
      </c>
      <c r="B64" s="60">
        <v>249.41538461538462</v>
      </c>
      <c r="C64" s="60">
        <v>3</v>
      </c>
      <c r="D64" s="60">
        <v>46.984615384615381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19.071794871794875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30</v>
      </c>
      <c r="B65" s="60">
        <v>280.42307692307691</v>
      </c>
      <c r="C65" s="60" t="s">
        <v>324</v>
      </c>
      <c r="D65" s="60">
        <v>0</v>
      </c>
      <c r="E65" s="51">
        <v>0</v>
      </c>
      <c r="F65" s="51">
        <v>0</v>
      </c>
      <c r="G65" s="51">
        <v>0</v>
      </c>
      <c r="H65" s="51">
        <v>0</v>
      </c>
      <c r="I65" s="49">
        <f>IF(A65&lt;&gt;0,(B65-(B64-D64))/(A65-A64),"")</f>
        <v>19.498076923076916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32</v>
      </c>
      <c r="B66" s="60">
        <v>318.7923076923077</v>
      </c>
      <c r="C66" s="60">
        <v>4</v>
      </c>
      <c r="D66" s="60">
        <v>64.523076923076914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19.184615384615398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40</v>
      </c>
      <c r="B67" s="60">
        <v>398.71538461538461</v>
      </c>
      <c r="C67" s="60">
        <v>5</v>
      </c>
      <c r="D67" s="60">
        <v>92.661538461538456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18.055769230769229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48</v>
      </c>
      <c r="B68" s="60">
        <v>427.74615384615385</v>
      </c>
      <c r="C68" s="60">
        <v>6</v>
      </c>
      <c r="D68" s="60">
        <v>83.969230769230762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15.21153846153846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56</v>
      </c>
      <c r="B69" s="50">
        <v>446.47692307692301</v>
      </c>
      <c r="C69" s="50">
        <v>7</v>
      </c>
      <c r="D69" s="50">
        <v>446.47692307692301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2"/>
        <v>12.837499999999991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18</v>
      </c>
      <c r="B84" s="52" t="str">
        <f>IF(B11="","",B11)</f>
        <v>Chêne pubescent</v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41</v>
      </c>
      <c r="C86" s="259" t="s">
        <v>42</v>
      </c>
      <c r="D86" s="259"/>
      <c r="E86" s="260" t="s">
        <v>43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8" x14ac:dyDescent="0.3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30</v>
      </c>
      <c r="B88" s="60">
        <v>87.705128205128204</v>
      </c>
      <c r="C88" s="60" t="s">
        <v>324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2.9235042735042733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44</v>
      </c>
      <c r="B89" s="60">
        <v>162.42307692307691</v>
      </c>
      <c r="C89" s="60">
        <v>1</v>
      </c>
      <c r="D89" s="60">
        <v>64.416666666666657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5.3369963369963358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51</v>
      </c>
      <c r="B90" s="60">
        <v>145.78846153846152</v>
      </c>
      <c r="C90" s="60">
        <v>2</v>
      </c>
      <c r="D90" s="60">
        <v>37.685897435897431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6.826007326007324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59</v>
      </c>
      <c r="B91" s="60">
        <v>159.25641025641025</v>
      </c>
      <c r="C91" s="60">
        <v>3</v>
      </c>
      <c r="D91" s="60">
        <v>38.942307692307693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6.3942307692307701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67</v>
      </c>
      <c r="B92" s="60">
        <v>167.85897435897436</v>
      </c>
      <c r="C92" s="60">
        <v>4</v>
      </c>
      <c r="D92" s="60">
        <v>31.993589743589741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5.9431089743589762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75</v>
      </c>
      <c r="B93" s="60">
        <v>181.38461538461536</v>
      </c>
      <c r="C93" s="60">
        <v>5</v>
      </c>
      <c r="D93" s="60">
        <v>30.916666666666664</v>
      </c>
      <c r="E93" s="87">
        <v>0.7</v>
      </c>
      <c r="F93" s="87">
        <v>0</v>
      </c>
      <c r="G93" s="87">
        <v>0</v>
      </c>
      <c r="H93" s="87">
        <v>0.3</v>
      </c>
      <c r="I93" s="53">
        <f t="shared" si="3"/>
        <v>5.6899038461538431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84</v>
      </c>
      <c r="B94" s="60">
        <v>200.00641025641025</v>
      </c>
      <c r="C94" s="60">
        <v>6</v>
      </c>
      <c r="D94" s="60">
        <v>35.083333333333329</v>
      </c>
      <c r="E94" s="87">
        <v>0.7</v>
      </c>
      <c r="F94" s="87">
        <v>0</v>
      </c>
      <c r="G94" s="87">
        <v>0</v>
      </c>
      <c r="H94" s="87">
        <v>0.3</v>
      </c>
      <c r="I94" s="53">
        <f t="shared" si="3"/>
        <v>5.5042735042735051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93</v>
      </c>
      <c r="B95" s="60">
        <v>212.26923076923075</v>
      </c>
      <c r="C95" s="60">
        <v>7</v>
      </c>
      <c r="D95" s="60">
        <v>30.083333333333332</v>
      </c>
      <c r="E95" s="87">
        <v>0.7</v>
      </c>
      <c r="F95" s="87">
        <v>0</v>
      </c>
      <c r="G95" s="87">
        <v>0</v>
      </c>
      <c r="H95" s="87">
        <v>0.3</v>
      </c>
      <c r="I95" s="53">
        <f t="shared" si="3"/>
        <v>5.2606837606837598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103</v>
      </c>
      <c r="B96" s="60">
        <v>234.76923076923077</v>
      </c>
      <c r="C96" s="60">
        <v>8</v>
      </c>
      <c r="D96" s="60">
        <v>39.512820512820511</v>
      </c>
      <c r="E96" s="87">
        <v>0.7</v>
      </c>
      <c r="F96" s="87">
        <v>0</v>
      </c>
      <c r="G96" s="87">
        <v>0</v>
      </c>
      <c r="H96" s="87">
        <v>0.3</v>
      </c>
      <c r="I96" s="53">
        <f t="shared" si="3"/>
        <v>5.2583333333333373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113</v>
      </c>
      <c r="B97" s="60">
        <v>246.21794871794873</v>
      </c>
      <c r="C97" s="60">
        <v>9</v>
      </c>
      <c r="D97" s="60">
        <v>31.602564102564099</v>
      </c>
      <c r="E97" s="87">
        <v>0.7</v>
      </c>
      <c r="F97" s="87">
        <v>0</v>
      </c>
      <c r="G97" s="87">
        <v>0</v>
      </c>
      <c r="H97" s="87">
        <v>0.3</v>
      </c>
      <c r="I97" s="53">
        <f t="shared" si="3"/>
        <v>5.0961538461538449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125</v>
      </c>
      <c r="B98" s="60">
        <v>278.29487179487177</v>
      </c>
      <c r="C98" s="60">
        <v>10</v>
      </c>
      <c r="D98" s="60">
        <v>48.160256410256409</v>
      </c>
      <c r="E98" s="87">
        <v>0.7</v>
      </c>
      <c r="F98" s="87">
        <v>0</v>
      </c>
      <c r="G98" s="87">
        <v>0</v>
      </c>
      <c r="H98" s="87">
        <v>0.3</v>
      </c>
      <c r="I98" s="53">
        <f t="shared" si="3"/>
        <v>5.3066239316239274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137</v>
      </c>
      <c r="B99" s="60">
        <v>293.07051282051282</v>
      </c>
      <c r="C99" s="60">
        <v>11</v>
      </c>
      <c r="D99" s="60">
        <v>51.160256410256409</v>
      </c>
      <c r="E99" s="87">
        <v>0.7</v>
      </c>
      <c r="F99" s="87">
        <v>0</v>
      </c>
      <c r="G99" s="87">
        <v>0</v>
      </c>
      <c r="H99" s="87">
        <v>0.3</v>
      </c>
      <c r="I99" s="53">
        <f t="shared" si="3"/>
        <v>5.2446581196581219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149</v>
      </c>
      <c r="B100" s="60">
        <v>303.18589743589746</v>
      </c>
      <c r="C100" s="60">
        <v>12</v>
      </c>
      <c r="D100" s="60">
        <v>120.50641025641026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5.1063034188034209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153</v>
      </c>
      <c r="B101" s="60">
        <v>195.05769230769226</v>
      </c>
      <c r="C101" s="60">
        <v>13</v>
      </c>
      <c r="D101" s="60">
        <v>70.115384615384613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3.0945512820512704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157</v>
      </c>
      <c r="B102" s="50">
        <v>132.42948717948718</v>
      </c>
      <c r="C102" s="60">
        <v>14</v>
      </c>
      <c r="D102" s="50">
        <v>45.71153846153846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3"/>
        <v>1.8717948717948829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161</v>
      </c>
      <c r="B103" s="50">
        <v>91.365384615384613</v>
      </c>
      <c r="C103" s="60">
        <v>15</v>
      </c>
      <c r="D103" s="50">
        <v>91.365384615384613</v>
      </c>
      <c r="E103" s="54">
        <v>0.9</v>
      </c>
      <c r="F103" s="54">
        <v>0</v>
      </c>
      <c r="G103" s="54">
        <v>0</v>
      </c>
      <c r="H103" s="54">
        <v>0.1</v>
      </c>
      <c r="I103" s="53">
        <f t="shared" si="3"/>
        <v>1.1618589743589709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19</v>
      </c>
      <c r="B110" s="52" t="str">
        <f>IF(B12="","",B12)</f>
        <v>Chêne chevelu</v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41</v>
      </c>
      <c r="C112" s="259" t="s">
        <v>42</v>
      </c>
      <c r="D112" s="259"/>
      <c r="E112" s="260" t="s">
        <v>43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8" x14ac:dyDescent="0.3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10</v>
      </c>
      <c r="B114" s="60">
        <v>29</v>
      </c>
      <c r="C114" s="50">
        <v>0</v>
      </c>
      <c r="D114" s="60">
        <v>0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2.9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15</v>
      </c>
      <c r="B115" s="60">
        <v>73</v>
      </c>
      <c r="C115" s="50">
        <v>0</v>
      </c>
      <c r="D115" s="60">
        <v>0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8.8000000000000007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20</v>
      </c>
      <c r="B116" s="60">
        <v>129</v>
      </c>
      <c r="C116" s="50">
        <v>1</v>
      </c>
      <c r="D116" s="60" t="s">
        <v>333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11.2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25</v>
      </c>
      <c r="B117" s="60">
        <v>126</v>
      </c>
      <c r="C117" s="50">
        <v>2</v>
      </c>
      <c r="D117" s="60" t="s">
        <v>334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10.199999999999999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30</v>
      </c>
      <c r="B118" s="60">
        <v>149</v>
      </c>
      <c r="C118" s="50">
        <v>3</v>
      </c>
      <c r="D118" s="60" t="s">
        <v>335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9.8000000000000007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35</v>
      </c>
      <c r="B119" s="60">
        <v>168</v>
      </c>
      <c r="C119" s="50">
        <v>4</v>
      </c>
      <c r="D119" s="60" t="s">
        <v>335</v>
      </c>
      <c r="E119" s="51">
        <v>0</v>
      </c>
      <c r="F119" s="51">
        <v>0.5</v>
      </c>
      <c r="G119" s="51">
        <v>0</v>
      </c>
      <c r="H119" s="51">
        <v>0.5</v>
      </c>
      <c r="I119" s="53">
        <f t="shared" si="4"/>
        <v>9.1999999999999993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40</v>
      </c>
      <c r="B120" s="60">
        <v>185</v>
      </c>
      <c r="C120" s="60">
        <v>5</v>
      </c>
      <c r="D120" s="60" t="s">
        <v>335</v>
      </c>
      <c r="E120" s="87">
        <v>0</v>
      </c>
      <c r="F120" s="87">
        <v>0.5</v>
      </c>
      <c r="G120" s="87">
        <v>0</v>
      </c>
      <c r="H120" s="87">
        <v>0.5</v>
      </c>
      <c r="I120" s="53">
        <f t="shared" si="4"/>
        <v>8.8000000000000007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45</v>
      </c>
      <c r="B121" s="60">
        <v>198</v>
      </c>
      <c r="C121" s="60">
        <v>6</v>
      </c>
      <c r="D121" s="60" t="s">
        <v>334</v>
      </c>
      <c r="E121" s="87">
        <v>0.4</v>
      </c>
      <c r="F121" s="87">
        <v>0.4</v>
      </c>
      <c r="G121" s="87">
        <v>0</v>
      </c>
      <c r="H121" s="87">
        <v>0.2</v>
      </c>
      <c r="I121" s="53">
        <f t="shared" si="4"/>
        <v>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50</v>
      </c>
      <c r="B122" s="60">
        <v>209</v>
      </c>
      <c r="C122" s="60">
        <v>7</v>
      </c>
      <c r="D122" s="60" t="s">
        <v>326</v>
      </c>
      <c r="E122" s="87">
        <v>0.4</v>
      </c>
      <c r="F122" s="87">
        <v>0.4</v>
      </c>
      <c r="G122" s="87">
        <v>0</v>
      </c>
      <c r="H122" s="87">
        <v>0.2</v>
      </c>
      <c r="I122" s="53">
        <f t="shared" si="4"/>
        <v>7.4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55</v>
      </c>
      <c r="B123" s="60">
        <v>218</v>
      </c>
      <c r="C123" s="60">
        <v>8</v>
      </c>
      <c r="D123" s="60" t="s">
        <v>325</v>
      </c>
      <c r="E123" s="87">
        <v>0.4</v>
      </c>
      <c r="F123" s="87">
        <v>0.4</v>
      </c>
      <c r="G123" s="87">
        <v>0</v>
      </c>
      <c r="H123" s="87">
        <v>0.2</v>
      </c>
      <c r="I123" s="53">
        <f t="shared" si="4"/>
        <v>6.6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60</v>
      </c>
      <c r="B124" s="60">
        <v>225</v>
      </c>
      <c r="C124" s="60">
        <v>9</v>
      </c>
      <c r="D124" s="60" t="s">
        <v>327</v>
      </c>
      <c r="E124" s="87">
        <v>0.5</v>
      </c>
      <c r="F124" s="87">
        <v>0.4</v>
      </c>
      <c r="G124" s="87">
        <v>0</v>
      </c>
      <c r="H124" s="87">
        <v>0.1</v>
      </c>
      <c r="I124" s="53">
        <f t="shared" si="4"/>
        <v>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65</v>
      </c>
      <c r="B125" s="60">
        <v>232</v>
      </c>
      <c r="C125" s="60">
        <v>10</v>
      </c>
      <c r="D125" s="60" t="s">
        <v>328</v>
      </c>
      <c r="E125" s="87">
        <v>0.5</v>
      </c>
      <c r="F125" s="87">
        <v>0.4</v>
      </c>
      <c r="G125" s="87">
        <v>0</v>
      </c>
      <c r="H125" s="87">
        <v>0.1</v>
      </c>
      <c r="I125" s="53">
        <f t="shared" si="4"/>
        <v>5.6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70</v>
      </c>
      <c r="B126" s="60">
        <v>237</v>
      </c>
      <c r="C126" s="60">
        <v>11</v>
      </c>
      <c r="D126" s="60" t="s">
        <v>329</v>
      </c>
      <c r="E126" s="65">
        <v>0.5</v>
      </c>
      <c r="F126" s="65">
        <v>0.4</v>
      </c>
      <c r="G126" s="65">
        <v>0</v>
      </c>
      <c r="H126" s="65">
        <v>0.1</v>
      </c>
      <c r="I126" s="53">
        <f t="shared" si="4"/>
        <v>5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75</v>
      </c>
      <c r="B127" s="60">
        <v>241</v>
      </c>
      <c r="C127" s="60">
        <v>12</v>
      </c>
      <c r="D127" s="60" t="s">
        <v>330</v>
      </c>
      <c r="E127" s="65">
        <v>0.6</v>
      </c>
      <c r="F127" s="65">
        <v>0.3</v>
      </c>
      <c r="G127" s="65">
        <v>0</v>
      </c>
      <c r="H127" s="65">
        <v>0.1</v>
      </c>
      <c r="I127" s="53">
        <f t="shared" si="4"/>
        <v>4.4000000000000004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80</v>
      </c>
      <c r="B128" s="50">
        <v>245</v>
      </c>
      <c r="C128" s="50">
        <v>13</v>
      </c>
      <c r="D128" s="50" t="s">
        <v>336</v>
      </c>
      <c r="E128" s="54">
        <v>0.6</v>
      </c>
      <c r="F128" s="54">
        <v>0.3</v>
      </c>
      <c r="G128" s="54">
        <v>0</v>
      </c>
      <c r="H128" s="54">
        <v>0.1</v>
      </c>
      <c r="I128" s="53">
        <f t="shared" si="4"/>
        <v>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85</v>
      </c>
      <c r="B129" s="50">
        <v>248</v>
      </c>
      <c r="C129" s="50">
        <v>14</v>
      </c>
      <c r="D129" s="50" t="s">
        <v>331</v>
      </c>
      <c r="E129" s="54">
        <v>0.6</v>
      </c>
      <c r="F129" s="54">
        <v>0.3</v>
      </c>
      <c r="G129" s="54">
        <v>0</v>
      </c>
      <c r="H129" s="54">
        <v>0.1</v>
      </c>
      <c r="I129" s="53">
        <f t="shared" si="4"/>
        <v>3.6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90</v>
      </c>
      <c r="B130" s="50">
        <v>249</v>
      </c>
      <c r="C130" s="50">
        <v>15</v>
      </c>
      <c r="D130" s="50" t="s">
        <v>332</v>
      </c>
      <c r="E130" s="54">
        <v>0.6</v>
      </c>
      <c r="F130" s="54">
        <v>0.3</v>
      </c>
      <c r="G130" s="54">
        <v>0</v>
      </c>
      <c r="H130" s="54">
        <v>0.1</v>
      </c>
      <c r="I130" s="53">
        <f t="shared" si="4"/>
        <v>3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95</v>
      </c>
      <c r="B131" s="50">
        <v>252</v>
      </c>
      <c r="C131" s="50">
        <v>16</v>
      </c>
      <c r="D131" s="50" t="s">
        <v>332</v>
      </c>
      <c r="E131" s="54">
        <v>0.7</v>
      </c>
      <c r="F131" s="54">
        <v>0.2</v>
      </c>
      <c r="G131" s="54">
        <v>0</v>
      </c>
      <c r="H131" s="54">
        <v>0.1</v>
      </c>
      <c r="I131" s="53">
        <f t="shared" si="4"/>
        <v>3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>
        <v>100</v>
      </c>
      <c r="B132" s="50">
        <v>255</v>
      </c>
      <c r="C132" s="50">
        <v>17</v>
      </c>
      <c r="D132" s="50" t="s">
        <v>332</v>
      </c>
      <c r="E132" s="54">
        <v>0.7</v>
      </c>
      <c r="F132" s="54">
        <v>0.2</v>
      </c>
      <c r="G132" s="54">
        <v>0</v>
      </c>
      <c r="H132" s="54">
        <v>0.1</v>
      </c>
      <c r="I132" s="53">
        <f t="shared" si="4"/>
        <v>3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41</v>
      </c>
      <c r="C138" s="259" t="s">
        <v>42</v>
      </c>
      <c r="D138" s="259"/>
      <c r="E138" s="260" t="s">
        <v>43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8" x14ac:dyDescent="0.3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41</v>
      </c>
      <c r="C164" s="259" t="s">
        <v>42</v>
      </c>
      <c r="D164" s="259"/>
      <c r="E164" s="260" t="s">
        <v>43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8" x14ac:dyDescent="0.3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41</v>
      </c>
      <c r="C190" s="259" t="s">
        <v>42</v>
      </c>
      <c r="D190" s="259"/>
      <c r="E190" s="260" t="s">
        <v>43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8" x14ac:dyDescent="0.3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41</v>
      </c>
      <c r="C216" s="259" t="s">
        <v>42</v>
      </c>
      <c r="D216" s="259"/>
      <c r="E216" s="260" t="s">
        <v>43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8" x14ac:dyDescent="0.3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41</v>
      </c>
      <c r="C242" s="259" t="s">
        <v>42</v>
      </c>
      <c r="D242" s="259"/>
      <c r="E242" s="260" t="s">
        <v>43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8" x14ac:dyDescent="0.3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41</v>
      </c>
      <c r="C268" s="259" t="s">
        <v>42</v>
      </c>
      <c r="D268" s="259"/>
      <c r="E268" s="260" t="s">
        <v>43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8" x14ac:dyDescent="0.3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8" sqref="G18"/>
    </sheetView>
  </sheetViews>
  <sheetFormatPr baseColWidth="10" defaultColWidth="11.3984375" defaultRowHeight="14.4" x14ac:dyDescent="0.3"/>
  <cols>
    <col min="1" max="1" width="5.8984375" style="1" customWidth="1"/>
    <col min="2" max="2" width="14.09765625" style="1" customWidth="1"/>
    <col min="3" max="3" width="62.09765625" style="1" customWidth="1"/>
    <col min="4" max="5" width="4.296875" style="1" customWidth="1"/>
    <col min="6" max="6" width="14.296875" style="1" customWidth="1"/>
    <col min="7" max="7" width="73.296875" style="1" bestFit="1" customWidth="1"/>
    <col min="8" max="10" width="11.3984375" style="1"/>
    <col min="11" max="11" width="12.59765625" style="1" customWidth="1"/>
    <col min="12" max="16384" width="11.398437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55000000000000004">
      <c r="A2" s="4"/>
      <c r="B2" s="273" t="s">
        <v>53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45" customHeight="1" x14ac:dyDescent="0.3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3" customHeight="1" x14ac:dyDescent="0.3">
      <c r="A8" s="105">
        <v>1</v>
      </c>
      <c r="B8" s="61">
        <v>0</v>
      </c>
      <c r="C8" s="49" t="s">
        <v>58</v>
      </c>
      <c r="D8" s="23"/>
      <c r="E8" s="105">
        <v>4</v>
      </c>
      <c r="F8" s="61">
        <v>1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3" customHeight="1" x14ac:dyDescent="0.3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3" customHeight="1" x14ac:dyDescent="0.3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.05" customHeight="1" x14ac:dyDescent="0.3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.05" customHeight="1" x14ac:dyDescent="0.3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55</v>
      </c>
      <c r="C15" s="4"/>
      <c r="D15" s="23"/>
      <c r="E15" s="4"/>
      <c r="F15" s="4"/>
      <c r="G15" s="2" t="s">
        <v>67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984375" defaultRowHeight="14.4" x14ac:dyDescent="0.3"/>
  <cols>
    <col min="1" max="1" width="6.8984375" style="4" bestFit="1" customWidth="1"/>
    <col min="2" max="4" width="11.3984375" style="4"/>
    <col min="5" max="5" width="9.59765625" style="4" customWidth="1"/>
    <col min="6" max="7" width="11.3984375" style="4"/>
    <col min="8" max="8" width="10.69921875" style="4" customWidth="1"/>
    <col min="9" max="9" width="9.3984375" style="4" customWidth="1"/>
    <col min="10" max="11" width="10.59765625" style="4" bestFit="1" customWidth="1"/>
    <col min="12" max="12" width="14" style="4" bestFit="1" customWidth="1"/>
    <col min="13" max="13" width="14" style="4" customWidth="1"/>
    <col min="14" max="23" width="11.3984375" style="4"/>
    <col min="24" max="24" width="11.69921875" style="4" bestFit="1" customWidth="1"/>
    <col min="25" max="25" width="14.59765625" style="4" bestFit="1" customWidth="1"/>
    <col min="26" max="26" width="12.3984375" style="4" bestFit="1" customWidth="1"/>
    <col min="27" max="27" width="9.69921875" style="4" bestFit="1" customWidth="1"/>
    <col min="28" max="28" width="11" style="4" bestFit="1" customWidth="1"/>
    <col min="29" max="29" width="9.3984375" style="4" bestFit="1" customWidth="1"/>
    <col min="30" max="31" width="9.3984375" style="4" customWidth="1"/>
    <col min="32" max="32" width="11.3984375" style="4"/>
    <col min="33" max="34" width="14" style="4" bestFit="1" customWidth="1"/>
    <col min="35" max="35" width="10.59765625" style="4" bestFit="1" customWidth="1"/>
    <col min="36" max="36" width="9.3984375" style="4" bestFit="1" customWidth="1"/>
    <col min="37" max="38" width="10.59765625" style="4" bestFit="1" customWidth="1"/>
    <col min="39" max="41" width="10.59765625" style="4" customWidth="1"/>
    <col min="42" max="42" width="9" style="4" bestFit="1" customWidth="1"/>
    <col min="43" max="43" width="10.59765625" style="4" bestFit="1" customWidth="1"/>
    <col min="44" max="44" width="9.296875" style="4" bestFit="1" customWidth="1"/>
    <col min="45" max="45" width="11.69921875" style="4" bestFit="1" customWidth="1"/>
    <col min="46" max="46" width="8.3984375" style="4" bestFit="1" customWidth="1"/>
    <col min="47" max="47" width="9.3984375" style="4" bestFit="1" customWidth="1"/>
    <col min="48" max="48" width="9.69921875" style="4" bestFit="1" customWidth="1"/>
    <col min="49" max="49" width="11" style="4" bestFit="1" customWidth="1"/>
    <col min="50" max="50" width="9.3984375" style="4" bestFit="1" customWidth="1"/>
    <col min="51" max="52" width="9.3984375" style="4" customWidth="1"/>
    <col min="53" max="53" width="10.59765625" style="4" bestFit="1" customWidth="1"/>
    <col min="54" max="54" width="14.296875" style="4" customWidth="1"/>
    <col min="55" max="55" width="14" style="4" customWidth="1"/>
    <col min="56" max="56" width="10.59765625" style="4" bestFit="1" customWidth="1"/>
    <col min="57" max="57" width="9.3984375" style="4" bestFit="1" customWidth="1"/>
    <col min="58" max="59" width="10.59765625" style="4" bestFit="1" customWidth="1"/>
    <col min="60" max="62" width="10.59765625" style="4" customWidth="1"/>
    <col min="63" max="63" width="9" style="4" bestFit="1" customWidth="1"/>
    <col min="64" max="64" width="10.59765625" style="4" bestFit="1" customWidth="1"/>
    <col min="65" max="65" width="9.296875" style="4" bestFit="1" customWidth="1"/>
    <col min="66" max="66" width="11.69921875" style="4" bestFit="1" customWidth="1"/>
    <col min="67" max="67" width="8.3984375" style="4" bestFit="1" customWidth="1"/>
    <col min="68" max="68" width="9.3984375" style="4" bestFit="1" customWidth="1"/>
    <col min="69" max="69" width="9.69921875" style="4" bestFit="1" customWidth="1"/>
    <col min="70" max="70" width="11" style="4" bestFit="1" customWidth="1"/>
    <col min="71" max="71" width="9.3984375" style="4" bestFit="1" customWidth="1"/>
    <col min="72" max="73" width="9.3984375" style="4" customWidth="1"/>
    <col min="74" max="74" width="10.59765625" style="4" bestFit="1" customWidth="1"/>
    <col min="75" max="75" width="14" style="4" bestFit="1" customWidth="1"/>
    <col min="76" max="76" width="13.8984375" style="4" customWidth="1"/>
    <col min="77" max="77" width="10.59765625" style="4" bestFit="1" customWidth="1"/>
    <col min="78" max="78" width="9.3984375" style="4" bestFit="1" customWidth="1"/>
    <col min="79" max="80" width="10.59765625" style="4" bestFit="1" customWidth="1"/>
    <col min="81" max="83" width="10.59765625" style="4" customWidth="1"/>
    <col min="84" max="84" width="11.3984375" style="4"/>
    <col min="85" max="85" width="10.59765625" style="4" bestFit="1" customWidth="1"/>
    <col min="86" max="86" width="9.296875" style="4" bestFit="1" customWidth="1"/>
    <col min="87" max="87" width="11.69921875" style="4" bestFit="1" customWidth="1"/>
    <col min="88" max="88" width="8.3984375" style="4" bestFit="1" customWidth="1"/>
    <col min="89" max="89" width="9.3984375" style="4" bestFit="1" customWidth="1"/>
    <col min="90" max="90" width="9.69921875" style="4" bestFit="1" customWidth="1"/>
    <col min="91" max="91" width="11" style="4" bestFit="1" customWidth="1"/>
    <col min="92" max="92" width="9.3984375" style="4" bestFit="1" customWidth="1"/>
    <col min="93" max="94" width="9.3984375" style="4" customWidth="1"/>
    <col min="95" max="95" width="11.3984375" style="4"/>
    <col min="96" max="97" width="14" style="4" customWidth="1"/>
    <col min="98" max="98" width="10.59765625" style="4" bestFit="1" customWidth="1"/>
    <col min="99" max="99" width="9.3984375" style="4" bestFit="1" customWidth="1"/>
    <col min="100" max="101" width="10.59765625" style="4" bestFit="1" customWidth="1"/>
    <col min="102" max="104" width="10.59765625" style="4" customWidth="1"/>
    <col min="105" max="105" width="9" style="4" bestFit="1" customWidth="1"/>
    <col min="106" max="106" width="10.59765625" style="4" bestFit="1" customWidth="1"/>
    <col min="107" max="107" width="9.296875" style="4" bestFit="1" customWidth="1"/>
    <col min="108" max="108" width="11.69921875" style="4" bestFit="1" customWidth="1"/>
    <col min="109" max="109" width="8.3984375" style="4" bestFit="1" customWidth="1"/>
    <col min="110" max="110" width="9.3984375" style="4" bestFit="1" customWidth="1"/>
    <col min="111" max="111" width="9.69921875" style="4" bestFit="1" customWidth="1"/>
    <col min="112" max="112" width="11" style="4" bestFit="1" customWidth="1"/>
    <col min="113" max="113" width="9.3984375" style="4" bestFit="1" customWidth="1"/>
    <col min="114" max="115" width="9.3984375" style="4" customWidth="1"/>
    <col min="116" max="116" width="10.59765625" style="4" bestFit="1" customWidth="1"/>
    <col min="117" max="117" width="14.296875" style="4" customWidth="1"/>
    <col min="118" max="118" width="14" style="4" bestFit="1" customWidth="1"/>
    <col min="119" max="119" width="10.59765625" style="4" bestFit="1" customWidth="1"/>
    <col min="120" max="120" width="9.3984375" style="4" bestFit="1" customWidth="1"/>
    <col min="121" max="122" width="10.59765625" style="4" bestFit="1" customWidth="1"/>
    <col min="123" max="125" width="10.59765625" style="4" customWidth="1"/>
    <col min="126" max="126" width="9" style="4" bestFit="1" customWidth="1"/>
    <col min="127" max="127" width="10.59765625" style="4" bestFit="1" customWidth="1"/>
    <col min="128" max="128" width="9.296875" style="4" bestFit="1" customWidth="1"/>
    <col min="129" max="129" width="11.69921875" style="4" bestFit="1" customWidth="1"/>
    <col min="130" max="130" width="8.3984375" style="4" bestFit="1" customWidth="1"/>
    <col min="131" max="131" width="9.3984375" style="4" bestFit="1" customWidth="1"/>
    <col min="132" max="132" width="9.69921875" style="4" bestFit="1" customWidth="1"/>
    <col min="133" max="133" width="11" style="4" bestFit="1" customWidth="1"/>
    <col min="134" max="134" width="9.3984375" style="4" bestFit="1" customWidth="1"/>
    <col min="135" max="136" width="9.3984375" style="4" customWidth="1"/>
    <col min="137" max="137" width="10.59765625" style="4" bestFit="1" customWidth="1"/>
    <col min="138" max="139" width="14" style="4" customWidth="1"/>
    <col min="140" max="140" width="10.59765625" style="4" bestFit="1" customWidth="1"/>
    <col min="141" max="141" width="9.3984375" style="4" bestFit="1" customWidth="1"/>
    <col min="142" max="143" width="10.59765625" style="4" bestFit="1" customWidth="1"/>
    <col min="144" max="146" width="10.59765625" style="4" customWidth="1"/>
    <col min="147" max="147" width="9" style="4" bestFit="1" customWidth="1"/>
    <col min="148" max="148" width="10.59765625" style="4" bestFit="1" customWidth="1"/>
    <col min="149" max="149" width="9.296875" style="4" bestFit="1" customWidth="1"/>
    <col min="150" max="150" width="11.69921875" style="4" bestFit="1" customWidth="1"/>
    <col min="151" max="151" width="8.3984375" style="4" bestFit="1" customWidth="1"/>
    <col min="152" max="152" width="9.3984375" style="4" bestFit="1" customWidth="1"/>
    <col min="153" max="153" width="9.69921875" style="4" bestFit="1" customWidth="1"/>
    <col min="154" max="154" width="11" style="4" bestFit="1" customWidth="1"/>
    <col min="155" max="155" width="9.3984375" style="4" bestFit="1" customWidth="1"/>
    <col min="156" max="157" width="9.3984375" style="4" customWidth="1"/>
    <col min="158" max="158" width="11.3984375" style="4"/>
    <col min="159" max="160" width="14" style="4" bestFit="1" customWidth="1"/>
    <col min="161" max="161" width="10.59765625" style="4" bestFit="1" customWidth="1"/>
    <col min="162" max="162" width="9.3984375" style="4" bestFit="1" customWidth="1"/>
    <col min="163" max="164" width="10.59765625" style="4" bestFit="1" customWidth="1"/>
    <col min="165" max="167" width="10.59765625" style="4" customWidth="1"/>
    <col min="168" max="168" width="9" style="4" bestFit="1" customWidth="1"/>
    <col min="169" max="169" width="10.59765625" style="4" bestFit="1" customWidth="1"/>
    <col min="170" max="170" width="9.296875" style="4" bestFit="1" customWidth="1"/>
    <col min="171" max="171" width="11.69921875" style="4" bestFit="1" customWidth="1"/>
    <col min="172" max="172" width="8.09765625" style="4" bestFit="1" customWidth="1"/>
    <col min="173" max="173" width="9.3984375" style="4" bestFit="1" customWidth="1"/>
    <col min="174" max="174" width="9.69921875" style="4" bestFit="1" customWidth="1"/>
    <col min="175" max="175" width="11" style="4" bestFit="1" customWidth="1"/>
    <col min="176" max="176" width="9.3984375" style="4" bestFit="1" customWidth="1"/>
    <col min="177" max="178" width="9.3984375" style="4" customWidth="1"/>
    <col min="179" max="179" width="10.59765625" style="4" bestFit="1" customWidth="1"/>
    <col min="180" max="181" width="14" style="4" bestFit="1" customWidth="1"/>
    <col min="182" max="182" width="10.59765625" style="4" bestFit="1" customWidth="1"/>
    <col min="183" max="183" width="9.3984375" style="4" bestFit="1" customWidth="1"/>
    <col min="184" max="185" width="10.59765625" style="4" bestFit="1" customWidth="1"/>
    <col min="186" max="188" width="10.59765625" style="4" customWidth="1"/>
    <col min="189" max="189" width="9" style="4" bestFit="1" customWidth="1"/>
    <col min="190" max="190" width="10.59765625" style="4" bestFit="1" customWidth="1"/>
    <col min="191" max="191" width="9.296875" style="4" bestFit="1" customWidth="1"/>
    <col min="192" max="192" width="11.3984375" style="4"/>
    <col min="193" max="193" width="8.3984375" style="4" bestFit="1" customWidth="1"/>
    <col min="194" max="194" width="9.3984375" style="4" bestFit="1" customWidth="1"/>
    <col min="195" max="195" width="9.69921875" style="4" bestFit="1" customWidth="1"/>
    <col min="196" max="196" width="11" style="4" bestFit="1" customWidth="1"/>
    <col min="197" max="197" width="9.3984375" style="4" bestFit="1" customWidth="1"/>
    <col min="198" max="199" width="9.3984375" style="4" customWidth="1"/>
    <col min="200" max="200" width="10.59765625" style="4" bestFit="1" customWidth="1"/>
    <col min="201" max="201" width="14" style="4" customWidth="1"/>
    <col min="202" max="202" width="14.296875" style="4" customWidth="1"/>
    <col min="203" max="203" width="10.59765625" style="4" bestFit="1" customWidth="1"/>
    <col min="204" max="204" width="9.3984375" style="4" bestFit="1" customWidth="1"/>
    <col min="205" max="206" width="10.59765625" style="4" bestFit="1" customWidth="1"/>
    <col min="207" max="209" width="10.59765625" style="4" customWidth="1"/>
    <col min="210" max="210" width="9" style="4" bestFit="1" customWidth="1"/>
    <col min="211" max="211" width="10.59765625" style="4" bestFit="1" customWidth="1"/>
    <col min="212" max="212" width="9.296875" style="4" bestFit="1" customWidth="1"/>
    <col min="213" max="213" width="11.69921875" style="4" bestFit="1" customWidth="1"/>
    <col min="214" max="214" width="8.3984375" style="4" bestFit="1" customWidth="1"/>
    <col min="215" max="215" width="9.3984375" style="4" bestFit="1" customWidth="1"/>
    <col min="216" max="216" width="9.69921875" style="4" bestFit="1" customWidth="1"/>
    <col min="217" max="217" width="11" style="4" bestFit="1" customWidth="1"/>
    <col min="218" max="218" width="9.3984375" style="4" bestFit="1" customWidth="1"/>
    <col min="219" max="16384" width="11.3984375" style="4"/>
  </cols>
  <sheetData>
    <row r="1" spans="1:218" ht="26.5" thickBot="1" x14ac:dyDescent="0.55000000000000004">
      <c r="B1" s="279" t="s">
        <v>71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laricio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Pin maritime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Chêne pubescent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Chêne chevelu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278.21846622758881</v>
      </c>
      <c r="T3" s="59">
        <f>IF('Données projet'!E9&gt;30,$R$33-$H$33,LOOKUP('Données projet'!$E$9,$A$3:$A$203,R3:R203)-LOOKUP('Données projet'!$E$9,$A$3:$A$203,$H$3:$H$203))</f>
        <v>245.37578316242906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261.13725557061468</v>
      </c>
      <c r="AO3" s="59">
        <f>IF('Données projet'!E10&gt;30,$AM$33-$H$33,LOOKUP('Données projet'!$E$10,$A$3:$A$203,AM3:AM203)-LOOKUP('Données projet'!$E$10,$A$3:$A$203,$H$3:$H$203))</f>
        <v>328.18986868293558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250.31277422753283</v>
      </c>
      <c r="BJ3" s="59">
        <f>IF('Données projet'!E11&gt;30,$BH$33-$H$33,LOOKUP('Données projet'!$E$11,$A$3:$A$203,BH3:BH203)-LOOKUP('Données projet'!$E$11,$A$3:$A$203,$H$3:$H$203))</f>
        <v>159.20429420478047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322.93502595881938</v>
      </c>
      <c r="CE3" s="59">
        <f>IF('Données projet'!E12&gt;30,$CC$33-$H$33,LOOKUP('Données projet'!$E$12,$A$3:$A$203,CC3:CC203)-LOOKUP('Données projet'!$E$12,$A$3:$A$203,$H$3:$H$203))</f>
        <v>302.67072119588164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6.7360323886639675</v>
      </c>
      <c r="N4" s="13">
        <f>IF('Données projet'!$A$36&gt;35,N3+M4-V3,IF(A4&lt;'Données projet'!$A$36,$K$205^A4,IF(A4='Données projet'!$A$36,'Données projet'!$B$36,N3+M4-V3)))</f>
        <v>1.2909310311160476</v>
      </c>
      <c r="O4" s="13">
        <f>N4*VLOOKUP('Données projet'!$B$9,Paramètres!$A$1:$I$89,3,0)*VLOOKUP('Données projet'!$B$9,Paramètres!$A$1:$I$89,5,0)</f>
        <v>0.77197675660739651</v>
      </c>
      <c r="P4" s="13">
        <f>EXP(-1.0587+0.8836*LN(O4)+0.284)</f>
        <v>0.36663942027891244</v>
      </c>
      <c r="Q4" s="20">
        <f t="shared" ref="Q4:Q34" si="2">(O4+P4)*0.475*44/12</f>
        <v>1.9830898414103215</v>
      </c>
      <c r="R4" s="59">
        <f t="shared" si="0"/>
        <v>295.31642317474365</v>
      </c>
      <c r="S4" s="59">
        <f ca="1">AVERAGE(OFFSET($R$3,0,0,'Données projet'!$E$9+1,1))-AVERAGE(OFFSET($H$3,0,0,'Données projet'!$E$9+1,1))</f>
        <v>278.21846622758881</v>
      </c>
      <c r="T4" s="59">
        <f>$T$3</f>
        <v>245.37578316242906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9.4117948717948714</v>
      </c>
      <c r="AI4" s="13">
        <f>IF('Données projet'!$A$62&gt;35,AI3+AH4-AQ3,IF(A4&lt;'Données projet'!$A$62,$AF$205^A4,IF(A4='Données projet'!$A$62,'Données projet'!$B$62,AI3+AH4-AQ3)))</f>
        <v>1.3909694153327172</v>
      </c>
      <c r="AJ4" s="13">
        <f>AI4*VLOOKUP('Données projet'!$B$10,Paramètres!$A$1:$I$89,3,0)*VLOOKUP('Données projet'!$B$10,Paramètres!$A$1:$I$89,5,0)</f>
        <v>0.83179971036896505</v>
      </c>
      <c r="AK4" s="13">
        <f>EXP(-1.0587+0.8836*LN(AJ4)+0.284)</f>
        <v>0.39163423183147406</v>
      </c>
      <c r="AL4" s="20">
        <f t="shared" ref="AL4:AL67" si="4">(AJ4+AK4)*0.475*44/12</f>
        <v>2.1308141159990979</v>
      </c>
      <c r="AM4" s="59">
        <f t="shared" ref="AM4:AM67" si="5">AL4+(AD4+AE4)*44/12</f>
        <v>295.46414744933242</v>
      </c>
      <c r="AN4" s="59">
        <f ca="1">AVERAGE(OFFSET($AM$3,0,0,'Données projet'!$E$10+1,1))-AVERAGE(OFFSET($H$3,0,0,'Données projet'!$E$10+1,1))</f>
        <v>261.13725557061468</v>
      </c>
      <c r="AO4" s="59">
        <f>$AO$3</f>
        <v>328.18986868293558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2.9235042735042733</v>
      </c>
      <c r="BD4" s="12">
        <f>IF('Données projet'!$A$88&gt;35,BD3+BC4-BL3,IF(A4&lt;'Données projet'!$A$88,$BA$205^A4,IF(A4='Données projet'!$A$88,'Données projet'!$B$88,BD3+BC4-BL3)))</f>
        <v>1.1608269964373037</v>
      </c>
      <c r="BE4" s="13">
        <f>BD4*VLOOKUP('Données projet'!$B$11,Paramètres!$A$1:$I$89,3,0)*VLOOKUP('Données projet'!$B$11,Paramètres!$A$1:$I$89,5,0)</f>
        <v>1.1770785743874259</v>
      </c>
      <c r="BF4" s="13">
        <f>EXP(-1.0587+0.8836*LN(BE4)+0.284)</f>
        <v>0.53225011573313319</v>
      </c>
      <c r="BG4" s="20">
        <f t="shared" ref="BG4:BG67" si="7">(BE4+BF4)*0.475*44/12</f>
        <v>2.9770808019599735</v>
      </c>
      <c r="BH4" s="59">
        <f t="shared" ref="BH4:BH67" si="8">BG4+(AY4+AZ4)*44/12</f>
        <v>296.31041413529329</v>
      </c>
      <c r="BI4" s="59">
        <f ca="1">AVERAGE(OFFSET($BH$3,0,0,'Données projet'!$E$11+1,1))-AVERAGE(OFFSET($H$3,0,0,'Données projet'!$E$11+1,1))</f>
        <v>250.31277422753283</v>
      </c>
      <c r="BJ4" s="59">
        <f>$BJ$3</f>
        <v>159.20429420478047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2.9</v>
      </c>
      <c r="BY4" s="12">
        <f>IF('Données projet'!$A$114&gt;35,BY3+BX4-CG3,IF(A4&lt;'Données projet'!$A$114,$BV$205^A4,IF(A4='Données projet'!$A$114,'Données projet'!$B$114,BY3+BX4-CG3)))</f>
        <v>1.4003603312913959</v>
      </c>
      <c r="BZ4" s="13">
        <f>BY4*VLOOKUP('Données projet'!$B$12,Paramètres!$A$1:$I$89,3,0)*VLOOKUP('Données projet'!$B$12,Paramètres!$A$1:$I$89,5,0)</f>
        <v>1.4636566182657671</v>
      </c>
      <c r="CA4" s="13">
        <f>EXP(-1.0587+0.8836*LN(BZ4)+0.284)</f>
        <v>0.64525910695655797</v>
      </c>
      <c r="CB4" s="20">
        <f t="shared" ref="CB4:CB67" si="10">(BZ4+CA4)*0.475*44/12</f>
        <v>3.6730282214288827</v>
      </c>
      <c r="CC4" s="59">
        <f t="shared" ref="CC4:CC67" si="11">CB4+(BT4+BU4)*44/12</f>
        <v>297.00636155476218</v>
      </c>
      <c r="CD4" s="59">
        <f ca="1">AVERAGE(OFFSET($CC$3,0,0,'Données projet'!$E$12+1,1))-AVERAGE(OFFSET($H$3,0,0,'Données projet'!$E$12+1,1))</f>
        <v>322.93502595881938</v>
      </c>
      <c r="CE4" s="59">
        <f>$CE$3</f>
        <v>302.67072119588164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6.7360323886639675</v>
      </c>
      <c r="N5" s="13">
        <f>IF('Données projet'!$A$36&gt;35,N4+M5-V4,IF(A5&lt;'Données projet'!$A$36,$K$205^A5,IF(A5='Données projet'!$A$36,'Données projet'!$B$36,N4+M5-V4)))</f>
        <v>1.6665029270983418</v>
      </c>
      <c r="O5" s="13">
        <f>N5*VLOOKUP('Données projet'!$B$9,Paramètres!$A$1:$I$89,3,0)*VLOOKUP('Données projet'!$B$9,Paramètres!$A$1:$I$89,5,0)</f>
        <v>0.99656875040480852</v>
      </c>
      <c r="P5" s="13">
        <f t="shared" ref="P5:P68" si="33">EXP(-1.0587+0.8836*LN(O5)+0.284)</f>
        <v>0.45944452864607926</v>
      </c>
      <c r="Q5" s="20">
        <f t="shared" si="2"/>
        <v>2.5358897943469625</v>
      </c>
      <c r="R5" s="59">
        <f t="shared" si="0"/>
        <v>295.8692231276803</v>
      </c>
      <c r="S5" s="59">
        <f ca="1">AVERAGE(OFFSET($R$3,0,0,'Données projet'!$E$9+1,1))-AVERAGE(OFFSET($H$3,0,0,'Données projet'!$E$9+1,1))</f>
        <v>278.21846622758881</v>
      </c>
      <c r="T5" s="59">
        <f t="shared" ref="T5:T68" si="34">$T$3</f>
        <v>245.37578316242906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9.4117948717948714</v>
      </c>
      <c r="AI5" s="13">
        <f>IF('Données projet'!$A$62&gt;35,AI4+AH5-AQ4,IF(A5&lt;'Données projet'!$A$62,$AF$205^A5,IF(A5='Données projet'!$A$62,'Données projet'!$B$62,AI4+AH5-AQ4)))</f>
        <v>1.9347959143910411</v>
      </c>
      <c r="AJ5" s="13">
        <f>AI5*VLOOKUP('Données projet'!$B$10,Paramètres!$A$1:$I$89,3,0)*VLOOKUP('Données projet'!$B$10,Paramètres!$A$1:$I$89,5,0)</f>
        <v>1.1570079568058427</v>
      </c>
      <c r="AK5" s="13">
        <f t="shared" ref="AK5:AK68" si="35">EXP(-1.0587+0.8836*LN(AJ5)+0.284)</f>
        <v>0.52422298600197004</v>
      </c>
      <c r="AL5" s="20">
        <f t="shared" si="4"/>
        <v>2.9281438920569403</v>
      </c>
      <c r="AM5" s="59">
        <f t="shared" si="5"/>
        <v>296.26147722539025</v>
      </c>
      <c r="AN5" s="59">
        <f ca="1">AVERAGE(OFFSET($AM$3,0,0,'Données projet'!$E$10+1,1))-AVERAGE(OFFSET($H$3,0,0,'Données projet'!$E$10+1,1))</f>
        <v>261.13725557061468</v>
      </c>
      <c r="AO5" s="59">
        <f t="shared" ref="AO5:AO68" si="36">$AO$3</f>
        <v>328.18986868293558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2.9235042735042733</v>
      </c>
      <c r="BD5" s="12">
        <f>IF('Données projet'!$A$88&gt;35,BD4+BC5-BL4,IF(A5&lt;'Données projet'!$A$88,$BA$205^A5,IF(A5='Données projet'!$A$88,'Données projet'!$B$88,BD4+BC5-BL4)))</f>
        <v>1.3475193156576519</v>
      </c>
      <c r="BE5" s="13">
        <f>BD5*VLOOKUP('Données projet'!$B$11,Paramètres!$A$1:$I$89,3,0)*VLOOKUP('Données projet'!$B$11,Paramètres!$A$1:$I$89,5,0)</f>
        <v>1.3663845860768591</v>
      </c>
      <c r="BF5" s="13">
        <f t="shared" ref="BF5:BF68" si="37">EXP(-1.0587+0.8836*LN(BE5)+0.284)</f>
        <v>0.60721756676800354</v>
      </c>
      <c r="BG5" s="20">
        <f t="shared" si="7"/>
        <v>3.4373570828714688</v>
      </c>
      <c r="BH5" s="59">
        <f t="shared" si="8"/>
        <v>296.77069041620479</v>
      </c>
      <c r="BI5" s="59">
        <f ca="1">AVERAGE(OFFSET($BH$3,0,0,'Données projet'!$E$11+1,1))-AVERAGE(OFFSET($H$3,0,0,'Données projet'!$E$11+1,1))</f>
        <v>250.31277422753283</v>
      </c>
      <c r="BJ5" s="59">
        <f t="shared" ref="BJ5:BJ68" si="38">$BJ$3</f>
        <v>159.20429420478047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2.9</v>
      </c>
      <c r="BY5" s="12">
        <f>IF('Données projet'!$A$114&gt;35,BY4+BX5-CG4,IF(A5&lt;'Données projet'!$A$114,$BV$205^A5,IF(A5='Données projet'!$A$114,'Données projet'!$B$114,BY4+BX5-CG4)))</f>
        <v>1.9610090574545482</v>
      </c>
      <c r="BZ5" s="13">
        <f>BY5*VLOOKUP('Données projet'!$B$12,Paramètres!$A$1:$I$89,3,0)*VLOOKUP('Données projet'!$B$12,Paramètres!$A$1:$I$89,5,0)</f>
        <v>2.0496466668514941</v>
      </c>
      <c r="CA5" s="13">
        <f t="shared" ref="CA5:CA68" si="39">EXP(-1.0587+0.8836*LN(BZ5)+0.284)</f>
        <v>0.86886365296461709</v>
      </c>
      <c r="CB5" s="20">
        <f t="shared" si="10"/>
        <v>5.0830721403463937</v>
      </c>
      <c r="CC5" s="59">
        <f t="shared" si="11"/>
        <v>298.41640547367973</v>
      </c>
      <c r="CD5" s="59">
        <f ca="1">AVERAGE(OFFSET($CC$3,0,0,'Données projet'!$E$12+1,1))-AVERAGE(OFFSET($H$3,0,0,'Données projet'!$E$12+1,1))</f>
        <v>322.93502595881938</v>
      </c>
      <c r="CE5" s="59">
        <f t="shared" ref="CE5:CE68" si="40">$CE$3</f>
        <v>302.67072119588164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6.7360323886639675</v>
      </c>
      <c r="N6" s="13">
        <f>IF('Données projet'!$A$36&gt;35,N5+M6-V5,IF(A6&lt;'Données projet'!$A$36,$K$205^A6,IF(A6='Données projet'!$A$36,'Données projet'!$B$36,N5+M6-V5)))</f>
        <v>2.1513403420369737</v>
      </c>
      <c r="O6" s="13">
        <f>N6*VLOOKUP('Données projet'!$B$9,Paramètres!$A$1:$I$89,3,0)*VLOOKUP('Données projet'!$B$9,Paramètres!$A$1:$I$89,5,0)</f>
        <v>1.2865015245381104</v>
      </c>
      <c r="P6" s="13">
        <f t="shared" si="33"/>
        <v>0.57574080480008571</v>
      </c>
      <c r="Q6" s="20">
        <f t="shared" si="2"/>
        <v>3.2434053902640243</v>
      </c>
      <c r="R6" s="59">
        <f t="shared" si="0"/>
        <v>296.57673872359732</v>
      </c>
      <c r="S6" s="59">
        <f ca="1">AVERAGE(OFFSET($R$3,0,0,'Données projet'!$E$9+1,1))-AVERAGE(OFFSET($H$3,0,0,'Données projet'!$E$9+1,1))</f>
        <v>278.21846622758881</v>
      </c>
      <c r="T6" s="59">
        <f t="shared" si="34"/>
        <v>245.37578316242906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9.4117948717948714</v>
      </c>
      <c r="AI6" s="13">
        <f>IF('Données projet'!$A$62&gt;35,AI5+AH6-AQ5,IF(A6&lt;'Données projet'!$A$62,$AF$205^A6,IF(A6='Données projet'!$A$62,'Données projet'!$B$62,AI5+AH6-AQ5)))</f>
        <v>2.6912419418286366</v>
      </c>
      <c r="AJ6" s="13">
        <f>AI6*VLOOKUP('Données projet'!$B$10,Paramètres!$A$1:$I$89,3,0)*VLOOKUP('Données projet'!$B$10,Paramètres!$A$1:$I$89,5,0)</f>
        <v>1.6093626812135247</v>
      </c>
      <c r="AK6" s="13">
        <f t="shared" si="35"/>
        <v>0.70169999636568137</v>
      </c>
      <c r="AL6" s="20">
        <f t="shared" si="4"/>
        <v>4.0251008301171156</v>
      </c>
      <c r="AM6" s="59">
        <f t="shared" si="5"/>
        <v>297.35843416345045</v>
      </c>
      <c r="AN6" s="59">
        <f ca="1">AVERAGE(OFFSET($AM$3,0,0,'Données projet'!$E$10+1,1))-AVERAGE(OFFSET($H$3,0,0,'Données projet'!$E$10+1,1))</f>
        <v>261.13725557061468</v>
      </c>
      <c r="AO6" s="59">
        <f t="shared" si="36"/>
        <v>328.18986868293558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2.9235042735042733</v>
      </c>
      <c r="BD6" s="12">
        <f>IF('Données projet'!$A$88&gt;35,BD5+BC6-BL5,IF(A6&lt;'Données projet'!$A$88,$BA$205^A6,IF(A6='Données projet'!$A$88,'Données projet'!$B$88,BD5+BC6-BL5)))</f>
        <v>1.5642367998361231</v>
      </c>
      <c r="BE6" s="13">
        <f>BD6*VLOOKUP('Données projet'!$B$11,Paramètres!$A$1:$I$89,3,0)*VLOOKUP('Données projet'!$B$11,Paramètres!$A$1:$I$89,5,0)</f>
        <v>1.5861361150338289</v>
      </c>
      <c r="BF6" s="13">
        <f t="shared" si="37"/>
        <v>0.69274418641277524</v>
      </c>
      <c r="BG6" s="20">
        <f t="shared" si="7"/>
        <v>3.969049858352836</v>
      </c>
      <c r="BH6" s="59">
        <f t="shared" si="8"/>
        <v>297.30238319168615</v>
      </c>
      <c r="BI6" s="59">
        <f ca="1">AVERAGE(OFFSET($BH$3,0,0,'Données projet'!$E$11+1,1))-AVERAGE(OFFSET($H$3,0,0,'Données projet'!$E$11+1,1))</f>
        <v>250.31277422753283</v>
      </c>
      <c r="BJ6" s="59">
        <f t="shared" si="38"/>
        <v>159.20429420478047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2.9</v>
      </c>
      <c r="BY6" s="12">
        <f>IF('Données projet'!$A$114&gt;35,BY5+BX6-CG5,IF(A6&lt;'Données projet'!$A$114,$BV$205^A6,IF(A6='Données projet'!$A$114,'Données projet'!$B$114,BY5+BX6-CG5)))</f>
        <v>2.7461192933624794</v>
      </c>
      <c r="BZ6" s="13">
        <f>BY6*VLOOKUP('Données projet'!$B$12,Paramètres!$A$1:$I$89,3,0)*VLOOKUP('Données projet'!$B$12,Paramètres!$A$1:$I$89,5,0)</f>
        <v>2.8702438854224637</v>
      </c>
      <c r="CA6" s="13">
        <f t="shared" si="39"/>
        <v>1.1699548899103622</v>
      </c>
      <c r="CB6" s="20">
        <f t="shared" si="10"/>
        <v>7.036679533704671</v>
      </c>
      <c r="CC6" s="59">
        <f t="shared" si="11"/>
        <v>300.37001286703799</v>
      </c>
      <c r="CD6" s="59">
        <f ca="1">AVERAGE(OFFSET($CC$3,0,0,'Données projet'!$E$12+1,1))-AVERAGE(OFFSET($H$3,0,0,'Données projet'!$E$12+1,1))</f>
        <v>322.93502595881938</v>
      </c>
      <c r="CE6" s="59">
        <f t="shared" si="40"/>
        <v>302.67072119588164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6.7360323886639675</v>
      </c>
      <c r="N7" s="13">
        <f>IF('Données projet'!$A$36&gt;35,N6+M7-V6,IF(A7&lt;'Données projet'!$A$36,$K$205^A7,IF(A7='Données projet'!$A$36,'Données projet'!$B$36,N6+M7-V6)))</f>
        <v>2.777232006027341</v>
      </c>
      <c r="O7" s="13">
        <f>N7*VLOOKUP('Données projet'!$B$9,Paramètres!$A$1:$I$89,3,0)*VLOOKUP('Données projet'!$B$9,Paramètres!$A$1:$I$89,5,0)</f>
        <v>1.66078473960435</v>
      </c>
      <c r="P7" s="13">
        <f t="shared" si="33"/>
        <v>0.7214744188785307</v>
      </c>
      <c r="Q7" s="20">
        <f t="shared" si="2"/>
        <v>4.1491013676910162</v>
      </c>
      <c r="R7" s="59">
        <f t="shared" si="0"/>
        <v>297.48243470102432</v>
      </c>
      <c r="S7" s="59">
        <f ca="1">AVERAGE(OFFSET($R$3,0,0,'Données projet'!$E$9+1,1))-AVERAGE(OFFSET($H$3,0,0,'Données projet'!$E$9+1,1))</f>
        <v>278.21846622758881</v>
      </c>
      <c r="T7" s="59">
        <f t="shared" si="34"/>
        <v>245.37578316242906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9.4117948717948714</v>
      </c>
      <c r="AI7" s="13">
        <f>IF('Données projet'!$A$62&gt;35,AI6+AH7-AQ6,IF(A7&lt;'Données projet'!$A$62,$AF$205^A7,IF(A7='Données projet'!$A$62,'Données projet'!$B$62,AI6+AH7-AQ6)))</f>
        <v>3.7434352303442648</v>
      </c>
      <c r="AJ7" s="13">
        <f>AI7*VLOOKUP('Données projet'!$B$10,Paramètres!$A$1:$I$89,3,0)*VLOOKUP('Données projet'!$B$10,Paramètres!$A$1:$I$89,5,0)</f>
        <v>2.2385742677458706</v>
      </c>
      <c r="AK7" s="13">
        <f t="shared" si="35"/>
        <v>0.93926229495351976</v>
      </c>
      <c r="AL7" s="20">
        <f t="shared" si="4"/>
        <v>5.5347320133681039</v>
      </c>
      <c r="AM7" s="59">
        <f t="shared" si="5"/>
        <v>298.86806534670143</v>
      </c>
      <c r="AN7" s="59">
        <f ca="1">AVERAGE(OFFSET($AM$3,0,0,'Données projet'!$E$10+1,1))-AVERAGE(OFFSET($H$3,0,0,'Données projet'!$E$10+1,1))</f>
        <v>261.13725557061468</v>
      </c>
      <c r="AO7" s="59">
        <f t="shared" si="36"/>
        <v>328.18986868293558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2.9235042735042733</v>
      </c>
      <c r="BD7" s="12">
        <f>IF('Données projet'!$A$88&gt;35,BD6+BC7-BL6,IF(A7&lt;'Données projet'!$A$88,$BA$205^A7,IF(A7='Données projet'!$A$88,'Données projet'!$B$88,BD6+BC7-BL6)))</f>
        <v>1.8158083060704666</v>
      </c>
      <c r="BE7" s="13">
        <f>BD7*VLOOKUP('Données projet'!$B$11,Paramètres!$A$1:$I$89,3,0)*VLOOKUP('Données projet'!$B$11,Paramètres!$A$1:$I$89,5,0)</f>
        <v>1.8412296223554532</v>
      </c>
      <c r="BF7" s="13">
        <f t="shared" si="37"/>
        <v>0.7903172340072443</v>
      </c>
      <c r="BG7" s="20">
        <f t="shared" si="7"/>
        <v>4.5832774414983648</v>
      </c>
      <c r="BH7" s="59">
        <f t="shared" si="8"/>
        <v>297.91661077483167</v>
      </c>
      <c r="BI7" s="59">
        <f ca="1">AVERAGE(OFFSET($BH$3,0,0,'Données projet'!$E$11+1,1))-AVERAGE(OFFSET($H$3,0,0,'Données projet'!$E$11+1,1))</f>
        <v>250.31277422753283</v>
      </c>
      <c r="BJ7" s="59">
        <f t="shared" si="38"/>
        <v>159.20429420478047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2.9</v>
      </c>
      <c r="BY7" s="12">
        <f>IF('Données projet'!$A$114&gt;35,BY6+BX7-CG6,IF(A7&lt;'Données projet'!$A$114,$BV$205^A7,IF(A7='Données projet'!$A$114,'Données projet'!$B$114,BY6+BX7-CG6)))</f>
        <v>3.8455565234187756</v>
      </c>
      <c r="BZ7" s="13">
        <f>BY7*VLOOKUP('Données projet'!$B$12,Paramètres!$A$1:$I$89,3,0)*VLOOKUP('Données projet'!$B$12,Paramètres!$A$1:$I$89,5,0)</f>
        <v>4.0193756782773047</v>
      </c>
      <c r="CA7" s="13">
        <f t="shared" si="39"/>
        <v>1.5753846299758951</v>
      </c>
      <c r="CB7" s="20">
        <f t="shared" si="10"/>
        <v>9.7442075368743222</v>
      </c>
      <c r="CC7" s="59">
        <f t="shared" si="11"/>
        <v>303.07754087020766</v>
      </c>
      <c r="CD7" s="59">
        <f ca="1">AVERAGE(OFFSET($CC$3,0,0,'Données projet'!$E$12+1,1))-AVERAGE(OFFSET($H$3,0,0,'Données projet'!$E$12+1,1))</f>
        <v>322.93502595881938</v>
      </c>
      <c r="CE7" s="59">
        <f t="shared" si="40"/>
        <v>302.67072119588164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6.7360323886639675</v>
      </c>
      <c r="N8" s="13">
        <f>IF('Données projet'!$A$36&gt;35,N7+M8-V7,IF(A8&lt;'Données projet'!$A$36,$K$205^A8,IF(A8='Données projet'!$A$36,'Données projet'!$B$36,N7+M8-V7)))</f>
        <v>3.5852149771893647</v>
      </c>
      <c r="O8" s="13">
        <f>N8*VLOOKUP('Données projet'!$B$9,Paramètres!$A$1:$I$89,3,0)*VLOOKUP('Données projet'!$B$9,Paramètres!$A$1:$I$89,5,0)</f>
        <v>2.1439585563592405</v>
      </c>
      <c r="P8" s="13">
        <f t="shared" si="33"/>
        <v>0.90409665730893507</v>
      </c>
      <c r="Q8" s="20">
        <f t="shared" si="2"/>
        <v>5.3086961638054051</v>
      </c>
      <c r="R8" s="59">
        <f t="shared" si="0"/>
        <v>298.64202949713871</v>
      </c>
      <c r="S8" s="59">
        <f ca="1">AVERAGE(OFFSET($R$3,0,0,'Données projet'!$E$9+1,1))-AVERAGE(OFFSET($H$3,0,0,'Données projet'!$E$9+1,1))</f>
        <v>278.21846622758881</v>
      </c>
      <c r="T8" s="59">
        <f t="shared" si="34"/>
        <v>245.37578316242906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9.4117948717948714</v>
      </c>
      <c r="AI8" s="13">
        <f>IF('Données projet'!$A$62&gt;35,AI7+AH8-AQ7,IF(A8&lt;'Données projet'!$A$62,$AF$205^A8,IF(A8='Données projet'!$A$62,'Données projet'!$B$62,AI7+AH8-AQ7)))</f>
        <v>5.2070039136878581</v>
      </c>
      <c r="AJ8" s="13">
        <f>AI8*VLOOKUP('Données projet'!$B$10,Paramètres!$A$1:$I$89,3,0)*VLOOKUP('Données projet'!$B$10,Paramètres!$A$1:$I$89,5,0)</f>
        <v>3.1137883403853395</v>
      </c>
      <c r="AK8" s="13">
        <f t="shared" si="35"/>
        <v>1.2572519072119237</v>
      </c>
      <c r="AL8" s="20">
        <f t="shared" si="4"/>
        <v>7.6128950978985666</v>
      </c>
      <c r="AM8" s="59">
        <f t="shared" si="5"/>
        <v>300.94622843123187</v>
      </c>
      <c r="AN8" s="59">
        <f ca="1">AVERAGE(OFFSET($AM$3,0,0,'Données projet'!$E$10+1,1))-AVERAGE(OFFSET($H$3,0,0,'Données projet'!$E$10+1,1))</f>
        <v>261.13725557061468</v>
      </c>
      <c r="AO8" s="59">
        <f t="shared" si="36"/>
        <v>328.18986868293558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2.9235042735042733</v>
      </c>
      <c r="BD8" s="12">
        <f>IF('Données projet'!$A$88&gt;35,BD7+BC8-BL7,IF(A8&lt;'Données projet'!$A$88,$BA$205^A8,IF(A8='Données projet'!$A$88,'Données projet'!$B$88,BD7+BC8-BL7)))</f>
        <v>2.1078393020416879</v>
      </c>
      <c r="BE8" s="13">
        <f>BD8*VLOOKUP('Données projet'!$B$11,Paramètres!$A$1:$I$89,3,0)*VLOOKUP('Données projet'!$B$11,Paramètres!$A$1:$I$89,5,0)</f>
        <v>2.1373490522702716</v>
      </c>
      <c r="BF8" s="13">
        <f t="shared" si="37"/>
        <v>0.90163344943134527</v>
      </c>
      <c r="BG8" s="20">
        <f t="shared" si="7"/>
        <v>5.2928945237969822</v>
      </c>
      <c r="BH8" s="59">
        <f t="shared" si="8"/>
        <v>298.62622785713029</v>
      </c>
      <c r="BI8" s="59">
        <f ca="1">AVERAGE(OFFSET($BH$3,0,0,'Données projet'!$E$11+1,1))-AVERAGE(OFFSET($H$3,0,0,'Données projet'!$E$11+1,1))</f>
        <v>250.31277422753283</v>
      </c>
      <c r="BJ8" s="59">
        <f t="shared" si="38"/>
        <v>159.20429420478047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2.9</v>
      </c>
      <c r="BY8" s="12">
        <f>IF('Données projet'!$A$114&gt;35,BY7+BX8-CG7,IF(A8&lt;'Données projet'!$A$114,$BV$205^A8,IF(A8='Données projet'!$A$114,'Données projet'!$B$114,BY7+BX8-CG7)))</f>
        <v>5.3851648071345055</v>
      </c>
      <c r="BZ8" s="13">
        <f>BY8*VLOOKUP('Données projet'!$B$12,Paramètres!$A$1:$I$89,3,0)*VLOOKUP('Données projet'!$B$12,Paramètres!$A$1:$I$89,5,0)</f>
        <v>5.6285742564169858</v>
      </c>
      <c r="CA8" s="13">
        <f t="shared" si="39"/>
        <v>2.1213097648187431</v>
      </c>
      <c r="CB8" s="20">
        <f t="shared" si="10"/>
        <v>13.497714670318894</v>
      </c>
      <c r="CC8" s="59">
        <f t="shared" si="11"/>
        <v>306.8310480036522</v>
      </c>
      <c r="CD8" s="59">
        <f ca="1">AVERAGE(OFFSET($CC$3,0,0,'Données projet'!$E$12+1,1))-AVERAGE(OFFSET($H$3,0,0,'Données projet'!$E$12+1,1))</f>
        <v>322.93502595881938</v>
      </c>
      <c r="CE8" s="59">
        <f t="shared" si="40"/>
        <v>302.67072119588164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6.7360323886639675</v>
      </c>
      <c r="N9" s="13">
        <f>IF('Données projet'!$A$36&gt;35,N8+M9-V8,IF(A9&lt;'Données projet'!$A$36,$K$205^A9,IF(A9='Données projet'!$A$36,'Données projet'!$B$36,N8+M9-V8)))</f>
        <v>4.6282652672757632</v>
      </c>
      <c r="O9" s="13">
        <f>N9*VLOOKUP('Données projet'!$B$9,Paramètres!$A$1:$I$89,3,0)*VLOOKUP('Données projet'!$B$9,Paramètres!$A$1:$I$89,5,0)</f>
        <v>2.7677026298309064</v>
      </c>
      <c r="P9" s="13">
        <f t="shared" si="33"/>
        <v>1.1329449033380179</v>
      </c>
      <c r="Q9" s="20">
        <f t="shared" si="2"/>
        <v>6.7936277869358754</v>
      </c>
      <c r="R9" s="59">
        <f t="shared" si="0"/>
        <v>300.12696112026919</v>
      </c>
      <c r="S9" s="59">
        <f ca="1">AVERAGE(OFFSET($R$3,0,0,'Données projet'!$E$9+1,1))-AVERAGE(OFFSET($H$3,0,0,'Données projet'!$E$9+1,1))</f>
        <v>278.21846622758881</v>
      </c>
      <c r="T9" s="59">
        <f t="shared" si="34"/>
        <v>245.37578316242906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9.4117948717948714</v>
      </c>
      <c r="AI9" s="13">
        <f>IF('Données projet'!$A$62&gt;35,AI8+AH9-AQ8,IF(A9&lt;'Données projet'!$A$62,$AF$205^A9,IF(A9='Données projet'!$A$62,'Données projet'!$B$62,AI8+AH9-AQ8)))</f>
        <v>7.2427831894575698</v>
      </c>
      <c r="AJ9" s="13">
        <f>AI9*VLOOKUP('Données projet'!$B$10,Paramètres!$A$1:$I$89,3,0)*VLOOKUP('Données projet'!$B$10,Paramètres!$A$1:$I$89,5,0)</f>
        <v>4.3311843472956273</v>
      </c>
      <c r="AK9" s="13">
        <f t="shared" si="35"/>
        <v>1.6828977024636564</v>
      </c>
      <c r="AL9" s="20">
        <f t="shared" si="4"/>
        <v>10.474526236664085</v>
      </c>
      <c r="AM9" s="59">
        <f t="shared" si="5"/>
        <v>303.80785956999739</v>
      </c>
      <c r="AN9" s="59">
        <f ca="1">AVERAGE(OFFSET($AM$3,0,0,'Données projet'!$E$10+1,1))-AVERAGE(OFFSET($H$3,0,0,'Données projet'!$E$10+1,1))</f>
        <v>261.13725557061468</v>
      </c>
      <c r="AO9" s="59">
        <f t="shared" si="36"/>
        <v>328.18986868293558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2.9235042735042733</v>
      </c>
      <c r="BD9" s="12">
        <f>IF('Données projet'!$A$88&gt;35,BD8+BC9-BL8,IF(A9&lt;'Données projet'!$A$88,$BA$205^A9,IF(A9='Données projet'!$A$88,'Données projet'!$B$88,BD8+BC9-BL8)))</f>
        <v>2.4468367659615553</v>
      </c>
      <c r="BE9" s="13">
        <f>BD9*VLOOKUP('Données projet'!$B$11,Paramètres!$A$1:$I$89,3,0)*VLOOKUP('Données projet'!$B$11,Paramètres!$A$1:$I$89,5,0)</f>
        <v>2.4810924806850174</v>
      </c>
      <c r="BF9" s="13">
        <f t="shared" si="37"/>
        <v>1.0286285584479797</v>
      </c>
      <c r="BG9" s="20">
        <f t="shared" si="7"/>
        <v>6.1127641431566362</v>
      </c>
      <c r="BH9" s="59">
        <f t="shared" si="8"/>
        <v>299.44609747648997</v>
      </c>
      <c r="BI9" s="59">
        <f ca="1">AVERAGE(OFFSET($BH$3,0,0,'Données projet'!$E$11+1,1))-AVERAGE(OFFSET($H$3,0,0,'Données projet'!$E$11+1,1))</f>
        <v>250.31277422753283</v>
      </c>
      <c r="BJ9" s="59">
        <f t="shared" si="38"/>
        <v>159.20429420478047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2.9</v>
      </c>
      <c r="BY9" s="12">
        <f>IF('Données projet'!$A$114&gt;35,BY8+BX9-CG8,IF(A9&lt;'Données projet'!$A$114,$BV$205^A9,IF(A9='Données projet'!$A$114,'Données projet'!$B$114,BY8+BX9-CG8)))</f>
        <v>7.5411711733776423</v>
      </c>
      <c r="BZ9" s="13">
        <f>BY9*VLOOKUP('Données projet'!$B$12,Paramètres!$A$1:$I$89,3,0)*VLOOKUP('Données projet'!$B$12,Paramètres!$A$1:$I$89,5,0)</f>
        <v>7.882032110414313</v>
      </c>
      <c r="CA9" s="13">
        <f t="shared" si="39"/>
        <v>2.8564167966931366</v>
      </c>
      <c r="CB9" s="20">
        <f t="shared" si="10"/>
        <v>18.702798513212141</v>
      </c>
      <c r="CC9" s="59">
        <f t="shared" si="11"/>
        <v>312.03613184654546</v>
      </c>
      <c r="CD9" s="59">
        <f ca="1">AVERAGE(OFFSET($CC$3,0,0,'Données projet'!$E$12+1,1))-AVERAGE(OFFSET($H$3,0,0,'Données projet'!$E$12+1,1))</f>
        <v>322.93502595881938</v>
      </c>
      <c r="CE9" s="59">
        <f t="shared" si="40"/>
        <v>302.67072119588164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6.7360323886639675</v>
      </c>
      <c r="N10" s="13">
        <f>IF('Données projet'!$A$36&gt;35,N9+M10-V9,IF(A10&lt;'Données projet'!$A$36,$K$205^A10,IF(A10='Données projet'!$A$36,'Données projet'!$B$36,N9+M10-V9)))</f>
        <v>5.9747712537628903</v>
      </c>
      <c r="O10" s="13">
        <f>N10*VLOOKUP('Données projet'!$B$9,Paramètres!$A$1:$I$89,3,0)*VLOOKUP('Données projet'!$B$9,Paramètres!$A$1:$I$89,5,0)</f>
        <v>3.5729132097502085</v>
      </c>
      <c r="P10" s="13">
        <f t="shared" si="33"/>
        <v>1.4197200527431988</v>
      </c>
      <c r="Q10" s="20">
        <f t="shared" si="2"/>
        <v>8.6955029321760176</v>
      </c>
      <c r="R10" s="59">
        <f t="shared" si="0"/>
        <v>302.02883626550931</v>
      </c>
      <c r="S10" s="59">
        <f ca="1">AVERAGE(OFFSET($R$3,0,0,'Données projet'!$E$9+1,1))-AVERAGE(OFFSET($H$3,0,0,'Données projet'!$E$9+1,1))</f>
        <v>278.21846622758881</v>
      </c>
      <c r="T10" s="59">
        <f t="shared" si="34"/>
        <v>245.37578316242906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9.4117948717948714</v>
      </c>
      <c r="AI10" s="13">
        <f>IF('Données projet'!$A$62&gt;35,AI9+AH10-AQ9,IF(A10&lt;'Données projet'!$A$62,$AF$205^A10,IF(A10='Données projet'!$A$62,'Données projet'!$B$62,AI9+AH10-AQ9)))</f>
        <v>10.07448989842143</v>
      </c>
      <c r="AJ10" s="13">
        <f>AI10*VLOOKUP('Données projet'!$B$10,Paramètres!$A$1:$I$89,3,0)*VLOOKUP('Données projet'!$B$10,Paramètres!$A$1:$I$89,5,0)</f>
        <v>6.0245449592560147</v>
      </c>
      <c r="AK10" s="13">
        <f t="shared" si="35"/>
        <v>2.2526469522229675</v>
      </c>
      <c r="AL10" s="20">
        <f t="shared" si="4"/>
        <v>14.416109245825893</v>
      </c>
      <c r="AM10" s="59">
        <f t="shared" si="5"/>
        <v>307.74944257915922</v>
      </c>
      <c r="AN10" s="59">
        <f ca="1">AVERAGE(OFFSET($AM$3,0,0,'Données projet'!$E$10+1,1))-AVERAGE(OFFSET($H$3,0,0,'Données projet'!$E$10+1,1))</f>
        <v>261.13725557061468</v>
      </c>
      <c r="AO10" s="59">
        <f t="shared" si="36"/>
        <v>328.18986868293558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2.9235042735042733</v>
      </c>
      <c r="BD10" s="12">
        <f>IF('Données projet'!$A$88&gt;35,BD9+BC10-BL9,IF(A10&lt;'Données projet'!$A$88,$BA$205^A10,IF(A10='Données projet'!$A$88,'Données projet'!$B$88,BD9+BC10-BL9)))</f>
        <v>2.8403541738035183</v>
      </c>
      <c r="BE10" s="13">
        <f>BD10*VLOOKUP('Données projet'!$B$11,Paramètres!$A$1:$I$89,3,0)*VLOOKUP('Données projet'!$B$11,Paramètres!$A$1:$I$89,5,0)</f>
        <v>2.8801191322367679</v>
      </c>
      <c r="BF10" s="13">
        <f t="shared" si="37"/>
        <v>1.1735109338746152</v>
      </c>
      <c r="BG10" s="20">
        <f t="shared" si="7"/>
        <v>7.0600723651439914</v>
      </c>
      <c r="BH10" s="59">
        <f t="shared" si="8"/>
        <v>300.3934056984773</v>
      </c>
      <c r="BI10" s="59">
        <f ca="1">AVERAGE(OFFSET($BH$3,0,0,'Données projet'!$E$11+1,1))-AVERAGE(OFFSET($H$3,0,0,'Données projet'!$E$11+1,1))</f>
        <v>250.31277422753283</v>
      </c>
      <c r="BJ10" s="59">
        <f t="shared" si="38"/>
        <v>159.20429420478047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2.9</v>
      </c>
      <c r="BY10" s="12">
        <f>IF('Données projet'!$A$114&gt;35,BY9+BX10-CG9,IF(A10&lt;'Données projet'!$A$114,$BV$205^A10,IF(A10='Données projet'!$A$114,'Données projet'!$B$114,BY9+BX10-CG9)))</f>
        <v>10.560356962676241</v>
      </c>
      <c r="BZ10" s="13">
        <f>BY10*VLOOKUP('Données projet'!$B$12,Paramètres!$A$1:$I$89,3,0)*VLOOKUP('Données projet'!$B$12,Paramètres!$A$1:$I$89,5,0)</f>
        <v>11.037685097389209</v>
      </c>
      <c r="CA10" s="13">
        <f t="shared" si="39"/>
        <v>3.8462637808711757</v>
      </c>
      <c r="CB10" s="20">
        <f t="shared" si="10"/>
        <v>25.92287762963684</v>
      </c>
      <c r="CC10" s="59">
        <f t="shared" si="11"/>
        <v>319.25621096297016</v>
      </c>
      <c r="CD10" s="59">
        <f ca="1">AVERAGE(OFFSET($CC$3,0,0,'Données projet'!$E$12+1,1))-AVERAGE(OFFSET($H$3,0,0,'Données projet'!$E$12+1,1))</f>
        <v>322.93502595881938</v>
      </c>
      <c r="CE10" s="59">
        <f t="shared" si="40"/>
        <v>302.67072119588164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6.7360323886639675</v>
      </c>
      <c r="N11" s="13">
        <f>IF('Données projet'!$A$36&gt;35,N10+M11-V10,IF(A11&lt;'Données projet'!$A$36,$K$205^A11,IF(A11='Données projet'!$A$36,'Données projet'!$B$36,N10+M11-V10)))</f>
        <v>7.7130176153026486</v>
      </c>
      <c r="O11" s="13">
        <f>N11*VLOOKUP('Données projet'!$B$9,Paramètres!$A$1:$I$89,3,0)*VLOOKUP('Données projet'!$B$9,Paramètres!$A$1:$I$89,5,0)</f>
        <v>4.6123845339509844</v>
      </c>
      <c r="P11" s="13">
        <f t="shared" si="33"/>
        <v>1.7790847747516541</v>
      </c>
      <c r="Q11" s="20">
        <f t="shared" si="2"/>
        <v>11.131809045990428</v>
      </c>
      <c r="R11" s="59">
        <f t="shared" si="0"/>
        <v>304.46514237932377</v>
      </c>
      <c r="S11" s="59">
        <f ca="1">AVERAGE(OFFSET($R$3,0,0,'Données projet'!$E$9+1,1))-AVERAGE(OFFSET($H$3,0,0,'Données projet'!$E$9+1,1))</f>
        <v>278.21846622758881</v>
      </c>
      <c r="T11" s="59">
        <f t="shared" si="34"/>
        <v>245.37578316242906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9.4117948717948714</v>
      </c>
      <c r="AI11" s="13">
        <f>IF('Données projet'!$A$62&gt;35,AI10+AH11-AQ10,IF(A11&lt;'Données projet'!$A$62,$AF$205^A11,IF(A11='Données projet'!$A$62,'Données projet'!$B$62,AI10+AH11-AQ10)))</f>
        <v>14.01330732378262</v>
      </c>
      <c r="AJ11" s="13">
        <f>AI11*VLOOKUP('Données projet'!$B$10,Paramètres!$A$1:$I$89,3,0)*VLOOKUP('Données projet'!$B$10,Paramètres!$A$1:$I$89,5,0)</f>
        <v>8.3799577796220071</v>
      </c>
      <c r="AK11" s="13">
        <f t="shared" si="35"/>
        <v>3.0152862434423646</v>
      </c>
      <c r="AL11" s="20">
        <f t="shared" si="4"/>
        <v>19.846716673503781</v>
      </c>
      <c r="AM11" s="59">
        <f t="shared" si="5"/>
        <v>313.18005000683712</v>
      </c>
      <c r="AN11" s="59">
        <f ca="1">AVERAGE(OFFSET($AM$3,0,0,'Données projet'!$E$10+1,1))-AVERAGE(OFFSET($H$3,0,0,'Données projet'!$E$10+1,1))</f>
        <v>261.13725557061468</v>
      </c>
      <c r="AO11" s="59">
        <f t="shared" si="36"/>
        <v>328.18986868293558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2.9235042735042733</v>
      </c>
      <c r="BD11" s="12">
        <f>IF('Données projet'!$A$88&gt;35,BD10+BC11-BL10,IF(A11&lt;'Données projet'!$A$88,$BA$205^A11,IF(A11='Données projet'!$A$88,'Données projet'!$B$88,BD10+BC11-BL10)))</f>
        <v>3.2971598043944974</v>
      </c>
      <c r="BE11" s="13">
        <f>BD11*VLOOKUP('Données projet'!$B$11,Paramètres!$A$1:$I$89,3,0)*VLOOKUP('Données projet'!$B$11,Paramètres!$A$1:$I$89,5,0)</f>
        <v>3.3433200416560207</v>
      </c>
      <c r="BF11" s="13">
        <f t="shared" si="37"/>
        <v>1.3387999979323115</v>
      </c>
      <c r="BG11" s="20">
        <f t="shared" si="7"/>
        <v>8.1546924022830094</v>
      </c>
      <c r="BH11" s="59">
        <f t="shared" si="8"/>
        <v>301.4880257356163</v>
      </c>
      <c r="BI11" s="59">
        <f ca="1">AVERAGE(OFFSET($BH$3,0,0,'Données projet'!$E$11+1,1))-AVERAGE(OFFSET($H$3,0,0,'Données projet'!$E$11+1,1))</f>
        <v>250.31277422753283</v>
      </c>
      <c r="BJ11" s="59">
        <f t="shared" si="38"/>
        <v>159.20429420478047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2.9</v>
      </c>
      <c r="BY11" s="12">
        <f>IF('Données projet'!$A$114&gt;35,BY10+BX11-CG10,IF(A11&lt;'Données projet'!$A$114,$BV$205^A11,IF(A11='Données projet'!$A$114,'Données projet'!$B$114,BY10+BX11-CG10)))</f>
        <v>14.7883049748087</v>
      </c>
      <c r="BZ11" s="13">
        <f>BY11*VLOOKUP('Données projet'!$B$12,Paramètres!$A$1:$I$89,3,0)*VLOOKUP('Données projet'!$B$12,Paramètres!$A$1:$I$89,5,0)</f>
        <v>15.456736359670055</v>
      </c>
      <c r="CA11" s="13">
        <f t="shared" si="39"/>
        <v>5.1791269009368985</v>
      </c>
      <c r="CB11" s="20">
        <f t="shared" si="10"/>
        <v>35.940795178890447</v>
      </c>
      <c r="CC11" s="59">
        <f t="shared" si="11"/>
        <v>329.27412851222374</v>
      </c>
      <c r="CD11" s="59">
        <f ca="1">AVERAGE(OFFSET($CC$3,0,0,'Données projet'!$E$12+1,1))-AVERAGE(OFFSET($H$3,0,0,'Données projet'!$E$12+1,1))</f>
        <v>322.93502595881938</v>
      </c>
      <c r="CE11" s="59">
        <f t="shared" si="40"/>
        <v>302.67072119588164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6.7360323886639675</v>
      </c>
      <c r="N12" s="13">
        <f>IF('Données projet'!$A$36&gt;35,N11+M12-V11,IF(A12&lt;'Données projet'!$A$36,$K$205^A12,IF(A12='Données projet'!$A$36,'Données projet'!$B$36,N11+M12-V11)))</f>
        <v>9.9569737831388867</v>
      </c>
      <c r="O12" s="13">
        <f>N12*VLOOKUP('Données projet'!$B$9,Paramètres!$A$1:$I$89,3,0)*VLOOKUP('Données projet'!$B$9,Paramètres!$A$1:$I$89,5,0)</f>
        <v>5.9542703223170541</v>
      </c>
      <c r="P12" s="13">
        <f t="shared" si="33"/>
        <v>2.2294132069469743</v>
      </c>
      <c r="Q12" s="20">
        <f t="shared" si="2"/>
        <v>14.253248813468183</v>
      </c>
      <c r="R12" s="59">
        <f t="shared" si="0"/>
        <v>307.5865821468015</v>
      </c>
      <c r="S12" s="59">
        <f ca="1">AVERAGE(OFFSET($R$3,0,0,'Données projet'!$E$9+1,1))-AVERAGE(OFFSET($H$3,0,0,'Données projet'!$E$9+1,1))</f>
        <v>278.21846622758881</v>
      </c>
      <c r="T12" s="59">
        <f t="shared" si="34"/>
        <v>245.37578316242906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9.4117948717948714</v>
      </c>
      <c r="AI12" s="13">
        <f>IF('Données projet'!$A$62&gt;35,AI11+AH12-AQ11,IF(A12&lt;'Données projet'!$A$62,$AF$205^A12,IF(A12='Données projet'!$A$62,'Données projet'!$B$62,AI11+AH12-AQ11)))</f>
        <v>19.492081895039593</v>
      </c>
      <c r="AJ12" s="13">
        <f>AI12*VLOOKUP('Données projet'!$B$10,Paramètres!$A$1:$I$89,3,0)*VLOOKUP('Données projet'!$B$10,Paramètres!$A$1:$I$89,5,0)</f>
        <v>11.656264973233679</v>
      </c>
      <c r="AK12" s="13">
        <f t="shared" si="35"/>
        <v>4.0361189847883647</v>
      </c>
      <c r="AL12" s="20">
        <f t="shared" si="4"/>
        <v>27.330902060221728</v>
      </c>
      <c r="AM12" s="59">
        <f t="shared" si="5"/>
        <v>320.66423539355503</v>
      </c>
      <c r="AN12" s="59">
        <f ca="1">AVERAGE(OFFSET($AM$3,0,0,'Données projet'!$E$10+1,1))-AVERAGE(OFFSET($H$3,0,0,'Données projet'!$E$10+1,1))</f>
        <v>261.13725557061468</v>
      </c>
      <c r="AO12" s="59">
        <f t="shared" si="36"/>
        <v>328.18986868293558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2.9235042735042733</v>
      </c>
      <c r="BD12" s="12">
        <f>IF('Données projet'!$A$88&gt;35,BD11+BC12-BL11,IF(A12&lt;'Données projet'!$A$88,$BA$205^A12,IF(A12='Données projet'!$A$88,'Données projet'!$B$88,BD11+BC12-BL11)))</f>
        <v>3.8274321125090722</v>
      </c>
      <c r="BE12" s="13">
        <f>BD12*VLOOKUP('Données projet'!$B$11,Paramètres!$A$1:$I$89,3,0)*VLOOKUP('Données projet'!$B$11,Paramètres!$A$1:$I$89,5,0)</f>
        <v>3.8810161620841996</v>
      </c>
      <c r="BF12" s="13">
        <f t="shared" si="37"/>
        <v>1.5273700335672085</v>
      </c>
      <c r="BG12" s="20">
        <f t="shared" si="7"/>
        <v>9.4196059574262012</v>
      </c>
      <c r="BH12" s="59">
        <f t="shared" si="8"/>
        <v>302.75293929075951</v>
      </c>
      <c r="BI12" s="59">
        <f ca="1">AVERAGE(OFFSET($BH$3,0,0,'Données projet'!$E$11+1,1))-AVERAGE(OFFSET($H$3,0,0,'Données projet'!$E$11+1,1))</f>
        <v>250.31277422753283</v>
      </c>
      <c r="BJ12" s="59">
        <f t="shared" si="38"/>
        <v>159.20429420478047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2.9</v>
      </c>
      <c r="BY12" s="12">
        <f>IF('Données projet'!$A$114&gt;35,BY11+BX12-CG11,IF(A12&lt;'Données projet'!$A$114,$BV$205^A12,IF(A12='Données projet'!$A$114,'Données projet'!$B$114,BY11+BX12-CG11)))</f>
        <v>20.708955653761308</v>
      </c>
      <c r="BZ12" s="13">
        <f>BY12*VLOOKUP('Données projet'!$B$12,Paramètres!$A$1:$I$89,3,0)*VLOOKUP('Données projet'!$B$12,Paramètres!$A$1:$I$89,5,0)</f>
        <v>21.645000449311322</v>
      </c>
      <c r="CA12" s="13">
        <f t="shared" si="39"/>
        <v>6.9738730841629319</v>
      </c>
      <c r="CB12" s="20">
        <f t="shared" si="10"/>
        <v>49.844538070800986</v>
      </c>
      <c r="CC12" s="59">
        <f t="shared" si="11"/>
        <v>343.17787140413429</v>
      </c>
      <c r="CD12" s="59">
        <f ca="1">AVERAGE(OFFSET($CC$3,0,0,'Données projet'!$E$12+1,1))-AVERAGE(OFFSET($H$3,0,0,'Données projet'!$E$12+1,1))</f>
        <v>322.93502595881938</v>
      </c>
      <c r="CE12" s="59">
        <f t="shared" si="40"/>
        <v>302.67072119588164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6.7360323886639675</v>
      </c>
      <c r="N13" s="13">
        <f>IF('Données projet'!$A$36&gt;35,N12+M13-V12,IF(A13&lt;'Données projet'!$A$36,$K$205^A13,IF(A13='Données projet'!$A$36,'Données projet'!$B$36,N12+M13-V12)))</f>
        <v>12.853766432662937</v>
      </c>
      <c r="O13" s="13">
        <f>N13*VLOOKUP('Données projet'!$B$9,Paramètres!$A$1:$I$89,3,0)*VLOOKUP('Données projet'!$B$9,Paramètres!$A$1:$I$89,5,0)</f>
        <v>7.6865523267324365</v>
      </c>
      <c r="P13" s="13">
        <f t="shared" si="33"/>
        <v>2.7937304156871372</v>
      </c>
      <c r="Q13" s="20">
        <f t="shared" si="2"/>
        <v>18.25315910971409</v>
      </c>
      <c r="R13" s="59">
        <f t="shared" si="0"/>
        <v>311.5864924430474</v>
      </c>
      <c r="S13" s="59">
        <f ca="1">AVERAGE(OFFSET($R$3,0,0,'Données projet'!$E$9+1,1))-AVERAGE(OFFSET($H$3,0,0,'Données projet'!$E$9+1,1))</f>
        <v>278.21846622758881</v>
      </c>
      <c r="T13" s="59">
        <f t="shared" si="34"/>
        <v>245.37578316242906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9.4117948717948714</v>
      </c>
      <c r="AI13" s="13">
        <f>IF('Données projet'!$A$62&gt;35,AI12+AH13-AQ12,IF(A13&lt;'Données projet'!$A$62,$AF$205^A13,IF(A13='Données projet'!$A$62,'Données projet'!$B$62,AI12+AH13-AQ12)))</f>
        <v>27.112889757160666</v>
      </c>
      <c r="AJ13" s="13">
        <f>AI13*VLOOKUP('Données projet'!$B$10,Paramètres!$A$1:$I$89,3,0)*VLOOKUP('Données projet'!$B$10,Paramètres!$A$1:$I$89,5,0)</f>
        <v>16.21350807478208</v>
      </c>
      <c r="AK13" s="13">
        <f t="shared" si="35"/>
        <v>5.4025572181735821</v>
      </c>
      <c r="AL13" s="20">
        <f t="shared" si="4"/>
        <v>37.647980385231108</v>
      </c>
      <c r="AM13" s="59">
        <f t="shared" si="5"/>
        <v>330.98131371856442</v>
      </c>
      <c r="AN13" s="59">
        <f ca="1">AVERAGE(OFFSET($AM$3,0,0,'Données projet'!$E$10+1,1))-AVERAGE(OFFSET($H$3,0,0,'Données projet'!$E$10+1,1))</f>
        <v>261.13725557061468</v>
      </c>
      <c r="AO13" s="59">
        <f t="shared" si="36"/>
        <v>328.18986868293558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2.9235042735042733</v>
      </c>
      <c r="BD13" s="12">
        <f>IF('Données projet'!$A$88&gt;35,BD12+BC13-BL12,IF(A13&lt;'Données projet'!$A$88,$BA$205^A13,IF(A13='Données projet'!$A$88,'Données projet'!$B$88,BD12+BC13-BL12)))</f>
        <v>4.4429865232315908</v>
      </c>
      <c r="BE13" s="13">
        <f>BD13*VLOOKUP('Données projet'!$B$11,Paramètres!$A$1:$I$89,3,0)*VLOOKUP('Données projet'!$B$11,Paramètres!$A$1:$I$89,5,0)</f>
        <v>4.5051883345568333</v>
      </c>
      <c r="BF13" s="13">
        <f t="shared" si="37"/>
        <v>1.7425001665984783</v>
      </c>
      <c r="BG13" s="20">
        <f t="shared" si="7"/>
        <v>10.881390806178834</v>
      </c>
      <c r="BH13" s="59">
        <f t="shared" si="8"/>
        <v>304.21472413951216</v>
      </c>
      <c r="BI13" s="59">
        <f ca="1">AVERAGE(OFFSET($BH$3,0,0,'Données projet'!$E$11+1,1))-AVERAGE(OFFSET($H$3,0,0,'Données projet'!$E$11+1,1))</f>
        <v>250.31277422753283</v>
      </c>
      <c r="BJ13" s="59">
        <f t="shared" si="38"/>
        <v>159.20429420478047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29</v>
      </c>
      <c r="BW13" s="12">
        <f>VLOOKUP(A13,'Données projet'!$A$113:$I$133,9,0)</f>
        <v>2.9</v>
      </c>
      <c r="BX13" s="12">
        <f t="array" ref="BX13">INDEX(BW:BW,MIN(IF(ISNUMBER(BW13:BW209),ROW(BW13:BW209),"")))</f>
        <v>2.9</v>
      </c>
      <c r="BY13" s="12">
        <f>IF('Données projet'!$A$114&gt;35,BY12+BX13-CG12,IF(A13&lt;'Données projet'!$A$114,$BV$205^A13,IF(A13='Données projet'!$A$114,'Données projet'!$B$114,BY12+BX13-CG12)))</f>
        <v>29</v>
      </c>
      <c r="BZ13" s="13">
        <f>BY13*VLOOKUP('Données projet'!$B$12,Paramètres!$A$1:$I$89,3,0)*VLOOKUP('Données projet'!$B$12,Paramètres!$A$1:$I$89,5,0)</f>
        <v>30.3108</v>
      </c>
      <c r="CA13" s="13">
        <f t="shared" si="39"/>
        <v>9.3905607497692607</v>
      </c>
      <c r="CB13" s="20">
        <f t="shared" si="10"/>
        <v>69.146536639181463</v>
      </c>
      <c r="CC13" s="59">
        <f t="shared" si="11"/>
        <v>362.47986997251479</v>
      </c>
      <c r="CD13" s="59">
        <f ca="1">AVERAGE(OFFSET($CC$3,0,0,'Données projet'!$E$12+1,1))-AVERAGE(OFFSET($H$3,0,0,'Données projet'!$E$12+1,1))</f>
        <v>322.93502595881938</v>
      </c>
      <c r="CE13" s="59">
        <f t="shared" si="40"/>
        <v>302.67072119588164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6.7360323886639675</v>
      </c>
      <c r="N14" s="13">
        <f>IF('Données projet'!$A$36&gt;35,N13+M14-V13,IF(A14&lt;'Données projet'!$A$36,$K$205^A14,IF(A14='Données projet'!$A$36,'Données projet'!$B$36,N13+M14-V13)))</f>
        <v>16.593325954642403</v>
      </c>
      <c r="O14" s="13">
        <f>N14*VLOOKUP('Données projet'!$B$9,Paramètres!$A$1:$I$89,3,0)*VLOOKUP('Données projet'!$B$9,Paramètres!$A$1:$I$89,5,0)</f>
        <v>9.9228089208761574</v>
      </c>
      <c r="P14" s="13">
        <f t="shared" si="33"/>
        <v>3.5008896561726774</v>
      </c>
      <c r="Q14" s="20">
        <f t="shared" si="2"/>
        <v>23.379608355026718</v>
      </c>
      <c r="R14" s="59">
        <f t="shared" si="0"/>
        <v>316.71294168836005</v>
      </c>
      <c r="S14" s="59">
        <f ca="1">AVERAGE(OFFSET($R$3,0,0,'Données projet'!$E$9+1,1))-AVERAGE(OFFSET($H$3,0,0,'Données projet'!$E$9+1,1))</f>
        <v>278.21846622758881</v>
      </c>
      <c r="T14" s="59">
        <f t="shared" si="34"/>
        <v>245.37578316242906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9.4117948717948714</v>
      </c>
      <c r="AI14" s="13">
        <f>IF('Données projet'!$A$62&gt;35,AI13+AH14-AQ13,IF(A14&lt;'Données projet'!$A$62,$AF$205^A14,IF(A14='Données projet'!$A$62,'Données projet'!$B$62,AI13+AH14-AQ13)))</f>
        <v>37.713200413498193</v>
      </c>
      <c r="AJ14" s="13">
        <f>AI14*VLOOKUP('Données projet'!$B$10,Paramètres!$A$1:$I$89,3,0)*VLOOKUP('Données projet'!$B$10,Paramètres!$A$1:$I$89,5,0)</f>
        <v>22.552493847271922</v>
      </c>
      <c r="AK14" s="13">
        <f t="shared" si="35"/>
        <v>7.2316065521467667</v>
      </c>
      <c r="AL14" s="20">
        <f t="shared" si="4"/>
        <v>51.873974862320885</v>
      </c>
      <c r="AM14" s="59">
        <f t="shared" si="5"/>
        <v>345.20730819565421</v>
      </c>
      <c r="AN14" s="59">
        <f ca="1">AVERAGE(OFFSET($AM$3,0,0,'Données projet'!$E$10+1,1))-AVERAGE(OFFSET($H$3,0,0,'Données projet'!$E$10+1,1))</f>
        <v>261.13725557061468</v>
      </c>
      <c r="AO14" s="59">
        <f t="shared" si="36"/>
        <v>328.18986868293558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2.9235042735042733</v>
      </c>
      <c r="BD14" s="12">
        <f>IF('Données projet'!$A$88&gt;35,BD13+BC14-BL13,IF(A14&lt;'Données projet'!$A$88,$BA$205^A14,IF(A14='Données projet'!$A$88,'Données projet'!$B$88,BD13+BC14-BL13)))</f>
        <v>5.1575387009743459</v>
      </c>
      <c r="BE14" s="13">
        <f>BD14*VLOOKUP('Données projet'!$B$11,Paramètres!$A$1:$I$89,3,0)*VLOOKUP('Données projet'!$B$11,Paramètres!$A$1:$I$89,5,0)</f>
        <v>5.2297442427879863</v>
      </c>
      <c r="BF14" s="13">
        <f t="shared" si="37"/>
        <v>1.9879313878539038</v>
      </c>
      <c r="BG14" s="20">
        <f t="shared" si="7"/>
        <v>12.570785056701292</v>
      </c>
      <c r="BH14" s="59">
        <f t="shared" si="8"/>
        <v>305.90411839003463</v>
      </c>
      <c r="BI14" s="59">
        <f ca="1">AVERAGE(OFFSET($BH$3,0,0,'Données projet'!$E$11+1,1))-AVERAGE(OFFSET($H$3,0,0,'Données projet'!$E$11+1,1))</f>
        <v>250.31277422753283</v>
      </c>
      <c r="BJ14" s="59">
        <f t="shared" si="38"/>
        <v>159.20429420478047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8.8000000000000007</v>
      </c>
      <c r="BY14" s="12">
        <f>IF('Données projet'!$A$114&gt;35,BY13+BX14-CG13,IF(A14&lt;'Données projet'!$A$114,$BV$205^A14,IF(A14='Données projet'!$A$114,'Données projet'!$B$114,BY13+BX14-CG13)))</f>
        <v>37.799999999999997</v>
      </c>
      <c r="BZ14" s="13">
        <f>BY14*VLOOKUP('Données projet'!$B$12,Paramètres!$A$1:$I$89,3,0)*VLOOKUP('Données projet'!$B$12,Paramètres!$A$1:$I$89,5,0)</f>
        <v>39.508560000000003</v>
      </c>
      <c r="CA14" s="13">
        <f t="shared" si="39"/>
        <v>11.868297112841578</v>
      </c>
      <c r="CB14" s="20">
        <f t="shared" si="10"/>
        <v>89.481359471532414</v>
      </c>
      <c r="CC14" s="59">
        <f t="shared" si="11"/>
        <v>382.81469280486573</v>
      </c>
      <c r="CD14" s="59">
        <f ca="1">AVERAGE(OFFSET($CC$3,0,0,'Données projet'!$E$12+1,1))-AVERAGE(OFFSET($H$3,0,0,'Données projet'!$E$12+1,1))</f>
        <v>322.93502595881938</v>
      </c>
      <c r="CE14" s="59">
        <f t="shared" si="40"/>
        <v>302.67072119588164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6.7360323886639675</v>
      </c>
      <c r="N15" s="13">
        <f>IF('Données projet'!$A$36&gt;35,N14+M15-V14,IF(A15&lt;'Données projet'!$A$36,$K$205^A15,IF(A15='Données projet'!$A$36,'Données projet'!$B$36,N14+M15-V14)))</f>
        <v>21.420839384271193</v>
      </c>
      <c r="O15" s="13">
        <f>N15*VLOOKUP('Données projet'!$B$9,Paramètres!$A$1:$I$89,3,0)*VLOOKUP('Données projet'!$B$9,Paramètres!$A$1:$I$89,5,0)</f>
        <v>12.809661951794174</v>
      </c>
      <c r="P15" s="13">
        <f t="shared" si="33"/>
        <v>4.3870476248805641</v>
      </c>
      <c r="Q15" s="20">
        <f t="shared" si="2"/>
        <v>29.950935846041833</v>
      </c>
      <c r="R15" s="59">
        <f t="shared" si="0"/>
        <v>323.28426917937514</v>
      </c>
      <c r="S15" s="59">
        <f ca="1">AVERAGE(OFFSET($R$3,0,0,'Données projet'!$E$9+1,1))-AVERAGE(OFFSET($H$3,0,0,'Données projet'!$E$9+1,1))</f>
        <v>278.21846622758881</v>
      </c>
      <c r="T15" s="59">
        <f t="shared" si="34"/>
        <v>245.37578316242906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9.4117948717948714</v>
      </c>
      <c r="AI15" s="13">
        <f>IF('Données projet'!$A$62&gt;35,AI14+AH15-AQ14,IF(A15&lt;'Données projet'!$A$62,$AF$205^A15,IF(A15='Données projet'!$A$62,'Données projet'!$B$62,AI14+AH15-AQ14)))</f>
        <v>52.457908329489165</v>
      </c>
      <c r="AJ15" s="13">
        <f>AI15*VLOOKUP('Données projet'!$B$10,Paramètres!$A$1:$I$89,3,0)*VLOOKUP('Données projet'!$B$10,Paramètres!$A$1:$I$89,5,0)</f>
        <v>31.369829181034525</v>
      </c>
      <c r="AK15" s="13">
        <f t="shared" si="35"/>
        <v>9.6798851383070676</v>
      </c>
      <c r="AL15" s="20">
        <f t="shared" si="4"/>
        <v>71.4949191061866</v>
      </c>
      <c r="AM15" s="59">
        <f t="shared" si="5"/>
        <v>364.82825243951993</v>
      </c>
      <c r="AN15" s="59">
        <f ca="1">AVERAGE(OFFSET($AM$3,0,0,'Données projet'!$E$10+1,1))-AVERAGE(OFFSET($H$3,0,0,'Données projet'!$E$10+1,1))</f>
        <v>261.13725557061468</v>
      </c>
      <c r="AO15" s="59">
        <f t="shared" si="36"/>
        <v>328.18986868293558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2.9235042735042733</v>
      </c>
      <c r="BD15" s="12">
        <f>IF('Données projet'!$A$88&gt;35,BD14+BC15-BL14,IF(A15&lt;'Données projet'!$A$88,$BA$205^A15,IF(A15='Données projet'!$A$88,'Données projet'!$B$88,BD14+BC15-BL14)))</f>
        <v>5.9870101592612031</v>
      </c>
      <c r="BE15" s="13">
        <f>BD15*VLOOKUP('Données projet'!$B$11,Paramètres!$A$1:$I$89,3,0)*VLOOKUP('Données projet'!$B$11,Paramètres!$A$1:$I$89,5,0)</f>
        <v>6.0708283014908604</v>
      </c>
      <c r="BF15" s="13">
        <f t="shared" si="37"/>
        <v>2.2679316068756354</v>
      </c>
      <c r="BG15" s="20">
        <f t="shared" si="7"/>
        <v>14.523340173738314</v>
      </c>
      <c r="BH15" s="59">
        <f t="shared" si="8"/>
        <v>307.8566735070716</v>
      </c>
      <c r="BI15" s="59">
        <f ca="1">AVERAGE(OFFSET($BH$3,0,0,'Données projet'!$E$11+1,1))-AVERAGE(OFFSET($H$3,0,0,'Données projet'!$E$11+1,1))</f>
        <v>250.31277422753283</v>
      </c>
      <c r="BJ15" s="59">
        <f t="shared" si="38"/>
        <v>159.20429420478047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8.8000000000000007</v>
      </c>
      <c r="BY15" s="12">
        <f>IF('Données projet'!$A$114&gt;35,BY14+BX15-CG14,IF(A15&lt;'Données projet'!$A$114,$BV$205^A15,IF(A15='Données projet'!$A$114,'Données projet'!$B$114,BY14+BX15-CG14)))</f>
        <v>46.599999999999994</v>
      </c>
      <c r="BZ15" s="13">
        <f>BY15*VLOOKUP('Données projet'!$B$12,Paramètres!$A$1:$I$89,3,0)*VLOOKUP('Données projet'!$B$12,Paramètres!$A$1:$I$89,5,0)</f>
        <v>48.706319999999998</v>
      </c>
      <c r="CA15" s="13">
        <f t="shared" si="39"/>
        <v>14.279153150480225</v>
      </c>
      <c r="CB15" s="20">
        <f t="shared" si="10"/>
        <v>109.69969907041973</v>
      </c>
      <c r="CC15" s="59">
        <f t="shared" si="11"/>
        <v>403.03303240375305</v>
      </c>
      <c r="CD15" s="59">
        <f ca="1">AVERAGE(OFFSET($CC$3,0,0,'Données projet'!$E$12+1,1))-AVERAGE(OFFSET($H$3,0,0,'Données projet'!$E$12+1,1))</f>
        <v>322.93502595881938</v>
      </c>
      <c r="CE15" s="59">
        <f t="shared" si="40"/>
        <v>302.67072119588164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6.7360323886639675</v>
      </c>
      <c r="N16" s="13">
        <f>IF('Données projet'!$A$36&gt;35,N15+M16-V15,IF(A16&lt;'Données projet'!$A$36,$K$205^A16,IF(A16='Données projet'!$A$36,'Données projet'!$B$36,N15+M16-V15)))</f>
        <v>27.652826273708452</v>
      </c>
      <c r="O16" s="13">
        <f>N16*VLOOKUP('Données projet'!$B$9,Paramètres!$A$1:$I$89,3,0)*VLOOKUP('Données projet'!$B$9,Paramètres!$A$1:$I$89,5,0)</f>
        <v>16.536390111677655</v>
      </c>
      <c r="P16" s="13">
        <f t="shared" si="33"/>
        <v>5.4975131332790896</v>
      </c>
      <c r="Q16" s="20">
        <f t="shared" si="2"/>
        <v>38.375714818299656</v>
      </c>
      <c r="R16" s="59">
        <f t="shared" si="0"/>
        <v>331.70904815163294</v>
      </c>
      <c r="S16" s="59">
        <f ca="1">AVERAGE(OFFSET($R$3,0,0,'Données projet'!$E$9+1,1))-AVERAGE(OFFSET($H$3,0,0,'Données projet'!$E$9+1,1))</f>
        <v>278.21846622758881</v>
      </c>
      <c r="T16" s="59">
        <f t="shared" si="34"/>
        <v>245.37578316242906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9.4117948717948714</v>
      </c>
      <c r="AI16" s="13">
        <f>IF('Données projet'!$A$62&gt;35,AI15+AH16-AQ15,IF(A16&lt;'Données projet'!$A$62,$AF$205^A16,IF(A16='Données projet'!$A$62,'Données projet'!$B$62,AI15+AH16-AQ15)))</f>
        <v>72.967346078646827</v>
      </c>
      <c r="AJ16" s="13">
        <f>AI16*VLOOKUP('Données projet'!$B$10,Paramètres!$A$1:$I$89,3,0)*VLOOKUP('Données projet'!$B$10,Paramètres!$A$1:$I$89,5,0)</f>
        <v>43.634472955030802</v>
      </c>
      <c r="AK16" s="13">
        <f t="shared" si="35"/>
        <v>12.957034597381723</v>
      </c>
      <c r="AL16" s="20">
        <f t="shared" si="4"/>
        <v>98.563542320451802</v>
      </c>
      <c r="AM16" s="59">
        <f t="shared" si="5"/>
        <v>391.89687565378512</v>
      </c>
      <c r="AN16" s="59">
        <f ca="1">AVERAGE(OFFSET($AM$3,0,0,'Données projet'!$E$10+1,1))-AVERAGE(OFFSET($H$3,0,0,'Données projet'!$E$10+1,1))</f>
        <v>261.13725557061468</v>
      </c>
      <c r="AO16" s="59">
        <f t="shared" si="36"/>
        <v>328.18986868293558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2.9235042735042733</v>
      </c>
      <c r="BD16" s="12">
        <f>IF('Données projet'!$A$88&gt;35,BD15+BC16-BL15,IF(A16&lt;'Données projet'!$A$88,$BA$205^A16,IF(A16='Données projet'!$A$88,'Données projet'!$B$88,BD15+BC16-BL15)))</f>
        <v>6.9498830208148057</v>
      </c>
      <c r="BE16" s="13">
        <f>BD16*VLOOKUP('Données projet'!$B$11,Paramètres!$A$1:$I$89,3,0)*VLOOKUP('Données projet'!$B$11,Paramètres!$A$1:$I$89,5,0)</f>
        <v>7.0471813831062136</v>
      </c>
      <c r="BF16" s="13">
        <f t="shared" si="37"/>
        <v>2.5873698684431186</v>
      </c>
      <c r="BG16" s="20">
        <f t="shared" si="7"/>
        <v>16.780176763115087</v>
      </c>
      <c r="BH16" s="59">
        <f t="shared" si="8"/>
        <v>310.11351009644841</v>
      </c>
      <c r="BI16" s="59">
        <f ca="1">AVERAGE(OFFSET($BH$3,0,0,'Données projet'!$E$11+1,1))-AVERAGE(OFFSET($H$3,0,0,'Données projet'!$E$11+1,1))</f>
        <v>250.31277422753283</v>
      </c>
      <c r="BJ16" s="59">
        <f t="shared" si="38"/>
        <v>159.20429420478047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8.8000000000000007</v>
      </c>
      <c r="BY16" s="12">
        <f>IF('Données projet'!$A$114&gt;35,BY15+BX16-CG15,IF(A16&lt;'Données projet'!$A$114,$BV$205^A16,IF(A16='Données projet'!$A$114,'Données projet'!$B$114,BY15+BX16-CG15)))</f>
        <v>55.399999999999991</v>
      </c>
      <c r="BZ16" s="13">
        <f>BY16*VLOOKUP('Données projet'!$B$12,Paramètres!$A$1:$I$89,3,0)*VLOOKUP('Données projet'!$B$12,Paramètres!$A$1:$I$89,5,0)</f>
        <v>57.904079999999993</v>
      </c>
      <c r="CA16" s="13">
        <f t="shared" si="39"/>
        <v>16.637263069387522</v>
      </c>
      <c r="CB16" s="20">
        <f t="shared" si="10"/>
        <v>129.82617251251659</v>
      </c>
      <c r="CC16" s="59">
        <f t="shared" si="11"/>
        <v>423.15950584584994</v>
      </c>
      <c r="CD16" s="59">
        <f ca="1">AVERAGE(OFFSET($CC$3,0,0,'Données projet'!$E$12+1,1))-AVERAGE(OFFSET($H$3,0,0,'Données projet'!$E$12+1,1))</f>
        <v>322.93502595881938</v>
      </c>
      <c r="CE16" s="59">
        <f t="shared" si="40"/>
        <v>302.67072119588164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6.7360323886639675</v>
      </c>
      <c r="N17" s="13">
        <f>IF('Données projet'!$A$36&gt;35,N16+M17-V16,IF(A17&lt;'Données projet'!$A$36,$K$205^A17,IF(A17='Données projet'!$A$36,'Données projet'!$B$36,N16+M17-V16)))</f>
        <v>35.697891534791381</v>
      </c>
      <c r="O17" s="13">
        <f>N17*VLOOKUP('Données projet'!$B$9,Paramètres!$A$1:$I$89,3,0)*VLOOKUP('Données projet'!$B$9,Paramètres!$A$1:$I$89,5,0)</f>
        <v>21.347339137805246</v>
      </c>
      <c r="P17" s="13">
        <f t="shared" si="33"/>
        <v>6.8890637245814856</v>
      </c>
      <c r="Q17" s="20">
        <f t="shared" si="2"/>
        <v>49.178401651990221</v>
      </c>
      <c r="R17" s="59">
        <f t="shared" si="0"/>
        <v>342.51173498532353</v>
      </c>
      <c r="S17" s="59">
        <f ca="1">AVERAGE(OFFSET($R$3,0,0,'Données projet'!$E$9+1,1))-AVERAGE(OFFSET($H$3,0,0,'Données projet'!$E$9+1,1))</f>
        <v>278.21846622758881</v>
      </c>
      <c r="T17" s="59">
        <f t="shared" si="34"/>
        <v>245.37578316242906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9.4117948717948714</v>
      </c>
      <c r="AI17" s="13">
        <f>IF('Données projet'!$A$62&gt;35,AI16+AH17-AQ16,IF(A17&lt;'Données projet'!$A$62,$AF$205^A17,IF(A17='Données projet'!$A$62,'Données projet'!$B$62,AI16+AH17-AQ16)))</f>
        <v>101.49534671339541</v>
      </c>
      <c r="AJ17" s="13">
        <f>AI17*VLOOKUP('Données projet'!$B$10,Paramètres!$A$1:$I$89,3,0)*VLOOKUP('Données projet'!$B$10,Paramètres!$A$1:$I$89,5,0)</f>
        <v>60.694217334610457</v>
      </c>
      <c r="AK17" s="13">
        <f t="shared" si="35"/>
        <v>17.343671248056637</v>
      </c>
      <c r="AL17" s="20">
        <f t="shared" si="4"/>
        <v>135.91598928147849</v>
      </c>
      <c r="AM17" s="59">
        <f t="shared" si="5"/>
        <v>429.24932261481183</v>
      </c>
      <c r="AN17" s="59">
        <f ca="1">AVERAGE(OFFSET($AM$3,0,0,'Données projet'!$E$10+1,1))-AVERAGE(OFFSET($H$3,0,0,'Données projet'!$E$10+1,1))</f>
        <v>261.13725557061468</v>
      </c>
      <c r="AO17" s="59">
        <f t="shared" si="36"/>
        <v>328.18986868293558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2.9235042735042733</v>
      </c>
      <c r="BD17" s="12">
        <f>IF('Données projet'!$A$88&gt;35,BD16+BC17-BL16,IF(A17&lt;'Données projet'!$A$88,$BA$205^A17,IF(A17='Données projet'!$A$88,'Données projet'!$B$88,BD16+BC17-BL16)))</f>
        <v>8.0676118326430668</v>
      </c>
      <c r="BE17" s="13">
        <f>BD17*VLOOKUP('Données projet'!$B$11,Paramètres!$A$1:$I$89,3,0)*VLOOKUP('Données projet'!$B$11,Paramètres!$A$1:$I$89,5,0)</f>
        <v>8.1805583983000698</v>
      </c>
      <c r="BF17" s="13">
        <f t="shared" si="37"/>
        <v>2.9518010224963804</v>
      </c>
      <c r="BG17" s="20">
        <f t="shared" si="7"/>
        <v>19.388859324553817</v>
      </c>
      <c r="BH17" s="59">
        <f t="shared" si="8"/>
        <v>312.72219265788715</v>
      </c>
      <c r="BI17" s="59">
        <f ca="1">AVERAGE(OFFSET($BH$3,0,0,'Données projet'!$E$11+1,1))-AVERAGE(OFFSET($H$3,0,0,'Données projet'!$E$11+1,1))</f>
        <v>250.31277422753283</v>
      </c>
      <c r="BJ17" s="59">
        <f t="shared" si="38"/>
        <v>159.20429420478047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8.8000000000000007</v>
      </c>
      <c r="BY17" s="12">
        <f>IF('Données projet'!$A$114&gt;35,BY16+BX17-CG16,IF(A17&lt;'Données projet'!$A$114,$BV$205^A17,IF(A17='Données projet'!$A$114,'Données projet'!$B$114,BY16+BX17-CG16)))</f>
        <v>64.199999999999989</v>
      </c>
      <c r="BZ17" s="13">
        <f>BY17*VLOOKUP('Données projet'!$B$12,Paramètres!$A$1:$I$89,3,0)*VLOOKUP('Données projet'!$B$12,Paramètres!$A$1:$I$89,5,0)</f>
        <v>67.101839999999996</v>
      </c>
      <c r="CA17" s="13">
        <f t="shared" si="39"/>
        <v>18.951980743561439</v>
      </c>
      <c r="CB17" s="20">
        <f t="shared" si="10"/>
        <v>149.87707112836947</v>
      </c>
      <c r="CC17" s="59">
        <f t="shared" si="11"/>
        <v>443.21040446170275</v>
      </c>
      <c r="CD17" s="59">
        <f ca="1">AVERAGE(OFFSET($CC$3,0,0,'Données projet'!$E$12+1,1))-AVERAGE(OFFSET($H$3,0,0,'Données projet'!$E$12+1,1))</f>
        <v>322.93502595881938</v>
      </c>
      <c r="CE17" s="59">
        <f t="shared" si="40"/>
        <v>302.67072119588164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6.7360323886639675</v>
      </c>
      <c r="N18" s="13">
        <f>IF('Données projet'!$A$36&gt;35,N17+M18-V17,IF(A18&lt;'Données projet'!$A$36,$K$205^A18,IF(A18='Données projet'!$A$36,'Données projet'!$B$36,N17+M18-V17)))</f>
        <v>46.083515927677063</v>
      </c>
      <c r="O18" s="13">
        <f>N18*VLOOKUP('Données projet'!$B$9,Paramètres!$A$1:$I$89,3,0)*VLOOKUP('Données projet'!$B$9,Paramètres!$A$1:$I$89,5,0)</f>
        <v>27.557942524750885</v>
      </c>
      <c r="P18" s="13">
        <f t="shared" si="33"/>
        <v>8.6328486809883493</v>
      </c>
      <c r="Q18" s="20">
        <f t="shared" si="2"/>
        <v>63.032294683329155</v>
      </c>
      <c r="R18" s="59">
        <f t="shared" si="0"/>
        <v>356.36562801666247</v>
      </c>
      <c r="S18" s="59">
        <f ca="1">AVERAGE(OFFSET($R$3,0,0,'Données projet'!$E$9+1,1))-AVERAGE(OFFSET($H$3,0,0,'Données projet'!$E$9+1,1))</f>
        <v>278.21846622758881</v>
      </c>
      <c r="T18" s="59">
        <f t="shared" si="34"/>
        <v>245.37578316242906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141.17692307692306</v>
      </c>
      <c r="AG18" s="12">
        <f>VLOOKUP(A18,'Données projet'!$A$61:$I$81,9,0)</f>
        <v>9.4117948717948714</v>
      </c>
      <c r="AH18" s="12">
        <f t="array" ref="AH18">INDEX(AG:AG,MIN(IF(ISNUMBER(AG18:AG214),ROW(AG18:AG214),"")))</f>
        <v>9.4117948717948714</v>
      </c>
      <c r="AI18" s="13">
        <f>IF('Données projet'!$A$62&gt;35,AI17+AH18-AQ17,IF(A18&lt;'Données projet'!$A$62,$AF$205^A18,IF(A18='Données projet'!$A$62,'Données projet'!$B$62,AI17+AH18-AQ17)))</f>
        <v>141.17692307692306</v>
      </c>
      <c r="AJ18" s="13">
        <f>AI18*VLOOKUP('Données projet'!$B$10,Paramètres!$A$1:$I$89,3,0)*VLOOKUP('Données projet'!$B$10,Paramètres!$A$1:$I$89,5,0)</f>
        <v>84.423799999999986</v>
      </c>
      <c r="AK18" s="13">
        <f t="shared" si="35"/>
        <v>23.215414769475935</v>
      </c>
      <c r="AL18" s="20">
        <f t="shared" si="4"/>
        <v>187.47163239017053</v>
      </c>
      <c r="AM18" s="59">
        <f t="shared" si="5"/>
        <v>480.80496572350387</v>
      </c>
      <c r="AN18" s="59">
        <f ca="1">AVERAGE(OFFSET($AM$3,0,0,'Données projet'!$E$10+1,1))-AVERAGE(OFFSET($H$3,0,0,'Données projet'!$E$10+1,1))</f>
        <v>261.13725557061468</v>
      </c>
      <c r="AO18" s="59">
        <f t="shared" si="36"/>
        <v>328.18986868293558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49.784615384615385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0.25200000000000006</v>
      </c>
      <c r="AT18" s="16">
        <f>IF(ISNA(VLOOKUP(A18,'Données projet'!$A$61:$I$81,7,0)),0%,VLOOKUP(A18,'Données projet'!$A$61:$I$81,7,0))</f>
        <v>0.44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9.9131546026642408</v>
      </c>
      <c r="AW18" s="21">
        <f>EXP(-LN(2)/2)*AW17+(1-EXP(-LN(2)/2))/(LN(2)/2)*AQ18*AT18*VLOOKUP('Données projet'!$B$10,Paramètres!$A$1:$I$89,3,0)*0.475*44/12</f>
        <v>14.831482237492764</v>
      </c>
      <c r="AX18" s="21">
        <f t="shared" si="6"/>
        <v>24.744636840157007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2.9235042735042733</v>
      </c>
      <c r="BD18" s="12">
        <f>IF('Données projet'!$A$88&gt;35,BD17+BC18-BL17,IF(A18&lt;'Données projet'!$A$88,$BA$205^A18,IF(A18='Données projet'!$A$88,'Données projet'!$B$88,BD17+BC18-BL17)))</f>
        <v>9.3651016121091022</v>
      </c>
      <c r="BE18" s="13">
        <f>BD18*VLOOKUP('Données projet'!$B$11,Paramètres!$A$1:$I$89,3,0)*VLOOKUP('Données projet'!$B$11,Paramètres!$A$1:$I$89,5,0)</f>
        <v>9.4962130346786306</v>
      </c>
      <c r="BF18" s="13">
        <f t="shared" si="37"/>
        <v>3.3675623198215465</v>
      </c>
      <c r="BG18" s="20">
        <f t="shared" si="7"/>
        <v>22.40440874242114</v>
      </c>
      <c r="BH18" s="59">
        <f t="shared" si="8"/>
        <v>315.73774207575445</v>
      </c>
      <c r="BI18" s="59">
        <f ca="1">AVERAGE(OFFSET($BH$3,0,0,'Données projet'!$E$11+1,1))-AVERAGE(OFFSET($H$3,0,0,'Données projet'!$E$11+1,1))</f>
        <v>250.31277422753283</v>
      </c>
      <c r="BJ18" s="59">
        <f t="shared" si="38"/>
        <v>159.20429420478047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73</v>
      </c>
      <c r="BW18" s="12">
        <f>VLOOKUP(A18,'Données projet'!$A$113:$I$133,9,0)</f>
        <v>8.8000000000000007</v>
      </c>
      <c r="BX18" s="12">
        <f t="array" ref="BX18">INDEX(BW:BW,MIN(IF(ISNUMBER(BW18:BW214),ROW(BW18:BW214),"")))</f>
        <v>8.8000000000000007</v>
      </c>
      <c r="BY18" s="12">
        <f>IF('Données projet'!$A$114&gt;35,BY17+BX18-CG17,IF(A18&lt;'Données projet'!$A$114,$BV$205^A18,IF(A18='Données projet'!$A$114,'Données projet'!$B$114,BY17+BX18-CG17)))</f>
        <v>72.999999999999986</v>
      </c>
      <c r="BZ18" s="13">
        <f>BY18*VLOOKUP('Données projet'!$B$12,Paramètres!$A$1:$I$89,3,0)*VLOOKUP('Données projet'!$B$12,Paramètres!$A$1:$I$89,5,0)</f>
        <v>76.299599999999998</v>
      </c>
      <c r="CA18" s="13">
        <f t="shared" si="39"/>
        <v>21.229938439563274</v>
      </c>
      <c r="CB18" s="20">
        <f t="shared" si="10"/>
        <v>169.8639461155727</v>
      </c>
      <c r="CC18" s="59">
        <f t="shared" si="11"/>
        <v>463.19727944890599</v>
      </c>
      <c r="CD18" s="59">
        <f ca="1">AVERAGE(OFFSET($CC$3,0,0,'Données projet'!$E$12+1,1))-AVERAGE(OFFSET($H$3,0,0,'Données projet'!$E$12+1,1))</f>
        <v>322.93502595881938</v>
      </c>
      <c r="CE18" s="59">
        <f t="shared" si="40"/>
        <v>302.67072119588164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6.7360323886639675</v>
      </c>
      <c r="N19" s="13">
        <f>IF('Données projet'!$A$36&gt;35,N18+M19-V18,IF(A19&lt;'Données projet'!$A$36,$K$205^A19,IF(A19='Données projet'!$A$36,'Données projet'!$B$36,N18+M19-V18)))</f>
        <v>59.490640733968959</v>
      </c>
      <c r="O19" s="13">
        <f>N19*VLOOKUP('Données projet'!$B$9,Paramètres!$A$1:$I$89,3,0)*VLOOKUP('Données projet'!$B$9,Paramètres!$A$1:$I$89,5,0)</f>
        <v>35.575403158913439</v>
      </c>
      <c r="P19" s="13">
        <f t="shared" si="33"/>
        <v>10.818026850719807</v>
      </c>
      <c r="Q19" s="20">
        <f t="shared" si="2"/>
        <v>80.801890600111236</v>
      </c>
      <c r="R19" s="59">
        <f t="shared" si="0"/>
        <v>374.13522393344454</v>
      </c>
      <c r="S19" s="59">
        <f ca="1">AVERAGE(OFFSET($R$3,0,0,'Données projet'!$E$9+1,1))-AVERAGE(OFFSET($H$3,0,0,'Données projet'!$E$9+1,1))</f>
        <v>278.21846622758881</v>
      </c>
      <c r="T19" s="59">
        <f t="shared" si="34"/>
        <v>245.37578316242906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18.463076923076926</v>
      </c>
      <c r="AI19" s="13">
        <f>IF('Données projet'!$A$62&gt;35,AI18+AH19-AQ18,IF(A19&lt;'Données projet'!$A$62,$AF$205^A19,IF(A19='Données projet'!$A$62,'Données projet'!$B$62,AI18+AH19-AQ18)))</f>
        <v>109.85538461538459</v>
      </c>
      <c r="AJ19" s="13">
        <f>AI19*VLOOKUP('Données projet'!$B$10,Paramètres!$A$1:$I$89,3,0)*VLOOKUP('Données projet'!$B$10,Paramètres!$A$1:$I$89,5,0)</f>
        <v>65.693519999999992</v>
      </c>
      <c r="AK19" s="13">
        <f t="shared" si="35"/>
        <v>18.600086973007183</v>
      </c>
      <c r="AL19" s="20">
        <f t="shared" si="4"/>
        <v>146.81136547798749</v>
      </c>
      <c r="AM19" s="59">
        <f t="shared" si="5"/>
        <v>440.14469881132084</v>
      </c>
      <c r="AN19" s="59">
        <f ca="1">AVERAGE(OFFSET($AM$3,0,0,'Données projet'!$E$10+1,1))-AVERAGE(OFFSET($H$3,0,0,'Données projet'!$E$10+1,1))</f>
        <v>261.13725557061468</v>
      </c>
      <c r="AO19" s="59">
        <f t="shared" si="36"/>
        <v>328.18986868293558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9.6420788687442442</v>
      </c>
      <c r="AW19" s="21">
        <f>EXP(-LN(2)/2)*AW18+(1-EXP(-LN(2)/2))/(LN(2)/2)*AQ19*AT19*VLOOKUP('Données projet'!$B$10,Paramètres!$A$1:$I$89,3,0)*0.475*44/12</f>
        <v>10.487441665178963</v>
      </c>
      <c r="AX19" s="21">
        <f t="shared" si="6"/>
        <v>20.129520533923206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2.9235042735042733</v>
      </c>
      <c r="BD19" s="12">
        <f>IF('Données projet'!$A$88&gt;35,BD18+BC19-BL18,IF(A19&lt;'Données projet'!$A$88,$BA$205^A19,IF(A19='Données projet'!$A$88,'Données projet'!$B$88,BD18+BC19-BL18)))</f>
        <v>10.87126277571476</v>
      </c>
      <c r="BE19" s="13">
        <f>BD19*VLOOKUP('Données projet'!$B$11,Paramètres!$A$1:$I$89,3,0)*VLOOKUP('Données projet'!$B$11,Paramètres!$A$1:$I$89,5,0)</f>
        <v>11.023460454574767</v>
      </c>
      <c r="BF19" s="13">
        <f t="shared" si="37"/>
        <v>3.8418836132426954</v>
      </c>
      <c r="BG19" s="20">
        <f t="shared" si="7"/>
        <v>25.890474251448747</v>
      </c>
      <c r="BH19" s="59">
        <f t="shared" si="8"/>
        <v>319.22380758478204</v>
      </c>
      <c r="BI19" s="59">
        <f ca="1">AVERAGE(OFFSET($BH$3,0,0,'Données projet'!$E$11+1,1))-AVERAGE(OFFSET($H$3,0,0,'Données projet'!$E$11+1,1))</f>
        <v>250.31277422753283</v>
      </c>
      <c r="BJ19" s="59">
        <f t="shared" si="38"/>
        <v>159.20429420478047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11.2</v>
      </c>
      <c r="BY19" s="12">
        <f>IF('Données projet'!$A$114&gt;35,BY18+BX19-CG18,IF(A19&lt;'Données projet'!$A$114,$BV$205^A19,IF(A19='Données projet'!$A$114,'Données projet'!$B$114,BY18+BX19-CG18)))</f>
        <v>84.199999999999989</v>
      </c>
      <c r="BZ19" s="13">
        <f>BY19*VLOOKUP('Données projet'!$B$12,Paramètres!$A$1:$I$89,3,0)*VLOOKUP('Données projet'!$B$12,Paramètres!$A$1:$I$89,5,0)</f>
        <v>88.005839999999992</v>
      </c>
      <c r="CA19" s="13">
        <f t="shared" si="39"/>
        <v>24.083656242710727</v>
      </c>
      <c r="CB19" s="20">
        <f t="shared" si="10"/>
        <v>195.22253928938787</v>
      </c>
      <c r="CC19" s="59">
        <f t="shared" si="11"/>
        <v>488.55587262272115</v>
      </c>
      <c r="CD19" s="59">
        <f ca="1">AVERAGE(OFFSET($CC$3,0,0,'Données projet'!$E$12+1,1))-AVERAGE(OFFSET($H$3,0,0,'Données projet'!$E$12+1,1))</f>
        <v>322.93502595881938</v>
      </c>
      <c r="CE19" s="59">
        <f t="shared" si="40"/>
        <v>302.67072119588164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6.7360323886639675</v>
      </c>
      <c r="N20" s="13">
        <f>IF('Données projet'!$A$36&gt;35,N19+M20-V19,IF(A20&lt;'Données projet'!$A$36,$K$205^A20,IF(A20='Données projet'!$A$36,'Données projet'!$B$36,N19+M20-V19)))</f>
        <v>76.798314184456885</v>
      </c>
      <c r="O20" s="13">
        <f>N20*VLOOKUP('Données projet'!$B$9,Paramètres!$A$1:$I$89,3,0)*VLOOKUP('Données projet'!$B$9,Paramètres!$A$1:$I$89,5,0)</f>
        <v>45.92539188230522</v>
      </c>
      <c r="P20" s="13">
        <f t="shared" si="33"/>
        <v>13.556325295104831</v>
      </c>
      <c r="Q20" s="20">
        <f t="shared" si="2"/>
        <v>103.59732408398916</v>
      </c>
      <c r="R20" s="59">
        <f t="shared" si="0"/>
        <v>396.93065741732249</v>
      </c>
      <c r="S20" s="59">
        <f ca="1">AVERAGE(OFFSET($R$3,0,0,'Données projet'!$E$9+1,1))-AVERAGE(OFFSET($H$3,0,0,'Données projet'!$E$9+1,1))</f>
        <v>278.21846622758881</v>
      </c>
      <c r="T20" s="59">
        <f t="shared" si="34"/>
        <v>245.37578316242906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18.463076923076926</v>
      </c>
      <c r="AI20" s="13">
        <f>IF('Données projet'!$A$62&gt;35,AI19+AH20-AQ19,IF(A20&lt;'Données projet'!$A$62,$AF$205^A20,IF(A20='Données projet'!$A$62,'Données projet'!$B$62,AI19+AH20-AQ19)))</f>
        <v>128.31846153846152</v>
      </c>
      <c r="AJ20" s="13">
        <f>AI20*VLOOKUP('Données projet'!$B$10,Paramètres!$A$1:$I$89,3,0)*VLOOKUP('Données projet'!$B$10,Paramètres!$A$1:$I$89,5,0)</f>
        <v>76.734439999999992</v>
      </c>
      <c r="AK20" s="13">
        <f t="shared" si="35"/>
        <v>21.336811414414317</v>
      </c>
      <c r="AL20" s="20">
        <f t="shared" si="4"/>
        <v>170.80742954677157</v>
      </c>
      <c r="AM20" s="59">
        <f t="shared" si="5"/>
        <v>464.14076288010489</v>
      </c>
      <c r="AN20" s="59">
        <f ca="1">AVERAGE(OFFSET($AM$3,0,0,'Données projet'!$E$10+1,1))-AVERAGE(OFFSET($H$3,0,0,'Données projet'!$E$10+1,1))</f>
        <v>261.13725557061468</v>
      </c>
      <c r="AO20" s="59">
        <f t="shared" si="36"/>
        <v>328.18986868293558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9.378415715023543</v>
      </c>
      <c r="AW20" s="21">
        <f>EXP(-LN(2)/2)*AW19+(1-EXP(-LN(2)/2))/(LN(2)/2)*AQ20*AT20*VLOOKUP('Données projet'!$B$10,Paramètres!$A$1:$I$89,3,0)*0.475*44/12</f>
        <v>7.4157411187463831</v>
      </c>
      <c r="AX20" s="21">
        <f t="shared" si="6"/>
        <v>16.794156833769925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2.9235042735042733</v>
      </c>
      <c r="BD20" s="12">
        <f>IF('Données projet'!$A$88&gt;35,BD19+BC20-BL19,IF(A20&lt;'Données projet'!$A$88,$BA$205^A20,IF(A20='Données projet'!$A$88,'Données projet'!$B$88,BD19+BC20-BL19)))</f>
        <v>12.619655315413629</v>
      </c>
      <c r="BE20" s="13">
        <f>BD20*VLOOKUP('Données projet'!$B$11,Paramètres!$A$1:$I$89,3,0)*VLOOKUP('Données projet'!$B$11,Paramètres!$A$1:$I$89,5,0)</f>
        <v>12.796330489829421</v>
      </c>
      <c r="BF20" s="13">
        <f t="shared" si="37"/>
        <v>4.383013080656192</v>
      </c>
      <c r="BG20" s="20">
        <f t="shared" si="7"/>
        <v>29.92069005192911</v>
      </c>
      <c r="BH20" s="59">
        <f t="shared" si="8"/>
        <v>323.25402338526243</v>
      </c>
      <c r="BI20" s="59">
        <f ca="1">AVERAGE(OFFSET($BH$3,0,0,'Données projet'!$E$11+1,1))-AVERAGE(OFFSET($H$3,0,0,'Données projet'!$E$11+1,1))</f>
        <v>250.31277422753283</v>
      </c>
      <c r="BJ20" s="59">
        <f t="shared" si="38"/>
        <v>159.20429420478047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11.2</v>
      </c>
      <c r="BY20" s="12">
        <f>IF('Données projet'!$A$114&gt;35,BY19+BX20-CG19,IF(A20&lt;'Données projet'!$A$114,$BV$205^A20,IF(A20='Données projet'!$A$114,'Données projet'!$B$114,BY19+BX20-CG19)))</f>
        <v>95.399999999999991</v>
      </c>
      <c r="BZ20" s="13">
        <f>BY20*VLOOKUP('Données projet'!$B$12,Paramètres!$A$1:$I$89,3,0)*VLOOKUP('Données projet'!$B$12,Paramètres!$A$1:$I$89,5,0)</f>
        <v>99.71208</v>
      </c>
      <c r="CA20" s="13">
        <f t="shared" si="39"/>
        <v>26.893393072251083</v>
      </c>
      <c r="CB20" s="20">
        <f t="shared" si="10"/>
        <v>220.50453226750395</v>
      </c>
      <c r="CC20" s="59">
        <f t="shared" si="11"/>
        <v>513.83786560083729</v>
      </c>
      <c r="CD20" s="59">
        <f ca="1">AVERAGE(OFFSET($CC$3,0,0,'Données projet'!$E$12+1,1))-AVERAGE(OFFSET($H$3,0,0,'Données projet'!$E$12+1,1))</f>
        <v>322.93502595881938</v>
      </c>
      <c r="CE20" s="59">
        <f t="shared" si="40"/>
        <v>302.67072119588164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6.7360323886639675</v>
      </c>
      <c r="N21" s="13">
        <f>IF('Données projet'!$A$36&gt;35,N20+M21-V20,IF(A21&lt;'Données projet'!$A$36,$K$205^A21,IF(A21='Données projet'!$A$36,'Données projet'!$B$36,N20+M21-V20)))</f>
        <v>99.141326918115112</v>
      </c>
      <c r="O21" s="13">
        <f>N21*VLOOKUP('Données projet'!$B$9,Paramètres!$A$1:$I$89,3,0)*VLOOKUP('Données projet'!$B$9,Paramètres!$A$1:$I$89,5,0)</f>
        <v>59.286513497032843</v>
      </c>
      <c r="P21" s="13">
        <f t="shared" si="33"/>
        <v>16.987751837061783</v>
      </c>
      <c r="Q21" s="20">
        <f t="shared" si="2"/>
        <v>132.84434545688146</v>
      </c>
      <c r="R21" s="59">
        <f t="shared" si="0"/>
        <v>426.17767879021477</v>
      </c>
      <c r="S21" s="59">
        <f ca="1">AVERAGE(OFFSET($R$3,0,0,'Données projet'!$E$9+1,1))-AVERAGE(OFFSET($H$3,0,0,'Données projet'!$E$9+1,1))</f>
        <v>278.21846622758881</v>
      </c>
      <c r="T21" s="59">
        <f t="shared" si="34"/>
        <v>245.37578316242906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18.463076923076926</v>
      </c>
      <c r="AI21" s="13">
        <f>IF('Données projet'!$A$62&gt;35,AI20+AH21-AQ20,IF(A21&lt;'Données projet'!$A$62,$AF$205^A21,IF(A21='Données projet'!$A$62,'Données projet'!$B$62,AI20+AH21-AQ20)))</f>
        <v>146.78153846153845</v>
      </c>
      <c r="AJ21" s="13">
        <f>AI21*VLOOKUP('Données projet'!$B$10,Paramètres!$A$1:$I$89,3,0)*VLOOKUP('Données projet'!$B$10,Paramètres!$A$1:$I$89,5,0)</f>
        <v>87.775359999999992</v>
      </c>
      <c r="AK21" s="13">
        <f t="shared" si="35"/>
        <v>24.02791634919064</v>
      </c>
      <c r="AL21" s="20">
        <f t="shared" si="4"/>
        <v>194.72403964150703</v>
      </c>
      <c r="AM21" s="59">
        <f t="shared" si="5"/>
        <v>488.05737297484035</v>
      </c>
      <c r="AN21" s="59">
        <f ca="1">AVERAGE(OFFSET($AM$3,0,0,'Données projet'!$E$10+1,1))-AVERAGE(OFFSET($H$3,0,0,'Données projet'!$E$10+1,1))</f>
        <v>261.13725557061468</v>
      </c>
      <c r="AO21" s="59">
        <f t="shared" si="36"/>
        <v>328.18986868293558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9.1219624441067761</v>
      </c>
      <c r="AW21" s="21">
        <f>EXP(-LN(2)/2)*AW20+(1-EXP(-LN(2)/2))/(LN(2)/2)*AQ21*AT21*VLOOKUP('Données projet'!$B$10,Paramètres!$A$1:$I$89,3,0)*0.475*44/12</f>
        <v>5.2437208325894824</v>
      </c>
      <c r="AX21" s="21">
        <f t="shared" si="6"/>
        <v>14.365683276696259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2.9235042735042733</v>
      </c>
      <c r="BD21" s="12">
        <f>IF('Données projet'!$A$88&gt;35,BD20+BC21-BL20,IF(A21&lt;'Données projet'!$A$88,$BA$205^A21,IF(A21='Données projet'!$A$88,'Données projet'!$B$88,BD20+BC21-BL20)))</f>
        <v>14.649236575865659</v>
      </c>
      <c r="BE21" s="13">
        <f>BD21*VLOOKUP('Données projet'!$B$11,Paramètres!$A$1:$I$89,3,0)*VLOOKUP('Données projet'!$B$11,Paramètres!$A$1:$I$89,5,0)</f>
        <v>14.85432588792778</v>
      </c>
      <c r="BF21" s="13">
        <f t="shared" si="37"/>
        <v>5.000360656159657</v>
      </c>
      <c r="BG21" s="20">
        <f t="shared" si="7"/>
        <v>34.580245730952278</v>
      </c>
      <c r="BH21" s="59">
        <f t="shared" si="8"/>
        <v>327.91357906428561</v>
      </c>
      <c r="BI21" s="59">
        <f ca="1">AVERAGE(OFFSET($BH$3,0,0,'Données projet'!$E$11+1,1))-AVERAGE(OFFSET($H$3,0,0,'Données projet'!$E$11+1,1))</f>
        <v>250.31277422753283</v>
      </c>
      <c r="BJ21" s="59">
        <f t="shared" si="38"/>
        <v>159.20429420478047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11.2</v>
      </c>
      <c r="BY21" s="12">
        <f>IF('Données projet'!$A$114&gt;35,BY20+BX21-CG20,IF(A21&lt;'Données projet'!$A$114,$BV$205^A21,IF(A21='Données projet'!$A$114,'Données projet'!$B$114,BY20+BX21-CG20)))</f>
        <v>106.6</v>
      </c>
      <c r="BZ21" s="13">
        <f>BY21*VLOOKUP('Données projet'!$B$12,Paramètres!$A$1:$I$89,3,0)*VLOOKUP('Données projet'!$B$12,Paramètres!$A$1:$I$89,5,0)</f>
        <v>111.41831999999999</v>
      </c>
      <c r="CA21" s="13">
        <f t="shared" si="39"/>
        <v>29.664902256268945</v>
      </c>
      <c r="CB21" s="20">
        <f t="shared" si="10"/>
        <v>245.71994542966834</v>
      </c>
      <c r="CC21" s="59">
        <f t="shared" si="11"/>
        <v>539.05327876300169</v>
      </c>
      <c r="CD21" s="59">
        <f ca="1">AVERAGE(OFFSET($CC$3,0,0,'Données projet'!$E$12+1,1))-AVERAGE(OFFSET($H$3,0,0,'Données projet'!$E$12+1,1))</f>
        <v>322.93502595881938</v>
      </c>
      <c r="CE21" s="59">
        <f t="shared" si="40"/>
        <v>302.67072119588164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127.98461538461538</v>
      </c>
      <c r="L22" s="12">
        <f>VLOOKUP(A22,'Données projet'!$A$35:$I$55,9,0)</f>
        <v>6.7360323886639675</v>
      </c>
      <c r="M22" s="12">
        <f t="array" ref="M22">INDEX(L:L,MIN(IF(ISNUMBER(L22:L218),ROW(L22:L218),"")))</f>
        <v>6.7360323886639675</v>
      </c>
      <c r="N22" s="13">
        <f>IF('Données projet'!$A$36&gt;35,N21+M22-V21,IF(A22&lt;'Données projet'!$A$36,$K$205^A22,IF(A22='Données projet'!$A$36,'Données projet'!$B$36,N21+M22-V21)))</f>
        <v>127.98461538461538</v>
      </c>
      <c r="O22" s="13">
        <f>N22*VLOOKUP('Données projet'!$B$9,Paramètres!$A$1:$I$89,3,0)*VLOOKUP('Données projet'!$B$9,Paramètres!$A$1:$I$89,5,0)</f>
        <v>76.534800000000004</v>
      </c>
      <c r="P22" s="13">
        <f t="shared" si="33"/>
        <v>21.287753590702248</v>
      </c>
      <c r="Q22" s="20">
        <f t="shared" si="2"/>
        <v>170.37428083713976</v>
      </c>
      <c r="R22" s="59">
        <f t="shared" si="0"/>
        <v>463.70761417047311</v>
      </c>
      <c r="S22" s="59">
        <f ca="1">AVERAGE(OFFSET($R$3,0,0,'Données projet'!$E$9+1,1))-AVERAGE(OFFSET($H$3,0,0,'Données projet'!$E$9+1,1))</f>
        <v>278.21846622758881</v>
      </c>
      <c r="T22" s="59">
        <f t="shared" si="34"/>
        <v>245.37578316242906</v>
      </c>
      <c r="U22" s="15">
        <f>IF(ISNA(VLOOKUP(A22,'Données projet'!$A$35:$I$55,3,0)),0,VLOOKUP(A22,'Données projet'!$A$35:$I$55,3,0))</f>
        <v>1</v>
      </c>
      <c r="V22" s="15">
        <f>IF(ISNA(VLOOKUP(A22,'Données projet'!$A$35:$I$55,4,0)),0,VLOOKUP(A22,'Données projet'!$A$35:$I$55,4,0))</f>
        <v>46.53846153846154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9.2667777110813798</v>
      </c>
      <c r="AB22" s="21">
        <f>EXP(-LN(2)/2)*AB21+(1-EXP(-LN(2)/2))/(LN(2)/2)*V22*Y22*VLOOKUP('Données projet'!$B$9,Paramètres!$A$1:$I$89,3,0)*0.475*44/12</f>
        <v>13.864410929671079</v>
      </c>
      <c r="AC22" s="22">
        <f t="shared" si="3"/>
        <v>23.131188640752459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18.463076923076926</v>
      </c>
      <c r="AI22" s="13">
        <f>IF('Données projet'!$A$62&gt;35,AI21+AH22-AQ21,IF(A22&lt;'Données projet'!$A$62,$AF$205^A22,IF(A22='Données projet'!$A$62,'Données projet'!$B$62,AI21+AH22-AQ21)))</f>
        <v>165.24461538461537</v>
      </c>
      <c r="AJ22" s="13">
        <f>AI22*VLOOKUP('Données projet'!$B$10,Paramètres!$A$1:$I$89,3,0)*VLOOKUP('Données projet'!$B$10,Paramètres!$A$1:$I$89,5,0)</f>
        <v>98.816280000000006</v>
      </c>
      <c r="AK22" s="13">
        <f t="shared" si="35"/>
        <v>26.679797439959771</v>
      </c>
      <c r="AL22" s="20">
        <f t="shared" si="4"/>
        <v>218.57233487459663</v>
      </c>
      <c r="AM22" s="59">
        <f t="shared" si="5"/>
        <v>511.90566820792992</v>
      </c>
      <c r="AN22" s="59">
        <f ca="1">AVERAGE(OFFSET($AM$3,0,0,'Données projet'!$E$10+1,1))-AVERAGE(OFFSET($H$3,0,0,'Données projet'!$E$10+1,1))</f>
        <v>261.13725557061468</v>
      </c>
      <c r="AO22" s="59">
        <f t="shared" si="36"/>
        <v>328.18986868293558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8.8725219013695202</v>
      </c>
      <c r="AW22" s="21">
        <f>EXP(-LN(2)/2)*AW21+(1-EXP(-LN(2)/2))/(LN(2)/2)*AQ22*AT22*VLOOKUP('Données projet'!$B$10,Paramètres!$A$1:$I$89,3,0)*0.475*44/12</f>
        <v>3.707870559373192</v>
      </c>
      <c r="AX22" s="21">
        <f t="shared" si="6"/>
        <v>12.580392460742711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2.9235042735042733</v>
      </c>
      <c r="BD22" s="12">
        <f>IF('Données projet'!$A$88&gt;35,BD21+BC22-BL21,IF(A22&lt;'Données projet'!$A$88,$BA$205^A22,IF(A22='Données projet'!$A$88,'Données projet'!$B$88,BD21+BC22-BL21)))</f>
        <v>17.005229294461625</v>
      </c>
      <c r="BE22" s="13">
        <f>BD22*VLOOKUP('Données projet'!$B$11,Paramètres!$A$1:$I$89,3,0)*VLOOKUP('Données projet'!$B$11,Paramètres!$A$1:$I$89,5,0)</f>
        <v>17.24330250458409</v>
      </c>
      <c r="BF22" s="13">
        <f t="shared" si="37"/>
        <v>5.7046616634614491</v>
      </c>
      <c r="BG22" s="20">
        <f t="shared" si="7"/>
        <v>39.967704259345972</v>
      </c>
      <c r="BH22" s="59">
        <f t="shared" si="8"/>
        <v>333.30103759267928</v>
      </c>
      <c r="BI22" s="59">
        <f ca="1">AVERAGE(OFFSET($BH$3,0,0,'Données projet'!$E$11+1,1))-AVERAGE(OFFSET($H$3,0,0,'Données projet'!$E$11+1,1))</f>
        <v>250.31277422753283</v>
      </c>
      <c r="BJ22" s="59">
        <f t="shared" si="38"/>
        <v>159.20429420478047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11.2</v>
      </c>
      <c r="BY22" s="12">
        <f>IF('Données projet'!$A$114&gt;35,BY21+BX22-CG21,IF(A22&lt;'Données projet'!$A$114,$BV$205^A22,IF(A22='Données projet'!$A$114,'Données projet'!$B$114,BY21+BX22-CG21)))</f>
        <v>117.8</v>
      </c>
      <c r="BZ22" s="13">
        <f>BY22*VLOOKUP('Données projet'!$B$12,Paramètres!$A$1:$I$89,3,0)*VLOOKUP('Données projet'!$B$12,Paramètres!$A$1:$I$89,5,0)</f>
        <v>123.12456</v>
      </c>
      <c r="CA22" s="13">
        <f t="shared" si="39"/>
        <v>32.402657799061316</v>
      </c>
      <c r="CB22" s="20">
        <f t="shared" si="10"/>
        <v>270.87657100003173</v>
      </c>
      <c r="CC22" s="59">
        <f t="shared" si="11"/>
        <v>564.2099043333651</v>
      </c>
      <c r="CD22" s="59">
        <f ca="1">AVERAGE(OFFSET($CC$3,0,0,'Données projet'!$E$12+1,1))-AVERAGE(OFFSET($H$3,0,0,'Données projet'!$E$12+1,1))</f>
        <v>322.93502595881938</v>
      </c>
      <c r="CE22" s="59">
        <f t="shared" si="40"/>
        <v>302.67072119588164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15.7</v>
      </c>
      <c r="N23" s="13">
        <f>IF('Données projet'!$A$36&gt;35,N22+M23-V22,IF(A23&lt;'Données projet'!$A$36,$K$205^A23,IF(A23='Données projet'!$A$36,'Données projet'!$B$36,N22+M23-V22)))</f>
        <v>97.146153846153823</v>
      </c>
      <c r="O23" s="13">
        <f>N23*VLOOKUP('Données projet'!$B$9,Paramètres!$A$1:$I$89,3,0)*VLOOKUP('Données projet'!$B$9,Paramètres!$A$1:$I$89,5,0)</f>
        <v>58.093399999999988</v>
      </c>
      <c r="P23" s="13">
        <f t="shared" si="33"/>
        <v>16.68531848887627</v>
      </c>
      <c r="Q23" s="20">
        <f t="shared" si="2"/>
        <v>130.23960136812613</v>
      </c>
      <c r="R23" s="59">
        <f t="shared" si="0"/>
        <v>423.57293470145942</v>
      </c>
      <c r="S23" s="59">
        <f ca="1">AVERAGE(OFFSET($R$3,0,0,'Données projet'!$E$9+1,1))-AVERAGE(OFFSET($H$3,0,0,'Données projet'!$E$9+1,1))</f>
        <v>278.21846622758881</v>
      </c>
      <c r="T23" s="59">
        <f t="shared" si="34"/>
        <v>245.37578316242906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9.0133771872531998</v>
      </c>
      <c r="AB23" s="21">
        <f>EXP(-LN(2)/2)*AB22+(1-EXP(-LN(2)/2))/(LN(2)/2)*V23*Y23*VLOOKUP('Données projet'!$B$9,Paramètres!$A$1:$I$89,3,0)*0.475*44/12</f>
        <v>9.8036189855273062</v>
      </c>
      <c r="AC23" s="22">
        <f t="shared" si="3"/>
        <v>18.816996172780506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183.7076923076923</v>
      </c>
      <c r="AG23" s="12">
        <f>VLOOKUP(A23,'Données projet'!$A$61:$I$81,9,0)</f>
        <v>18.463076923076926</v>
      </c>
      <c r="AH23" s="12">
        <f t="array" ref="AH23">INDEX(AG:AG,MIN(IF(ISNUMBER(AG23:AG219),ROW(AG23:AG219),"")))</f>
        <v>18.463076923076926</v>
      </c>
      <c r="AI23" s="13">
        <f>IF('Données projet'!$A$62&gt;35,AI22+AH23-AQ22,IF(A23&lt;'Données projet'!$A$62,$AF$205^A23,IF(A23='Données projet'!$A$62,'Données projet'!$B$62,AI22+AH23-AQ22)))</f>
        <v>183.7076923076923</v>
      </c>
      <c r="AJ23" s="13">
        <f>AI23*VLOOKUP('Données projet'!$B$10,Paramètres!$A$1:$I$89,3,0)*VLOOKUP('Données projet'!$B$10,Paramètres!$A$1:$I$89,5,0)</f>
        <v>109.85720000000001</v>
      </c>
      <c r="AK23" s="13">
        <f t="shared" si="35"/>
        <v>29.297337235526424</v>
      </c>
      <c r="AL23" s="20">
        <f t="shared" si="4"/>
        <v>242.36081901854183</v>
      </c>
      <c r="AM23" s="59">
        <f t="shared" si="5"/>
        <v>535.69415235187512</v>
      </c>
      <c r="AN23" s="59">
        <f ca="1">AVERAGE(OFFSET($AM$3,0,0,'Données projet'!$E$10+1,1))-AVERAGE(OFFSET($H$3,0,0,'Données projet'!$E$10+1,1))</f>
        <v>261.13725557061468</v>
      </c>
      <c r="AO23" s="59">
        <f t="shared" si="36"/>
        <v>328.18986868293558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48.723076923076924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0.25200000000000006</v>
      </c>
      <c r="AT23" s="16">
        <f>IF(ISNA(VLOOKUP(A23,'Données projet'!$A$61:$I$81,7,0)),0%,VLOOKUP(A23,'Données projet'!$A$61:$I$81,7,0))</f>
        <v>0.44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18.331682492314798</v>
      </c>
      <c r="AW23" s="21">
        <f>EXP(-LN(2)/2)*AW22+(1-EXP(-LN(2)/2))/(LN(2)/2)*AQ23*AT23*VLOOKUP('Données projet'!$B$10,Paramètres!$A$1:$I$89,3,0)*0.475*44/12</f>
        <v>17.137096586300796</v>
      </c>
      <c r="AX23" s="21">
        <f t="shared" si="6"/>
        <v>35.468779078615597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2.9235042735042733</v>
      </c>
      <c r="BD23" s="12">
        <f>IF('Données projet'!$A$88&gt;35,BD22+BC23-BL22,IF(A23&lt;'Données projet'!$A$88,$BA$205^A23,IF(A23='Données projet'!$A$88,'Données projet'!$B$88,BD22+BC23-BL22)))</f>
        <v>19.740129245617538</v>
      </c>
      <c r="BE23" s="13">
        <f>BD23*VLOOKUP('Données projet'!$B$11,Paramètres!$A$1:$I$89,3,0)*VLOOKUP('Données projet'!$B$11,Paramètres!$A$1:$I$89,5,0)</f>
        <v>20.016491055056186</v>
      </c>
      <c r="BF23" s="13">
        <f t="shared" si="37"/>
        <v>6.5081634970626938</v>
      </c>
      <c r="BG23" s="20">
        <f t="shared" si="7"/>
        <v>46.197106678273713</v>
      </c>
      <c r="BH23" s="59">
        <f t="shared" si="8"/>
        <v>339.53044001160703</v>
      </c>
      <c r="BI23" s="59">
        <f ca="1">AVERAGE(OFFSET($BH$3,0,0,'Données projet'!$E$11+1,1))-AVERAGE(OFFSET($H$3,0,0,'Données projet'!$E$11+1,1))</f>
        <v>250.31277422753283</v>
      </c>
      <c r="BJ23" s="59">
        <f t="shared" si="38"/>
        <v>159.20429420478047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129</v>
      </c>
      <c r="BW23" s="12">
        <f>VLOOKUP(A23,'Données projet'!$A$113:$I$133,9,0)</f>
        <v>11.2</v>
      </c>
      <c r="BX23" s="12">
        <f t="array" ref="BX23">INDEX(BW:BW,MIN(IF(ISNUMBER(BW23:BW219),ROW(BW23:BW219),"")))</f>
        <v>11.2</v>
      </c>
      <c r="BY23" s="12">
        <f>IF('Données projet'!$A$114&gt;35,BY22+BX23-CG22,IF(A23&lt;'Données projet'!$A$114,$BV$205^A23,IF(A23='Données projet'!$A$114,'Données projet'!$B$114,BY22+BX23-CG22)))</f>
        <v>129</v>
      </c>
      <c r="BZ23" s="13">
        <f>BY23*VLOOKUP('Données projet'!$B$12,Paramètres!$A$1:$I$89,3,0)*VLOOKUP('Données projet'!$B$12,Paramètres!$A$1:$I$89,5,0)</f>
        <v>134.83080000000001</v>
      </c>
      <c r="CA23" s="13">
        <f t="shared" si="39"/>
        <v>35.110233978560416</v>
      </c>
      <c r="CB23" s="20">
        <f t="shared" si="10"/>
        <v>295.98063417932605</v>
      </c>
      <c r="CC23" s="59">
        <f t="shared" si="11"/>
        <v>589.31396751265936</v>
      </c>
      <c r="CD23" s="59">
        <f ca="1">AVERAGE(OFFSET($CC$3,0,0,'Données projet'!$E$12+1,1))-AVERAGE(OFFSET($H$3,0,0,'Données projet'!$E$12+1,1))</f>
        <v>322.93502595881938</v>
      </c>
      <c r="CE23" s="59">
        <f t="shared" si="40"/>
        <v>302.67072119588164</v>
      </c>
      <c r="CF23" s="15">
        <f>IF(ISNA(VLOOKUP(A23,'Données projet'!$A$113:$I$133,3,0)),0,VLOOKUP(A23,'Données projet'!$A$113:$I$133,3,0))</f>
        <v>1</v>
      </c>
      <c r="CG23" s="15" t="str">
        <f>IF(ISNA(VLOOKUP(A23,'Données projet'!$A$113:$I$133,4,0)),0,VLOOKUP(A23,'Données projet'!$A$113:$I$133,4,0))</f>
        <v>54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15.7</v>
      </c>
      <c r="N24" s="13">
        <f>IF('Données projet'!$A$36&gt;35,N23+M24-V23,IF(A24&lt;'Données projet'!$A$36,$K$205^A24,IF(A24='Données projet'!$A$36,'Données projet'!$B$36,N23+M24-V23)))</f>
        <v>112.84615384615383</v>
      </c>
      <c r="O24" s="13">
        <f>N24*VLOOKUP('Données projet'!$B$9,Paramètres!$A$1:$I$89,3,0)*VLOOKUP('Données projet'!$B$9,Paramètres!$A$1:$I$89,5,0)</f>
        <v>67.481999999999985</v>
      </c>
      <c r="P24" s="13">
        <f t="shared" si="33"/>
        <v>19.046822454976283</v>
      </c>
      <c r="Q24" s="20">
        <f t="shared" si="2"/>
        <v>150.70436577575032</v>
      </c>
      <c r="R24" s="59">
        <f t="shared" si="0"/>
        <v>444.03769910908363</v>
      </c>
      <c r="S24" s="59">
        <f ca="1">AVERAGE(OFFSET($R$3,0,0,'Données projet'!$E$9+1,1))-AVERAGE(OFFSET($H$3,0,0,'Données projet'!$E$9+1,1))</f>
        <v>278.21846622758881</v>
      </c>
      <c r="T24" s="59">
        <f t="shared" si="34"/>
        <v>245.37578316242906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8.7669059140748544</v>
      </c>
      <c r="AB24" s="21">
        <f>EXP(-LN(2)/2)*AB23+(1-EXP(-LN(2)/2))/(LN(2)/2)*V24*Y24*VLOOKUP('Données projet'!$B$9,Paramètres!$A$1:$I$89,3,0)*0.475*44/12</f>
        <v>6.9322054648355405</v>
      </c>
      <c r="AC24" s="22">
        <f t="shared" si="3"/>
        <v>15.699111378910395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19.071794871794875</v>
      </c>
      <c r="AI24" s="13">
        <f>IF('Données projet'!$A$62&gt;35,AI23+AH24-AQ23,IF(A24&lt;'Données projet'!$A$62,$AF$205^A24,IF(A24='Données projet'!$A$62,'Données projet'!$B$62,AI23+AH24-AQ23)))</f>
        <v>154.05641025641026</v>
      </c>
      <c r="AJ24" s="13">
        <f>AI24*VLOOKUP('Données projet'!$B$10,Paramètres!$A$1:$I$89,3,0)*VLOOKUP('Données projet'!$B$10,Paramètres!$A$1:$I$89,5,0)</f>
        <v>92.125733333333343</v>
      </c>
      <c r="AK24" s="13">
        <f t="shared" si="35"/>
        <v>25.077202059466597</v>
      </c>
      <c r="AL24" s="20">
        <f t="shared" si="4"/>
        <v>204.12844580912656</v>
      </c>
      <c r="AM24" s="59">
        <f t="shared" si="5"/>
        <v>497.46177914245987</v>
      </c>
      <c r="AN24" s="59">
        <f ca="1">AVERAGE(OFFSET($AM$3,0,0,'Données projet'!$E$10+1,1))-AVERAGE(OFFSET($H$3,0,0,'Données projet'!$E$10+1,1))</f>
        <v>261.13725557061468</v>
      </c>
      <c r="AO24" s="59">
        <f t="shared" si="36"/>
        <v>328.18986868293558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17.830401670541164</v>
      </c>
      <c r="AW24" s="21">
        <f>EXP(-LN(2)/2)*AW23+(1-EXP(-LN(2)/2))/(LN(2)/2)*AQ24*AT24*VLOOKUP('Données projet'!$B$10,Paramètres!$A$1:$I$89,3,0)*0.475*44/12</f>
        <v>12.117757206022128</v>
      </c>
      <c r="AX24" s="21">
        <f t="shared" si="6"/>
        <v>29.948158876563291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2.9235042735042733</v>
      </c>
      <c r="BD24" s="12">
        <f>IF('Données projet'!$A$88&gt;35,BD23+BC24-BL23,IF(A24&lt;'Données projet'!$A$88,$BA$205^A24,IF(A24='Données projet'!$A$88,'Données projet'!$B$88,BD23+BC24-BL23)))</f>
        <v>22.91487494147438</v>
      </c>
      <c r="BE24" s="13">
        <f>BD24*VLOOKUP('Données projet'!$B$11,Paramètres!$A$1:$I$89,3,0)*VLOOKUP('Données projet'!$B$11,Paramètres!$A$1:$I$89,5,0)</f>
        <v>23.235683190655024</v>
      </c>
      <c r="BF24" s="13">
        <f t="shared" si="37"/>
        <v>7.4248385974916156</v>
      </c>
      <c r="BG24" s="20">
        <f t="shared" si="7"/>
        <v>53.400408781022065</v>
      </c>
      <c r="BH24" s="59">
        <f t="shared" si="8"/>
        <v>346.73374211435538</v>
      </c>
      <c r="BI24" s="59">
        <f ca="1">AVERAGE(OFFSET($BH$3,0,0,'Données projet'!$E$11+1,1))-AVERAGE(OFFSET($H$3,0,0,'Données projet'!$E$11+1,1))</f>
        <v>250.31277422753283</v>
      </c>
      <c r="BJ24" s="59">
        <f t="shared" si="38"/>
        <v>159.20429420478047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10.199999999999999</v>
      </c>
      <c r="BY24" s="12">
        <f>IF('Données projet'!$A$114&gt;35,BY23+BX24-CG23,IF(A24&lt;'Données projet'!$A$114,$BV$205^A24,IF(A24='Données projet'!$A$114,'Données projet'!$B$114,BY23+BX24-CG23)))</f>
        <v>85.199999999999989</v>
      </c>
      <c r="BZ24" s="13">
        <f>BY24*VLOOKUP('Données projet'!$B$12,Paramètres!$A$1:$I$89,3,0)*VLOOKUP('Données projet'!$B$12,Paramètres!$A$1:$I$89,5,0)</f>
        <v>89.05104</v>
      </c>
      <c r="CA24" s="13">
        <f t="shared" si="39"/>
        <v>24.336217692365963</v>
      </c>
      <c r="CB24" s="20">
        <f t="shared" si="10"/>
        <v>197.48280714753739</v>
      </c>
      <c r="CC24" s="59">
        <f t="shared" si="11"/>
        <v>490.81614048087067</v>
      </c>
      <c r="CD24" s="59">
        <f ca="1">AVERAGE(OFFSET($CC$3,0,0,'Données projet'!$E$12+1,1))-AVERAGE(OFFSET($H$3,0,0,'Données projet'!$E$12+1,1))</f>
        <v>322.93502595881938</v>
      </c>
      <c r="CE24" s="59">
        <f t="shared" si="40"/>
        <v>302.67072119588164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15.7</v>
      </c>
      <c r="N25" s="13">
        <f>IF('Données projet'!$A$36&gt;35,N24+M25-V24,IF(A25&lt;'Données projet'!$A$36,$K$205^A25,IF(A25='Données projet'!$A$36,'Données projet'!$B$36,N24+M25-V24)))</f>
        <v>128.54615384615383</v>
      </c>
      <c r="O25" s="13">
        <f>N25*VLOOKUP('Données projet'!$B$9,Paramètres!$A$1:$I$89,3,0)*VLOOKUP('Données projet'!$B$9,Paramètres!$A$1:$I$89,5,0)</f>
        <v>76.870599999999996</v>
      </c>
      <c r="P25" s="13">
        <f t="shared" si="33"/>
        <v>21.370261683634599</v>
      </c>
      <c r="Q25" s="20">
        <f t="shared" si="2"/>
        <v>171.10283409899691</v>
      </c>
      <c r="R25" s="59">
        <f t="shared" si="0"/>
        <v>464.43616743233019</v>
      </c>
      <c r="S25" s="59">
        <f ca="1">AVERAGE(OFFSET($R$3,0,0,'Données projet'!$E$9+1,1))-AVERAGE(OFFSET($H$3,0,0,'Données projet'!$E$9+1,1))</f>
        <v>278.21846622758881</v>
      </c>
      <c r="T25" s="59">
        <f t="shared" si="34"/>
        <v>245.37578316242906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8.5271744108229317</v>
      </c>
      <c r="AB25" s="21">
        <f>EXP(-LN(2)/2)*AB24+(1-EXP(-LN(2)/2))/(LN(2)/2)*V25*Y25*VLOOKUP('Données projet'!$B$9,Paramètres!$A$1:$I$89,3,0)*0.475*44/12</f>
        <v>4.901809492763654</v>
      </c>
      <c r="AC25" s="22">
        <f t="shared" si="3"/>
        <v>13.428983903586586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19.071794871794875</v>
      </c>
      <c r="AI25" s="13">
        <f>IF('Données projet'!$A$62&gt;35,AI24+AH25-AQ24,IF(A25&lt;'Données projet'!$A$62,$AF$205^A25,IF(A25='Données projet'!$A$62,'Données projet'!$B$62,AI24+AH25-AQ24)))</f>
        <v>173.12820512820514</v>
      </c>
      <c r="AJ25" s="13">
        <f>AI25*VLOOKUP('Données projet'!$B$10,Paramètres!$A$1:$I$89,3,0)*VLOOKUP('Données projet'!$B$10,Paramètres!$A$1:$I$89,5,0)</f>
        <v>103.53066666666668</v>
      </c>
      <c r="AK25" s="13">
        <f t="shared" si="35"/>
        <v>27.80142408921413</v>
      </c>
      <c r="AL25" s="20">
        <f t="shared" si="4"/>
        <v>228.73672473315909</v>
      </c>
      <c r="AM25" s="59">
        <f t="shared" si="5"/>
        <v>522.07005806649238</v>
      </c>
      <c r="AN25" s="59">
        <f ca="1">AVERAGE(OFFSET($AM$3,0,0,'Données projet'!$E$10+1,1))-AVERAGE(OFFSET($H$3,0,0,'Données projet'!$E$10+1,1))</f>
        <v>261.13725557061468</v>
      </c>
      <c r="AO25" s="59">
        <f t="shared" si="36"/>
        <v>328.18986868293558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17.342828399200144</v>
      </c>
      <c r="AW25" s="21">
        <f>EXP(-LN(2)/2)*AW24+(1-EXP(-LN(2)/2))/(LN(2)/2)*AQ25*AT25*VLOOKUP('Données projet'!$B$10,Paramètres!$A$1:$I$89,3,0)*0.475*44/12</f>
        <v>8.5685482931503998</v>
      </c>
      <c r="AX25" s="21">
        <f t="shared" si="6"/>
        <v>25.911376692350544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2.9235042735042733</v>
      </c>
      <c r="BD25" s="12">
        <f>IF('Données projet'!$A$88&gt;35,BD24+BC25-BL24,IF(A25&lt;'Données projet'!$A$88,$BA$205^A25,IF(A25='Données projet'!$A$88,'Données projet'!$B$88,BD24+BC25-BL24)))</f>
        <v>26.600205452048144</v>
      </c>
      <c r="BE25" s="13">
        <f>BD25*VLOOKUP('Données projet'!$B$11,Paramètres!$A$1:$I$89,3,0)*VLOOKUP('Données projet'!$B$11,Paramètres!$A$1:$I$89,5,0)</f>
        <v>26.972608328376822</v>
      </c>
      <c r="BF25" s="13">
        <f t="shared" si="37"/>
        <v>8.4706274241085247</v>
      </c>
      <c r="BG25" s="20">
        <f t="shared" si="7"/>
        <v>61.730302268911977</v>
      </c>
      <c r="BH25" s="59">
        <f t="shared" si="8"/>
        <v>355.06363560224531</v>
      </c>
      <c r="BI25" s="59">
        <f ca="1">AVERAGE(OFFSET($BH$3,0,0,'Données projet'!$E$11+1,1))-AVERAGE(OFFSET($H$3,0,0,'Données projet'!$E$11+1,1))</f>
        <v>250.31277422753283</v>
      </c>
      <c r="BJ25" s="59">
        <f t="shared" si="38"/>
        <v>159.20429420478047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10.199999999999999</v>
      </c>
      <c r="BY25" s="12">
        <f>IF('Données projet'!$A$114&gt;35,BY24+BX25-CG24,IF(A25&lt;'Données projet'!$A$114,$BV$205^A25,IF(A25='Données projet'!$A$114,'Données projet'!$B$114,BY24+BX25-CG24)))</f>
        <v>95.399999999999991</v>
      </c>
      <c r="BZ25" s="13">
        <f>BY25*VLOOKUP('Données projet'!$B$12,Paramètres!$A$1:$I$89,3,0)*VLOOKUP('Données projet'!$B$12,Paramètres!$A$1:$I$89,5,0)</f>
        <v>99.71208</v>
      </c>
      <c r="CA25" s="13">
        <f t="shared" si="39"/>
        <v>26.893393072251083</v>
      </c>
      <c r="CB25" s="20">
        <f t="shared" si="10"/>
        <v>220.50453226750395</v>
      </c>
      <c r="CC25" s="59">
        <f t="shared" si="11"/>
        <v>513.83786560083729</v>
      </c>
      <c r="CD25" s="59">
        <f ca="1">AVERAGE(OFFSET($CC$3,0,0,'Données projet'!$E$12+1,1))-AVERAGE(OFFSET($H$3,0,0,'Données projet'!$E$12+1,1))</f>
        <v>322.93502595881938</v>
      </c>
      <c r="CE25" s="59">
        <f t="shared" si="40"/>
        <v>302.67072119588164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15.7</v>
      </c>
      <c r="N26" s="13">
        <f>IF('Données projet'!$A$36&gt;35,N25+M26-V25,IF(A26&lt;'Données projet'!$A$36,$K$205^A26,IF(A26='Données projet'!$A$36,'Données projet'!$B$36,N25+M26-V25)))</f>
        <v>144.24615384615382</v>
      </c>
      <c r="O26" s="13">
        <f>N26*VLOOKUP('Données projet'!$B$9,Paramètres!$A$1:$I$89,3,0)*VLOOKUP('Données projet'!$B$9,Paramètres!$A$1:$I$89,5,0)</f>
        <v>86.259199999999993</v>
      </c>
      <c r="P26" s="13">
        <f t="shared" si="33"/>
        <v>23.660817147545782</v>
      </c>
      <c r="Q26" s="20">
        <f t="shared" si="2"/>
        <v>191.44402986530886</v>
      </c>
      <c r="R26" s="59">
        <f t="shared" si="0"/>
        <v>484.77736319864221</v>
      </c>
      <c r="S26" s="59">
        <f ca="1">AVERAGE(OFFSET($R$3,0,0,'Données projet'!$E$9+1,1))-AVERAGE(OFFSET($H$3,0,0,'Données projet'!$E$9+1,1))</f>
        <v>278.21846622758881</v>
      </c>
      <c r="T26" s="59">
        <f t="shared" si="34"/>
        <v>245.37578316242906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8.2939983781343649</v>
      </c>
      <c r="AB26" s="21">
        <f>EXP(-LN(2)/2)*AB25+(1-EXP(-LN(2)/2))/(LN(2)/2)*V26*Y26*VLOOKUP('Données projet'!$B$9,Paramètres!$A$1:$I$89,3,0)*0.475*44/12</f>
        <v>3.4661027324177707</v>
      </c>
      <c r="AC26" s="22">
        <f t="shared" si="3"/>
        <v>11.760101110552135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19.071794871794875</v>
      </c>
      <c r="AI26" s="13">
        <f>IF('Données projet'!$A$62&gt;35,AI25+AH26-AQ25,IF(A26&lt;'Données projet'!$A$62,$AF$205^A26,IF(A26='Données projet'!$A$62,'Données projet'!$B$62,AI25+AH26-AQ25)))</f>
        <v>192.20000000000002</v>
      </c>
      <c r="AJ26" s="13">
        <f>AI26*VLOOKUP('Données projet'!$B$10,Paramètres!$A$1:$I$89,3,0)*VLOOKUP('Données projet'!$B$10,Paramètres!$A$1:$I$89,5,0)</f>
        <v>114.93560000000001</v>
      </c>
      <c r="AK26" s="13">
        <f t="shared" si="35"/>
        <v>30.49086327624272</v>
      </c>
      <c r="AL26" s="20">
        <f t="shared" si="4"/>
        <v>253.28442353945601</v>
      </c>
      <c r="AM26" s="59">
        <f t="shared" si="5"/>
        <v>546.6177568727893</v>
      </c>
      <c r="AN26" s="59">
        <f ca="1">AVERAGE(OFFSET($AM$3,0,0,'Données projet'!$E$10+1,1))-AVERAGE(OFFSET($H$3,0,0,'Données projet'!$E$10+1,1))</f>
        <v>261.13725557061468</v>
      </c>
      <c r="AO26" s="59">
        <f t="shared" si="36"/>
        <v>328.18986868293558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16.86858784460431</v>
      </c>
      <c r="AW26" s="21">
        <f>EXP(-LN(2)/2)*AW25+(1-EXP(-LN(2)/2))/(LN(2)/2)*AQ26*AT26*VLOOKUP('Données projet'!$B$10,Paramètres!$A$1:$I$89,3,0)*0.475*44/12</f>
        <v>6.0588786030110651</v>
      </c>
      <c r="AX26" s="21">
        <f t="shared" si="6"/>
        <v>22.927466447615373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2.9235042735042733</v>
      </c>
      <c r="BD26" s="12">
        <f>IF('Données projet'!$A$88&gt;35,BD25+BC26-BL25,IF(A26&lt;'Données projet'!$A$88,$BA$205^A26,IF(A26='Données projet'!$A$88,'Données projet'!$B$88,BD25+BC26-BL25)))</f>
        <v>30.878236599516239</v>
      </c>
      <c r="BE26" s="13">
        <f>BD26*VLOOKUP('Données projet'!$B$11,Paramètres!$A$1:$I$89,3,0)*VLOOKUP('Données projet'!$B$11,Paramètres!$A$1:$I$89,5,0)</f>
        <v>31.310531911909472</v>
      </c>
      <c r="BF26" s="13">
        <f t="shared" si="37"/>
        <v>9.6637156506405031</v>
      </c>
      <c r="BG26" s="20">
        <f t="shared" si="7"/>
        <v>71.363481171441208</v>
      </c>
      <c r="BH26" s="59">
        <f t="shared" si="8"/>
        <v>364.69681450477452</v>
      </c>
      <c r="BI26" s="59">
        <f ca="1">AVERAGE(OFFSET($BH$3,0,0,'Données projet'!$E$11+1,1))-AVERAGE(OFFSET($H$3,0,0,'Données projet'!$E$11+1,1))</f>
        <v>250.31277422753283</v>
      </c>
      <c r="BJ26" s="59">
        <f t="shared" si="38"/>
        <v>159.20429420478047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10.199999999999999</v>
      </c>
      <c r="BY26" s="12">
        <f>IF('Données projet'!$A$114&gt;35,BY25+BX26-CG25,IF(A26&lt;'Données projet'!$A$114,$BV$205^A26,IF(A26='Données projet'!$A$114,'Données projet'!$B$114,BY25+BX26-CG25)))</f>
        <v>105.6</v>
      </c>
      <c r="BZ26" s="13">
        <f>BY26*VLOOKUP('Données projet'!$B$12,Paramètres!$A$1:$I$89,3,0)*VLOOKUP('Données projet'!$B$12,Paramètres!$A$1:$I$89,5,0)</f>
        <v>110.37312</v>
      </c>
      <c r="CA26" s="13">
        <f t="shared" si="39"/>
        <v>29.418877221958358</v>
      </c>
      <c r="CB26" s="20">
        <f t="shared" si="10"/>
        <v>243.47106182824413</v>
      </c>
      <c r="CC26" s="59">
        <f t="shared" si="11"/>
        <v>536.80439516157742</v>
      </c>
      <c r="CD26" s="59">
        <f ca="1">AVERAGE(OFFSET($CC$3,0,0,'Données projet'!$E$12+1,1))-AVERAGE(OFFSET($H$3,0,0,'Données projet'!$E$12+1,1))</f>
        <v>322.93502595881938</v>
      </c>
      <c r="CE26" s="59">
        <f t="shared" si="40"/>
        <v>302.67072119588164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159.94615384615383</v>
      </c>
      <c r="L27" s="12">
        <f>VLOOKUP(A27,'Données projet'!$A$35:$I$55,9,0)</f>
        <v>15.7</v>
      </c>
      <c r="M27" s="12">
        <f t="array" ref="M27">INDEX(L:L,MIN(IF(ISNUMBER(L27:L223),ROW(L27:L223),"")))</f>
        <v>15.7</v>
      </c>
      <c r="N27" s="13">
        <f>IF('Données projet'!$A$36&gt;35,N26+M27-V26,IF(A27&lt;'Données projet'!$A$36,$K$205^A27,IF(A27='Données projet'!$A$36,'Données projet'!$B$36,N26+M27-V26)))</f>
        <v>159.94615384615381</v>
      </c>
      <c r="O27" s="13">
        <f>N27*VLOOKUP('Données projet'!$B$9,Paramètres!$A$1:$I$89,3,0)*VLOOKUP('Données projet'!$B$9,Paramètres!$A$1:$I$89,5,0)</f>
        <v>95.647799999999989</v>
      </c>
      <c r="P27" s="13">
        <f t="shared" si="33"/>
        <v>25.922476046044615</v>
      </c>
      <c r="Q27" s="20">
        <f t="shared" si="2"/>
        <v>211.73489744686097</v>
      </c>
      <c r="R27" s="59">
        <f t="shared" si="0"/>
        <v>505.06823078019431</v>
      </c>
      <c r="S27" s="59">
        <f ca="1">AVERAGE(OFFSET($R$3,0,0,'Données projet'!$E$9+1,1))-AVERAGE(OFFSET($H$3,0,0,'Données projet'!$E$9+1,1))</f>
        <v>278.21846622758881</v>
      </c>
      <c r="T27" s="59">
        <f t="shared" si="34"/>
        <v>245.37578316242906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40.41538461538461</v>
      </c>
      <c r="W27" s="16">
        <f>IF(ISNA(VLOOKUP(A27,'Données projet'!$A$35:$I$55,5,0)),0%,VLOOKUP(A27,'Données projet'!$A$35:$I$55,5,0)*VLOOKUP('Données projet'!$B$9,Paramètres!$A$1:$I$89,7,0))</f>
        <v>0.315</v>
      </c>
      <c r="X27" s="16">
        <f>IF(ISNA(VLOOKUP(A27,'Données projet'!$A$35:$I$55,6,0)),0%,VLOOKUP(A27,'Données projet'!$A$35:$I$55,6,0)*VLOOKUP('Données projet'!$B$9,Paramètres!$A$1:$I$89,7,0))</f>
        <v>7.5600000000000001E-2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10.099196221226169</v>
      </c>
      <c r="AA27" s="21">
        <f>EXP(-LN(2)/25)*AA26+(1-EXP(-LN(2)/25))/(LN(2)/25)*Calculateur!V27*Calculateur!X27*VLOOKUP('Données projet'!$B$9,Paramètres!$A$1:$I$89,3,0)*0.475*44/12</f>
        <v>10.481462197347724</v>
      </c>
      <c r="AB27" s="21">
        <f>EXP(-LN(2)/2)*AB26+(1-EXP(-LN(2)/2))/(LN(2)/2)*V27*Y27*VLOOKUP('Données projet'!$B$9,Paramètres!$A$1:$I$89,3,0)*0.475*44/12</f>
        <v>6.0629848302409268</v>
      </c>
      <c r="AC27" s="22">
        <f t="shared" si="3"/>
        <v>26.643643248814818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19.071794871794875</v>
      </c>
      <c r="AI27" s="13">
        <f>IF('Données projet'!$A$62&gt;35,AI26+AH27-AQ26,IF(A27&lt;'Données projet'!$A$62,$AF$205^A27,IF(A27='Données projet'!$A$62,'Données projet'!$B$62,AI26+AH27-AQ26)))</f>
        <v>211.2717948717949</v>
      </c>
      <c r="AJ27" s="13">
        <f>AI27*VLOOKUP('Données projet'!$B$10,Paramètres!$A$1:$I$89,3,0)*VLOOKUP('Données projet'!$B$10,Paramètres!$A$1:$I$89,5,0)</f>
        <v>126.34053333333337</v>
      </c>
      <c r="AK27" s="13">
        <f t="shared" si="35"/>
        <v>33.149363946532553</v>
      </c>
      <c r="AL27" s="20">
        <f t="shared" si="4"/>
        <v>277.77823776243309</v>
      </c>
      <c r="AM27" s="59">
        <f t="shared" si="5"/>
        <v>571.11157109576641</v>
      </c>
      <c r="AN27" s="59">
        <f ca="1">AVERAGE(OFFSET($AM$3,0,0,'Données projet'!$E$10+1,1))-AVERAGE(OFFSET($H$3,0,0,'Données projet'!$E$10+1,1))</f>
        <v>261.13725557061468</v>
      </c>
      <c r="AO27" s="59">
        <f t="shared" si="36"/>
        <v>328.18986868293558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16.407315422913126</v>
      </c>
      <c r="AW27" s="21">
        <f>EXP(-LN(2)/2)*AW26+(1-EXP(-LN(2)/2))/(LN(2)/2)*AQ27*AT27*VLOOKUP('Données projet'!$B$10,Paramètres!$A$1:$I$89,3,0)*0.475*44/12</f>
        <v>4.2842741465751999</v>
      </c>
      <c r="AX27" s="21">
        <f t="shared" si="6"/>
        <v>20.691589569488325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2.9235042735042733</v>
      </c>
      <c r="BD27" s="12">
        <f>IF('Données projet'!$A$88&gt;35,BD26+BC27-BL26,IF(A27&lt;'Données projet'!$A$88,$BA$205^A27,IF(A27='Données projet'!$A$88,'Données projet'!$B$88,BD26+BC27-BL26)))</f>
        <v>35.844290647096855</v>
      </c>
      <c r="BE27" s="13">
        <f>BD27*VLOOKUP('Données projet'!$B$11,Paramètres!$A$1:$I$89,3,0)*VLOOKUP('Données projet'!$B$11,Paramètres!$A$1:$I$89,5,0)</f>
        <v>36.346110716156211</v>
      </c>
      <c r="BF27" s="13">
        <f t="shared" si="37"/>
        <v>11.024850403718778</v>
      </c>
      <c r="BG27" s="20">
        <f t="shared" si="7"/>
        <v>82.504423950448952</v>
      </c>
      <c r="BH27" s="59">
        <f t="shared" si="8"/>
        <v>375.83775728378225</v>
      </c>
      <c r="BI27" s="59">
        <f ca="1">AVERAGE(OFFSET($BH$3,0,0,'Données projet'!$E$11+1,1))-AVERAGE(OFFSET($H$3,0,0,'Données projet'!$E$11+1,1))</f>
        <v>250.31277422753283</v>
      </c>
      <c r="BJ27" s="59">
        <f t="shared" si="38"/>
        <v>159.20429420478047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10.199999999999999</v>
      </c>
      <c r="BY27" s="12">
        <f>IF('Données projet'!$A$114&gt;35,BY26+BX27-CG26,IF(A27&lt;'Données projet'!$A$114,$BV$205^A27,IF(A27='Données projet'!$A$114,'Données projet'!$B$114,BY26+BX27-CG26)))</f>
        <v>115.8</v>
      </c>
      <c r="BZ27" s="13">
        <f>BY27*VLOOKUP('Données projet'!$B$12,Paramètres!$A$1:$I$89,3,0)*VLOOKUP('Données projet'!$B$12,Paramètres!$A$1:$I$89,5,0)</f>
        <v>121.03416</v>
      </c>
      <c r="CA27" s="13">
        <f t="shared" si="39"/>
        <v>31.916079538986775</v>
      </c>
      <c r="CB27" s="20">
        <f t="shared" si="10"/>
        <v>266.38833386373528</v>
      </c>
      <c r="CC27" s="59">
        <f t="shared" si="11"/>
        <v>559.72166719706865</v>
      </c>
      <c r="CD27" s="59">
        <f ca="1">AVERAGE(OFFSET($CC$3,0,0,'Données projet'!$E$12+1,1))-AVERAGE(OFFSET($H$3,0,0,'Données projet'!$E$12+1,1))</f>
        <v>322.93502595881938</v>
      </c>
      <c r="CE27" s="59">
        <f t="shared" si="40"/>
        <v>302.67072119588164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16.020512820512824</v>
      </c>
      <c r="N28" s="13">
        <f>IF('Données projet'!$A$36&gt;35,N27+M28-V27,IF(A28&lt;'Données projet'!$A$36,$K$205^A28,IF(A28='Données projet'!$A$36,'Données projet'!$B$36,N27+M28-V27)))</f>
        <v>135.55128205128204</v>
      </c>
      <c r="O28" s="13">
        <f>N28*VLOOKUP('Données projet'!$B$9,Paramètres!$A$1:$I$89,3,0)*VLOOKUP('Données projet'!$B$9,Paramètres!$A$1:$I$89,5,0)</f>
        <v>81.059666666666672</v>
      </c>
      <c r="P28" s="13">
        <f t="shared" si="33"/>
        <v>22.396079377742645</v>
      </c>
      <c r="Q28" s="20">
        <f t="shared" si="2"/>
        <v>180.18542436067958</v>
      </c>
      <c r="R28" s="59">
        <f t="shared" si="0"/>
        <v>473.51875769401289</v>
      </c>
      <c r="S28" s="59">
        <f ca="1">AVERAGE(OFFSET($R$3,0,0,'Données projet'!$E$9+1,1))-AVERAGE(OFFSET($H$3,0,0,'Données projet'!$E$9+1,1))</f>
        <v>278.21846622758881</v>
      </c>
      <c r="T28" s="59">
        <f t="shared" si="34"/>
        <v>245.37578316242906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9.9011571432293799</v>
      </c>
      <c r="AA28" s="21">
        <f>EXP(-LN(2)/25)*AA27+(1-EXP(-LN(2)/25))/(LN(2)/25)*Calculateur!V28*Calculateur!X28*VLOOKUP('Données projet'!$B$9,Paramètres!$A$1:$I$89,3,0)*0.475*44/12</f>
        <v>10.19484606236511</v>
      </c>
      <c r="AB28" s="21">
        <f>EXP(-LN(2)/2)*AB27+(1-EXP(-LN(2)/2))/(LN(2)/2)*V28*Y28*VLOOKUP('Données projet'!$B$9,Paramètres!$A$1:$I$89,3,0)*0.475*44/12</f>
        <v>4.2871776876945287</v>
      </c>
      <c r="AC28" s="22">
        <f t="shared" si="3"/>
        <v>24.383180893289023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19.071794871794875</v>
      </c>
      <c r="AI28" s="13">
        <f>IF('Données projet'!$A$62&gt;35,AI27+AH28-AQ27,IF(A28&lt;'Données projet'!$A$62,$AF$205^A28,IF(A28='Données projet'!$A$62,'Données projet'!$B$62,AI27+AH28-AQ27)))</f>
        <v>230.34358974358977</v>
      </c>
      <c r="AJ28" s="13">
        <f>AI28*VLOOKUP('Données projet'!$B$10,Paramètres!$A$1:$I$89,3,0)*VLOOKUP('Données projet'!$B$10,Paramètres!$A$1:$I$89,5,0)</f>
        <v>137.74546666666669</v>
      </c>
      <c r="AK28" s="13">
        <f t="shared" si="35"/>
        <v>35.780036573255778</v>
      </c>
      <c r="AL28" s="20">
        <f t="shared" si="4"/>
        <v>302.22358480953159</v>
      </c>
      <c r="AM28" s="59">
        <f t="shared" si="5"/>
        <v>595.5569181428649</v>
      </c>
      <c r="AN28" s="59">
        <f ca="1">AVERAGE(OFFSET($AM$3,0,0,'Données projet'!$E$10+1,1))-AVERAGE(OFFSET($H$3,0,0,'Données projet'!$E$10+1,1))</f>
        <v>261.13725557061468</v>
      </c>
      <c r="AO28" s="59">
        <f t="shared" si="36"/>
        <v>328.18986868293558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15.958656519850347</v>
      </c>
      <c r="AW28" s="21">
        <f>EXP(-LN(2)/2)*AW27+(1-EXP(-LN(2)/2))/(LN(2)/2)*AQ28*AT28*VLOOKUP('Données projet'!$B$10,Paramètres!$A$1:$I$89,3,0)*0.475*44/12</f>
        <v>3.0294393015055325</v>
      </c>
      <c r="AX28" s="21">
        <f t="shared" si="6"/>
        <v>18.988095821355881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2.9235042735042733</v>
      </c>
      <c r="BD28" s="12">
        <f>IF('Données projet'!$A$88&gt;35,BD27+BC28-BL27,IF(A28&lt;'Données projet'!$A$88,$BA$205^A28,IF(A28='Données projet'!$A$88,'Données projet'!$B$88,BD27+BC28-BL27)))</f>
        <v>41.609020251295185</v>
      </c>
      <c r="BE28" s="13">
        <f>BD28*VLOOKUP('Données projet'!$B$11,Paramètres!$A$1:$I$89,3,0)*VLOOKUP('Données projet'!$B$11,Paramètres!$A$1:$I$89,5,0)</f>
        <v>42.19154653481332</v>
      </c>
      <c r="BF28" s="13">
        <f t="shared" si="37"/>
        <v>12.577701043627256</v>
      </c>
      <c r="BG28" s="20">
        <f t="shared" si="7"/>
        <v>95.389772865783996</v>
      </c>
      <c r="BH28" s="59">
        <f t="shared" si="8"/>
        <v>388.7231061991173</v>
      </c>
      <c r="BI28" s="59">
        <f ca="1">AVERAGE(OFFSET($BH$3,0,0,'Données projet'!$E$11+1,1))-AVERAGE(OFFSET($H$3,0,0,'Données projet'!$E$11+1,1))</f>
        <v>250.31277422753283</v>
      </c>
      <c r="BJ28" s="59">
        <f t="shared" si="38"/>
        <v>159.20429420478047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126</v>
      </c>
      <c r="BW28" s="12">
        <f>VLOOKUP(A28,'Données projet'!$A$113:$I$133,9,0)</f>
        <v>10.199999999999999</v>
      </c>
      <c r="BX28" s="12">
        <f t="array" ref="BX28">INDEX(BW:BW,MIN(IF(ISNUMBER(BW28:BW224),ROW(BW28:BW224),"")))</f>
        <v>10.199999999999999</v>
      </c>
      <c r="BY28" s="12">
        <f>IF('Données projet'!$A$114&gt;35,BY27+BX28-CG27,IF(A28&lt;'Données projet'!$A$114,$BV$205^A28,IF(A28='Données projet'!$A$114,'Données projet'!$B$114,BY27+BX28-CG27)))</f>
        <v>126</v>
      </c>
      <c r="BZ28" s="13">
        <f>BY28*VLOOKUP('Données projet'!$B$12,Paramètres!$A$1:$I$89,3,0)*VLOOKUP('Données projet'!$B$12,Paramètres!$A$1:$I$89,5,0)</f>
        <v>131.6952</v>
      </c>
      <c r="CA28" s="13">
        <f t="shared" si="39"/>
        <v>34.387774432362242</v>
      </c>
      <c r="CB28" s="20">
        <f t="shared" si="10"/>
        <v>289.26118046969754</v>
      </c>
      <c r="CC28" s="59">
        <f t="shared" si="11"/>
        <v>582.59451380303085</v>
      </c>
      <c r="CD28" s="59">
        <f ca="1">AVERAGE(OFFSET($CC$3,0,0,'Données projet'!$E$12+1,1))-AVERAGE(OFFSET($H$3,0,0,'Données projet'!$E$12+1,1))</f>
        <v>322.93502595881938</v>
      </c>
      <c r="CE28" s="59">
        <f t="shared" si="40"/>
        <v>302.67072119588164</v>
      </c>
      <c r="CF28" s="15">
        <f>IF(ISNA(VLOOKUP(A28,'Données projet'!$A$113:$I$133,3,0)),0,VLOOKUP(A28,'Données projet'!$A$113:$I$133,3,0))</f>
        <v>2</v>
      </c>
      <c r="CG28" s="15" t="str">
        <f>IF(ISNA(VLOOKUP(A28,'Données projet'!$A$113:$I$133,4,0)),0,VLOOKUP(A28,'Données projet'!$A$113:$I$133,4,0))</f>
        <v>26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16.020512820512824</v>
      </c>
      <c r="N29" s="13">
        <f>IF('Données projet'!$A$36&gt;35,N28+M29-V28,IF(A29&lt;'Données projet'!$A$36,$K$205^A29,IF(A29='Données projet'!$A$36,'Données projet'!$B$36,N28+M29-V28)))</f>
        <v>151.57179487179488</v>
      </c>
      <c r="O29" s="13">
        <f>N29*VLOOKUP('Données projet'!$B$9,Paramètres!$A$1:$I$89,3,0)*VLOOKUP('Données projet'!$B$9,Paramètres!$A$1:$I$89,5,0)</f>
        <v>90.639933333333346</v>
      </c>
      <c r="P29" s="13">
        <f t="shared" si="33"/>
        <v>24.719497804626467</v>
      </c>
      <c r="Q29" s="20">
        <f t="shared" si="2"/>
        <v>200.91767589861334</v>
      </c>
      <c r="R29" s="59">
        <f t="shared" si="0"/>
        <v>494.25100923194668</v>
      </c>
      <c r="S29" s="59">
        <f ca="1">AVERAGE(OFFSET($R$3,0,0,'Données projet'!$E$9+1,1))-AVERAGE(OFFSET($H$3,0,0,'Données projet'!$E$9+1,1))</f>
        <v>278.21846622758881</v>
      </c>
      <c r="T29" s="59">
        <f t="shared" si="34"/>
        <v>245.37578316242906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9.7070014907601969</v>
      </c>
      <c r="AA29" s="21">
        <f>EXP(-LN(2)/25)*AA28+(1-EXP(-LN(2)/25))/(LN(2)/25)*Calculateur!V29*Calculateur!X29*VLOOKUP('Données projet'!$B$9,Paramètres!$A$1:$I$89,3,0)*0.475*44/12</f>
        <v>9.916067460666083</v>
      </c>
      <c r="AB29" s="21">
        <f>EXP(-LN(2)/2)*AB28+(1-EXP(-LN(2)/2))/(LN(2)/2)*V29*Y29*VLOOKUP('Données projet'!$B$9,Paramètres!$A$1:$I$89,3,0)*0.475*44/12</f>
        <v>3.0314924151204639</v>
      </c>
      <c r="AC29" s="22">
        <f t="shared" si="3"/>
        <v>22.654561366546744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>
        <f>VLOOKUP(A29,'Données projet'!$A$61:$I$81,2,0)</f>
        <v>249.41538461538462</v>
      </c>
      <c r="AG29" s="12">
        <f>VLOOKUP(A29,'Données projet'!$A$61:$I$81,9,0)</f>
        <v>19.071794871794875</v>
      </c>
      <c r="AH29" s="12">
        <f t="array" ref="AH29">INDEX(AG:AG,MIN(IF(ISNUMBER(AG29:AG225),ROW(AG29:AG225),"")))</f>
        <v>19.071794871794875</v>
      </c>
      <c r="AI29" s="13">
        <f>IF('Données projet'!$A$62&gt;35,AI28+AH29-AQ28,IF(A29&lt;'Données projet'!$A$62,$AF$205^A29,IF(A29='Données projet'!$A$62,'Données projet'!$B$62,AI28+AH29-AQ28)))</f>
        <v>249.41538461538465</v>
      </c>
      <c r="AJ29" s="13">
        <f>AI29*VLOOKUP('Données projet'!$B$10,Paramètres!$A$1:$I$89,3,0)*VLOOKUP('Données projet'!$B$10,Paramètres!$A$1:$I$89,5,0)</f>
        <v>149.15040000000002</v>
      </c>
      <c r="AK29" s="13">
        <f t="shared" si="35"/>
        <v>38.385447191571515</v>
      </c>
      <c r="AL29" s="20">
        <f t="shared" si="4"/>
        <v>326.62493385865372</v>
      </c>
      <c r="AM29" s="59">
        <f t="shared" si="5"/>
        <v>619.95826719198703</v>
      </c>
      <c r="AN29" s="59">
        <f ca="1">AVERAGE(OFFSET($AM$3,0,0,'Données projet'!$E$10+1,1))-AVERAGE(OFFSET($H$3,0,0,'Données projet'!$E$10+1,1))</f>
        <v>261.13725557061468</v>
      </c>
      <c r="AO29" s="59">
        <f t="shared" si="36"/>
        <v>328.18986868293558</v>
      </c>
      <c r="AP29" s="15">
        <f>IF(ISNA(VLOOKUP(A29,'Données projet'!$A$61:$I$81,3,0)),0,VLOOKUP(A29,'Données projet'!$A$61:$I$81,3,0))</f>
        <v>3</v>
      </c>
      <c r="AQ29" s="15">
        <f>IF(ISNA(VLOOKUP(A29,'Données projet'!$A$61:$I$81,4,0)),0,VLOOKUP(A29,'Données projet'!$A$61:$I$81,4,0))</f>
        <v>46.984615384615381</v>
      </c>
      <c r="AR29" s="16">
        <f>IF(ISNA(VLOOKUP(A29,'Données projet'!$A$61:$I$81,5,0)),0%,VLOOKUP(A29,'Données projet'!$A$61:$I$81,5,0)*VLOOKUP('Données projet'!$B$10,Paramètres!$A$1:$I$89,7,0))</f>
        <v>0.315</v>
      </c>
      <c r="AS29" s="16">
        <f>IF(ISNA(VLOOKUP(A29,'Données projet'!$A$61:$I$81,6,0)),0%,VLOOKUP(A29,'Données projet'!$A$61:$I$81,6,0)*VLOOKUP('Données projet'!$B$10,Paramètres!$A$1:$I$89,7,0))</f>
        <v>7.5600000000000001E-2</v>
      </c>
      <c r="AT29" s="16">
        <f>IF(ISNA(VLOOKUP(A29,'Données projet'!$A$61:$I$81,7,0)),0%,VLOOKUP(A29,'Données projet'!$A$61:$I$81,7,0))</f>
        <v>0.13200000000000001</v>
      </c>
      <c r="AU29" s="21">
        <f>EXP(-LN(2)/35)*AU28+(1-EXP(-LN(2)/35))/(LN(2)/35)*AQ29*AR29*VLOOKUP('Données projet'!$B$10,Paramètres!$A$1:$I$89,3,0)*0.475*44/12</f>
        <v>11.740748100352008</v>
      </c>
      <c r="AV29" s="21">
        <f>EXP(-LN(2)/25)*AV28+(1-EXP(-LN(2)/25))/(LN(2)/25)*Calculateur!AQ29*Calculateur!AS29*VLOOKUP('Données projet'!$B$10,Paramètres!$A$1:$I$89,3,0)*0.475*44/12</f>
        <v>18.328951090447006</v>
      </c>
      <c r="AW29" s="21">
        <f>EXP(-LN(2)/2)*AW28+(1-EXP(-LN(2)/2))/(LN(2)/2)*AQ29*AT29*VLOOKUP('Données projet'!$B$10,Paramètres!$A$1:$I$89,3,0)*0.475*44/12</f>
        <v>6.3413348563502918</v>
      </c>
      <c r="AX29" s="21">
        <f t="shared" si="6"/>
        <v>36.411034047149307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2.9235042735042733</v>
      </c>
      <c r="BD29" s="12">
        <f>IF('Données projet'!$A$88&gt;35,BD28+BC29-BL28,IF(A29&lt;'Données projet'!$A$88,$BA$205^A29,IF(A29='Données projet'!$A$88,'Données projet'!$B$88,BD28+BC29-BL28)))</f>
        <v>48.30087400300993</v>
      </c>
      <c r="BE29" s="13">
        <f>BD29*VLOOKUP('Données projet'!$B$11,Paramètres!$A$1:$I$89,3,0)*VLOOKUP('Données projet'!$B$11,Paramètres!$A$1:$I$89,5,0)</f>
        <v>48.97708623905207</v>
      </c>
      <c r="BF29" s="13">
        <f t="shared" si="37"/>
        <v>14.34927076103458</v>
      </c>
      <c r="BG29" s="20">
        <f t="shared" si="7"/>
        <v>110.29340510848425</v>
      </c>
      <c r="BH29" s="59">
        <f t="shared" si="8"/>
        <v>403.62673844181757</v>
      </c>
      <c r="BI29" s="59">
        <f ca="1">AVERAGE(OFFSET($BH$3,0,0,'Données projet'!$E$11+1,1))-AVERAGE(OFFSET($H$3,0,0,'Données projet'!$E$11+1,1))</f>
        <v>250.31277422753283</v>
      </c>
      <c r="BJ29" s="59">
        <f t="shared" si="38"/>
        <v>159.20429420478047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9.8000000000000007</v>
      </c>
      <c r="BY29" s="12">
        <f>IF('Données projet'!$A$114&gt;35,BY28+BX29-CG28,IF(A29&lt;'Données projet'!$A$114,$BV$205^A29,IF(A29='Données projet'!$A$114,'Données projet'!$B$114,BY28+BX29-CG28)))</f>
        <v>109.80000000000001</v>
      </c>
      <c r="BZ29" s="13">
        <f>BY29*VLOOKUP('Données projet'!$B$12,Paramètres!$A$1:$I$89,3,0)*VLOOKUP('Données projet'!$B$12,Paramètres!$A$1:$I$89,5,0)</f>
        <v>114.76296000000004</v>
      </c>
      <c r="CA29" s="13">
        <f t="shared" si="39"/>
        <v>30.450391685635733</v>
      </c>
      <c r="CB29" s="20">
        <f t="shared" si="10"/>
        <v>252.91325418581559</v>
      </c>
      <c r="CC29" s="59">
        <f t="shared" si="11"/>
        <v>546.24658751914887</v>
      </c>
      <c r="CD29" s="59">
        <f ca="1">AVERAGE(OFFSET($CC$3,0,0,'Données projet'!$E$12+1,1))-AVERAGE(OFFSET($H$3,0,0,'Données projet'!$E$12+1,1))</f>
        <v>322.93502595881938</v>
      </c>
      <c r="CE29" s="59">
        <f t="shared" si="40"/>
        <v>302.67072119588164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16.020512820512824</v>
      </c>
      <c r="N30" s="13">
        <f>IF('Données projet'!$A$36&gt;35,N29+M30-V29,IF(A30&lt;'Données projet'!$A$36,$K$205^A30,IF(A30='Données projet'!$A$36,'Données projet'!$B$36,N29+M30-V29)))</f>
        <v>167.59230769230771</v>
      </c>
      <c r="O30" s="13">
        <f>N30*VLOOKUP('Données projet'!$B$9,Paramètres!$A$1:$I$89,3,0)*VLOOKUP('Données projet'!$B$9,Paramètres!$A$1:$I$89,5,0)</f>
        <v>100.22020000000002</v>
      </c>
      <c r="P30" s="13">
        <f t="shared" si="33"/>
        <v>27.014450444334749</v>
      </c>
      <c r="Q30" s="20">
        <f t="shared" si="2"/>
        <v>221.60034952388301</v>
      </c>
      <c r="R30" s="59">
        <f t="shared" si="0"/>
        <v>514.93368285721635</v>
      </c>
      <c r="S30" s="59">
        <f ca="1">AVERAGE(OFFSET($R$3,0,0,'Données projet'!$E$9+1,1))-AVERAGE(OFFSET($H$3,0,0,'Données projet'!$E$9+1,1))</f>
        <v>278.21846622758881</v>
      </c>
      <c r="T30" s="59">
        <f t="shared" si="34"/>
        <v>245.37578316242906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9.5166531122126798</v>
      </c>
      <c r="AA30" s="21">
        <f>EXP(-LN(2)/25)*AA29+(1-EXP(-LN(2)/25))/(LN(2)/25)*Calculateur!V30*Calculateur!X30*VLOOKUP('Données projet'!$B$9,Paramètres!$A$1:$I$89,3,0)*0.475*44/12</f>
        <v>9.6449120744908452</v>
      </c>
      <c r="AB30" s="21">
        <f>EXP(-LN(2)/2)*AB29+(1-EXP(-LN(2)/2))/(LN(2)/2)*V30*Y30*VLOOKUP('Données projet'!$B$9,Paramètres!$A$1:$I$89,3,0)*0.475*44/12</f>
        <v>2.1435888438472643</v>
      </c>
      <c r="AC30" s="22">
        <f t="shared" si="3"/>
        <v>21.305154030550792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19.498076923076916</v>
      </c>
      <c r="AI30" s="13">
        <f>IF('Données projet'!$A$62&gt;35,AI29+AH30-AQ29,IF(A30&lt;'Données projet'!$A$62,$AF$205^A30,IF(A30='Données projet'!$A$62,'Données projet'!$B$62,AI29+AH30-AQ29)))</f>
        <v>221.92884615384617</v>
      </c>
      <c r="AJ30" s="13">
        <f>AI30*VLOOKUP('Données projet'!$B$10,Paramètres!$A$1:$I$89,3,0)*VLOOKUP('Données projet'!$B$10,Paramètres!$A$1:$I$89,5,0)</f>
        <v>132.71345000000002</v>
      </c>
      <c r="AK30" s="13">
        <f t="shared" si="35"/>
        <v>34.622602138133175</v>
      </c>
      <c r="AL30" s="20">
        <f t="shared" si="4"/>
        <v>291.44362414058196</v>
      </c>
      <c r="AM30" s="59">
        <f t="shared" si="5"/>
        <v>584.77695747391522</v>
      </c>
      <c r="AN30" s="59">
        <f ca="1">AVERAGE(OFFSET($AM$3,0,0,'Données projet'!$E$10+1,1))-AVERAGE(OFFSET($H$3,0,0,'Données projet'!$E$10+1,1))</f>
        <v>261.13725557061468</v>
      </c>
      <c r="AO30" s="59">
        <f t="shared" si="36"/>
        <v>328.18986868293558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11.510519191253341</v>
      </c>
      <c r="AV30" s="21">
        <f>EXP(-LN(2)/25)*AV29+(1-EXP(-LN(2)/25))/(LN(2)/25)*Calculateur!AQ30*Calculateur!AS30*VLOOKUP('Données projet'!$B$10,Paramètres!$A$1:$I$89,3,0)*0.475*44/12</f>
        <v>17.827744959001087</v>
      </c>
      <c r="AW30" s="21">
        <f>EXP(-LN(2)/2)*AW29+(1-EXP(-LN(2)/2))/(LN(2)/2)*AQ30*AT30*VLOOKUP('Données projet'!$B$10,Paramètres!$A$1:$I$89,3,0)*0.475*44/12</f>
        <v>4.4840008786999128</v>
      </c>
      <c r="AX30" s="21">
        <f t="shared" si="6"/>
        <v>33.822265028954341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2.9235042735042733</v>
      </c>
      <c r="BD30" s="12">
        <f>IF('Données projet'!$A$88&gt;35,BD29+BC30-BL29,IF(A30&lt;'Données projet'!$A$88,$BA$205^A30,IF(A30='Données projet'!$A$88,'Données projet'!$B$88,BD29+BC30-BL29)))</f>
        <v>56.068958494210662</v>
      </c>
      <c r="BE30" s="13">
        <f>BD30*VLOOKUP('Données projet'!$B$11,Paramètres!$A$1:$I$89,3,0)*VLOOKUP('Données projet'!$B$11,Paramètres!$A$1:$I$89,5,0)</f>
        <v>56.853923913129613</v>
      </c>
      <c r="BF30" s="13">
        <f t="shared" si="37"/>
        <v>16.370366147143088</v>
      </c>
      <c r="BG30" s="20">
        <f t="shared" si="7"/>
        <v>127.53230518830827</v>
      </c>
      <c r="BH30" s="59">
        <f t="shared" si="8"/>
        <v>420.86563852164159</v>
      </c>
      <c r="BI30" s="59">
        <f ca="1">AVERAGE(OFFSET($BH$3,0,0,'Données projet'!$E$11+1,1))-AVERAGE(OFFSET($H$3,0,0,'Données projet'!$E$11+1,1))</f>
        <v>250.31277422753283</v>
      </c>
      <c r="BJ30" s="59">
        <f t="shared" si="38"/>
        <v>159.20429420478047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9.8000000000000007</v>
      </c>
      <c r="BY30" s="12">
        <f>IF('Données projet'!$A$114&gt;35,BY29+BX30-CG29,IF(A30&lt;'Données projet'!$A$114,$BV$205^A30,IF(A30='Données projet'!$A$114,'Données projet'!$B$114,BY29+BX30-CG29)))</f>
        <v>119.60000000000001</v>
      </c>
      <c r="BZ30" s="13">
        <f>BY30*VLOOKUP('Données projet'!$B$12,Paramètres!$A$1:$I$89,3,0)*VLOOKUP('Données projet'!$B$12,Paramètres!$A$1:$I$89,5,0)</f>
        <v>125.00592000000002</v>
      </c>
      <c r="CA30" s="13">
        <f t="shared" si="39"/>
        <v>32.839756328142556</v>
      </c>
      <c r="CB30" s="20">
        <f t="shared" si="10"/>
        <v>274.91455293818166</v>
      </c>
      <c r="CC30" s="59">
        <f t="shared" si="11"/>
        <v>568.24788627151497</v>
      </c>
      <c r="CD30" s="59">
        <f ca="1">AVERAGE(OFFSET($CC$3,0,0,'Données projet'!$E$12+1,1))-AVERAGE(OFFSET($H$3,0,0,'Données projet'!$E$12+1,1))</f>
        <v>322.93502595881938</v>
      </c>
      <c r="CE30" s="59">
        <f t="shared" si="40"/>
        <v>302.67072119588164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16.020512820512824</v>
      </c>
      <c r="N31" s="13">
        <f>IF('Données projet'!$A$36&gt;35,N30+M31-V30,IF(A31&lt;'Données projet'!$A$36,$K$205^A31,IF(A31='Données projet'!$A$36,'Données projet'!$B$36,N30+M31-V30)))</f>
        <v>183.61282051282055</v>
      </c>
      <c r="O31" s="13">
        <f>N31*VLOOKUP('Données projet'!$B$9,Paramètres!$A$1:$I$89,3,0)*VLOOKUP('Données projet'!$B$9,Paramètres!$A$1:$I$89,5,0)</f>
        <v>109.80046666666669</v>
      </c>
      <c r="P31" s="13">
        <f t="shared" si="33"/>
        <v>29.283967996494283</v>
      </c>
      <c r="Q31" s="20">
        <f t="shared" si="2"/>
        <v>242.23872370500536</v>
      </c>
      <c r="R31" s="59">
        <f t="shared" si="0"/>
        <v>535.5720570383387</v>
      </c>
      <c r="S31" s="59">
        <f ca="1">AVERAGE(OFFSET($R$3,0,0,'Données projet'!$E$9+1,1))-AVERAGE(OFFSET($H$3,0,0,'Données projet'!$E$9+1,1))</f>
        <v>278.21846622758881</v>
      </c>
      <c r="T31" s="59">
        <f t="shared" si="34"/>
        <v>245.37578316242906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9.3300373492674318</v>
      </c>
      <c r="AA31" s="21">
        <f>EXP(-LN(2)/25)*AA30+(1-EXP(-LN(2)/25))/(LN(2)/25)*Calculateur!V31*Calculateur!X31*VLOOKUP('Données projet'!$B$9,Paramètres!$A$1:$I$89,3,0)*0.475*44/12</f>
        <v>9.3811714466100113</v>
      </c>
      <c r="AB31" s="21">
        <f>EXP(-LN(2)/2)*AB30+(1-EXP(-LN(2)/2))/(LN(2)/2)*V31*Y31*VLOOKUP('Données projet'!$B$9,Paramètres!$A$1:$I$89,3,0)*0.475*44/12</f>
        <v>1.5157462075602319</v>
      </c>
      <c r="AC31" s="22">
        <f t="shared" si="3"/>
        <v>20.226955003437673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19.498076923076916</v>
      </c>
      <c r="AI31" s="13">
        <f>IF('Données projet'!$A$62&gt;35,AI30+AH31-AQ30,IF(A31&lt;'Données projet'!$A$62,$AF$205^A31,IF(A31='Données projet'!$A$62,'Données projet'!$B$62,AI30+AH31-AQ30)))</f>
        <v>241.42692307692309</v>
      </c>
      <c r="AJ31" s="13">
        <f>AI31*VLOOKUP('Données projet'!$B$10,Paramètres!$A$1:$I$89,3,0)*VLOOKUP('Données projet'!$B$10,Paramètres!$A$1:$I$89,5,0)</f>
        <v>144.37330000000003</v>
      </c>
      <c r="AK31" s="13">
        <f t="shared" si="35"/>
        <v>37.297066515496802</v>
      </c>
      <c r="AL31" s="20">
        <f t="shared" si="4"/>
        <v>316.40922168115691</v>
      </c>
      <c r="AM31" s="59">
        <f t="shared" si="5"/>
        <v>609.74255501449022</v>
      </c>
      <c r="AN31" s="59">
        <f ca="1">AVERAGE(OFFSET($AM$3,0,0,'Données projet'!$E$10+1,1))-AVERAGE(OFFSET($H$3,0,0,'Données projet'!$E$10+1,1))</f>
        <v>261.13725557061468</v>
      </c>
      <c r="AO31" s="59">
        <f t="shared" si="36"/>
        <v>328.18986868293558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11.28480493063633</v>
      </c>
      <c r="AV31" s="21">
        <f>EXP(-LN(2)/25)*AV30+(1-EXP(-LN(2)/25))/(LN(2)/25)*Calculateur!AQ31*Calculateur!AS31*VLOOKUP('Données projet'!$B$10,Paramètres!$A$1:$I$89,3,0)*0.475*44/12</f>
        <v>17.340244335576841</v>
      </c>
      <c r="AW31" s="21">
        <f>EXP(-LN(2)/2)*AW30+(1-EXP(-LN(2)/2))/(LN(2)/2)*AQ31*AT31*VLOOKUP('Données projet'!$B$10,Paramètres!$A$1:$I$89,3,0)*0.475*44/12</f>
        <v>3.1706674281751464</v>
      </c>
      <c r="AX31" s="21">
        <f t="shared" si="6"/>
        <v>31.795716694388318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2.9235042735042733</v>
      </c>
      <c r="BD31" s="12">
        <f>IF('Données projet'!$A$88&gt;35,BD30+BC31-BL30,IF(A31&lt;'Données projet'!$A$88,$BA$205^A31,IF(A31='Données projet'!$A$88,'Données projet'!$B$88,BD30+BC31-BL30)))</f>
        <v>65.086360682202411</v>
      </c>
      <c r="BE31" s="13">
        <f>BD31*VLOOKUP('Données projet'!$B$11,Paramètres!$A$1:$I$89,3,0)*VLOOKUP('Données projet'!$B$11,Paramètres!$A$1:$I$89,5,0)</f>
        <v>65.997569731753245</v>
      </c>
      <c r="BF31" s="13">
        <f t="shared" si="37"/>
        <v>18.67613290281286</v>
      </c>
      <c r="BG31" s="20">
        <f t="shared" si="7"/>
        <v>147.47336542186929</v>
      </c>
      <c r="BH31" s="59">
        <f t="shared" si="8"/>
        <v>440.8066987552026</v>
      </c>
      <c r="BI31" s="59">
        <f ca="1">AVERAGE(OFFSET($BH$3,0,0,'Données projet'!$E$11+1,1))-AVERAGE(OFFSET($H$3,0,0,'Données projet'!$E$11+1,1))</f>
        <v>250.31277422753283</v>
      </c>
      <c r="BJ31" s="59">
        <f t="shared" si="38"/>
        <v>159.20429420478047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9.8000000000000007</v>
      </c>
      <c r="BY31" s="12">
        <f>IF('Données projet'!$A$114&gt;35,BY30+BX31-CG30,IF(A31&lt;'Données projet'!$A$114,$BV$205^A31,IF(A31='Données projet'!$A$114,'Données projet'!$B$114,BY30+BX31-CG30)))</f>
        <v>129.4</v>
      </c>
      <c r="BZ31" s="13">
        <f>BY31*VLOOKUP('Données projet'!$B$12,Paramètres!$A$1:$I$89,3,0)*VLOOKUP('Données projet'!$B$12,Paramètres!$A$1:$I$89,5,0)</f>
        <v>135.24888000000001</v>
      </c>
      <c r="CA31" s="13">
        <f t="shared" si="39"/>
        <v>35.206413236083414</v>
      </c>
      <c r="CB31" s="20">
        <f t="shared" si="10"/>
        <v>296.87630238617862</v>
      </c>
      <c r="CC31" s="59">
        <f t="shared" si="11"/>
        <v>590.20963571951188</v>
      </c>
      <c r="CD31" s="59">
        <f ca="1">AVERAGE(OFFSET($CC$3,0,0,'Données projet'!$E$12+1,1))-AVERAGE(OFFSET($H$3,0,0,'Données projet'!$E$12+1,1))</f>
        <v>322.93502595881938</v>
      </c>
      <c r="CE31" s="59">
        <f t="shared" si="40"/>
        <v>302.67072119588164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16.020512820512824</v>
      </c>
      <c r="N32" s="13">
        <f>IF('Données projet'!$A$36&gt;35,N31+M32-V31,IF(A32&lt;'Données projet'!$A$36,$K$205^A32,IF(A32='Données projet'!$A$36,'Données projet'!$B$36,N31+M32-V31)))</f>
        <v>199.63333333333338</v>
      </c>
      <c r="O32" s="13">
        <f>N32*VLOOKUP('Données projet'!$B$9,Paramètres!$A$1:$I$89,3,0)*VLOOKUP('Données projet'!$B$9,Paramètres!$A$1:$I$89,5,0)</f>
        <v>119.38073333333337</v>
      </c>
      <c r="P32" s="13">
        <f t="shared" si="33"/>
        <v>31.530522050233152</v>
      </c>
      <c r="Q32" s="20">
        <f t="shared" si="2"/>
        <v>262.83710312637839</v>
      </c>
      <c r="R32" s="59">
        <f t="shared" si="0"/>
        <v>556.17043645971171</v>
      </c>
      <c r="S32" s="59">
        <f ca="1">AVERAGE(OFFSET($R$3,0,0,'Données projet'!$E$9+1,1))-AVERAGE(OFFSET($H$3,0,0,'Données projet'!$E$9+1,1))</f>
        <v>278.21846622758881</v>
      </c>
      <c r="T32" s="59">
        <f t="shared" si="34"/>
        <v>245.37578316242906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9.1470810076091649</v>
      </c>
      <c r="AA32" s="21">
        <f>EXP(-LN(2)/25)*AA31+(1-EXP(-LN(2)/25))/(LN(2)/25)*Calculateur!V32*Calculateur!X32*VLOOKUP('Données projet'!$B$9,Paramètres!$A$1:$I$89,3,0)*0.475*44/12</f>
        <v>9.1246428200680949</v>
      </c>
      <c r="AB32" s="21">
        <f>EXP(-LN(2)/2)*AB31+(1-EXP(-LN(2)/2))/(LN(2)/2)*V32*Y32*VLOOKUP('Données projet'!$B$9,Paramètres!$A$1:$I$89,3,0)*0.475*44/12</f>
        <v>1.0717944219236322</v>
      </c>
      <c r="AC32" s="22">
        <f t="shared" si="3"/>
        <v>19.343518249600891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19.498076923076916</v>
      </c>
      <c r="AI32" s="13">
        <f>IF('Données projet'!$A$62&gt;35,AI31+AH32-AQ31,IF(A32&lt;'Données projet'!$A$62,$AF$205^A32,IF(A32='Données projet'!$A$62,'Données projet'!$B$62,AI31+AH32-AQ31)))</f>
        <v>260.92500000000001</v>
      </c>
      <c r="AJ32" s="13">
        <f>AI32*VLOOKUP('Données projet'!$B$10,Paramètres!$A$1:$I$89,3,0)*VLOOKUP('Données projet'!$B$10,Paramètres!$A$1:$I$89,5,0)</f>
        <v>156.03315000000001</v>
      </c>
      <c r="AK32" s="13">
        <f t="shared" si="35"/>
        <v>39.946478197047639</v>
      </c>
      <c r="AL32" s="20">
        <f t="shared" si="4"/>
        <v>341.33118577652465</v>
      </c>
      <c r="AM32" s="59">
        <f t="shared" si="5"/>
        <v>634.66451910985802</v>
      </c>
      <c r="AN32" s="59">
        <f ca="1">AVERAGE(OFFSET($AM$3,0,0,'Données projet'!$E$10+1,1))-AVERAGE(OFFSET($H$3,0,0,'Données projet'!$E$10+1,1))</f>
        <v>261.13725557061468</v>
      </c>
      <c r="AO32" s="59">
        <f t="shared" si="36"/>
        <v>328.18986868293558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11.063516788997914</v>
      </c>
      <c r="AV32" s="21">
        <f>EXP(-LN(2)/25)*AV31+(1-EXP(-LN(2)/25))/(LN(2)/25)*Calculateur!AQ32*Calculateur!AS32*VLOOKUP('Données projet'!$B$10,Paramètres!$A$1:$I$89,3,0)*0.475*44/12</f>
        <v>16.866074442336675</v>
      </c>
      <c r="AW32" s="21">
        <f>EXP(-LN(2)/2)*AW31+(1-EXP(-LN(2)/2))/(LN(2)/2)*AQ32*AT32*VLOOKUP('Données projet'!$B$10,Paramètres!$A$1:$I$89,3,0)*0.475*44/12</f>
        <v>2.2420004393499569</v>
      </c>
      <c r="AX32" s="21">
        <f t="shared" si="6"/>
        <v>30.171591670684549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2.9235042735042733</v>
      </c>
      <c r="BD32" s="12">
        <f>IF('Données projet'!$A$88&gt;35,BD31+BC32-BL31,IF(A32&lt;'Données projet'!$A$88,$BA$205^A32,IF(A32='Données projet'!$A$88,'Données projet'!$B$88,BD31+BC32-BL31)))</f>
        <v>75.55400457975604</v>
      </c>
      <c r="BE32" s="13">
        <f>BD32*VLOOKUP('Données projet'!$B$11,Paramètres!$A$1:$I$89,3,0)*VLOOKUP('Données projet'!$B$11,Paramètres!$A$1:$I$89,5,0)</f>
        <v>76.611760643872628</v>
      </c>
      <c r="BF32" s="13">
        <f t="shared" si="37"/>
        <v>21.306667002338269</v>
      </c>
      <c r="BG32" s="20">
        <f t="shared" si="7"/>
        <v>170.54126148381732</v>
      </c>
      <c r="BH32" s="59">
        <f t="shared" si="8"/>
        <v>463.87459481715064</v>
      </c>
      <c r="BI32" s="59">
        <f ca="1">AVERAGE(OFFSET($BH$3,0,0,'Données projet'!$E$11+1,1))-AVERAGE(OFFSET($H$3,0,0,'Données projet'!$E$11+1,1))</f>
        <v>250.31277422753283</v>
      </c>
      <c r="BJ32" s="59">
        <f t="shared" si="38"/>
        <v>159.20429420478047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9.8000000000000007</v>
      </c>
      <c r="BY32" s="12">
        <f>IF('Données projet'!$A$114&gt;35,BY31+BX32-CG31,IF(A32&lt;'Données projet'!$A$114,$BV$205^A32,IF(A32='Données projet'!$A$114,'Données projet'!$B$114,BY31+BX32-CG31)))</f>
        <v>139.20000000000002</v>
      </c>
      <c r="BZ32" s="13">
        <f>BY32*VLOOKUP('Données projet'!$B$12,Paramètres!$A$1:$I$89,3,0)*VLOOKUP('Données projet'!$B$12,Paramètres!$A$1:$I$89,5,0)</f>
        <v>145.49184000000002</v>
      </c>
      <c r="CA32" s="13">
        <f t="shared" si="39"/>
        <v>37.552277703979321</v>
      </c>
      <c r="CB32" s="20">
        <f t="shared" si="10"/>
        <v>318.80183833443067</v>
      </c>
      <c r="CC32" s="59">
        <f t="shared" si="11"/>
        <v>612.13517166776398</v>
      </c>
      <c r="CD32" s="59">
        <f ca="1">AVERAGE(OFFSET($CC$3,0,0,'Données projet'!$E$12+1,1))-AVERAGE(OFFSET($H$3,0,0,'Données projet'!$E$12+1,1))</f>
        <v>322.93502595881938</v>
      </c>
      <c r="CE32" s="59">
        <f t="shared" si="40"/>
        <v>302.67072119588164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215.65384615384616</v>
      </c>
      <c r="L33" s="12">
        <f>VLOOKUP(A33,'Données projet'!$A$35:$I$55,9,0)</f>
        <v>16.020512820512824</v>
      </c>
      <c r="M33" s="12">
        <f t="array" ref="M33">INDEX(L:L,MIN(IF(ISNUMBER(L33:L229),ROW(L33:L229),"")))</f>
        <v>16.020512820512824</v>
      </c>
      <c r="N33" s="13">
        <f>IF('Données projet'!$A$36&gt;35,N32+M33-V32,IF(A33&lt;'Données projet'!$A$36,$K$205^A33,IF(A33='Données projet'!$A$36,'Données projet'!$B$36,N32+M33-V32)))</f>
        <v>215.65384615384622</v>
      </c>
      <c r="O33" s="13">
        <f>N33*VLOOKUP('Données projet'!$B$9,Paramètres!$A$1:$I$89,3,0)*VLOOKUP('Données projet'!$B$9,Paramètres!$A$1:$I$89,5,0)</f>
        <v>128.96100000000004</v>
      </c>
      <c r="P33" s="13">
        <f t="shared" si="33"/>
        <v>33.756164929705356</v>
      </c>
      <c r="Q33" s="20">
        <f t="shared" si="2"/>
        <v>283.39906225257022</v>
      </c>
      <c r="R33" s="59">
        <f t="shared" si="0"/>
        <v>576.73239558590353</v>
      </c>
      <c r="S33" s="59">
        <f ca="1">AVERAGE(OFFSET($R$3,0,0,'Données projet'!$E$9+1,1))-AVERAGE(OFFSET($H$3,0,0,'Données projet'!$E$9+1,1))</f>
        <v>278.21846622758881</v>
      </c>
      <c r="T33" s="59">
        <f t="shared" si="34"/>
        <v>245.37578316242906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55.869230769230761</v>
      </c>
      <c r="W33" s="16">
        <f>IF(ISNA(VLOOKUP(A33,'Données projet'!$A$35:$I$55,5,0)),0%,VLOOKUP(A33,'Données projet'!$A$35:$I$55,5,0)*VLOOKUP('Données projet'!$B$9,Paramètres!$A$1:$I$89,7,0))</f>
        <v>0.315</v>
      </c>
      <c r="X33" s="16">
        <f>IF(ISNA(VLOOKUP(A33,'Données projet'!$A$35:$I$55,6,0)),0%,VLOOKUP(A33,'Données projet'!$A$35:$I$55,6,0)*VLOOKUP('Données projet'!$B$9,Paramètres!$A$1:$I$89,7,0))</f>
        <v>7.5600000000000001E-2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22.92859206837181</v>
      </c>
      <c r="AA33" s="21">
        <f>EXP(-LN(2)/25)*AA32+(1-EXP(-LN(2)/25))/(LN(2)/25)*Calculateur!V33*Calculateur!X33*VLOOKUP('Données projet'!$B$9,Paramètres!$A$1:$I$89,3,0)*0.475*44/12</f>
        <v>12.212547487214213</v>
      </c>
      <c r="AB33" s="21">
        <f>EXP(-LN(2)/2)*AB32+(1-EXP(-LN(2)/2))/(LN(2)/2)*V33*Y33*VLOOKUP('Données projet'!$B$9,Paramètres!$A$1:$I$89,3,0)*0.475*44/12</f>
        <v>5.7511235128148783</v>
      </c>
      <c r="AC33" s="22">
        <f t="shared" si="3"/>
        <v>40.892263068400901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280.42307692307691</v>
      </c>
      <c r="AG33" s="12">
        <f>VLOOKUP(A33,'Données projet'!$A$61:$I$81,9,0)</f>
        <v>19.498076923076916</v>
      </c>
      <c r="AH33" s="12">
        <f t="array" ref="AH33">INDEX(AG:AG,MIN(IF(ISNUMBER(AG33:AG229),ROW(AG33:AG229),"")))</f>
        <v>19.498076923076916</v>
      </c>
      <c r="AI33" s="13">
        <f>IF('Données projet'!$A$62&gt;35,AI32+AH33-AQ32,IF(A33&lt;'Données projet'!$A$62,$AF$205^A33,IF(A33='Données projet'!$A$62,'Données projet'!$B$62,AI32+AH33-AQ32)))</f>
        <v>280.42307692307691</v>
      </c>
      <c r="AJ33" s="13">
        <f>AI33*VLOOKUP('Données projet'!$B$10,Paramètres!$A$1:$I$89,3,0)*VLOOKUP('Données projet'!$B$10,Paramètres!$A$1:$I$89,5,0)</f>
        <v>167.69299999999998</v>
      </c>
      <c r="AK33" s="13">
        <f t="shared" si="35"/>
        <v>42.572922166359888</v>
      </c>
      <c r="AL33" s="20">
        <f t="shared" si="4"/>
        <v>366.2131477730768</v>
      </c>
      <c r="AM33" s="59">
        <f t="shared" si="5"/>
        <v>659.54648110641006</v>
      </c>
      <c r="AN33" s="59">
        <f ca="1">AVERAGE(OFFSET($AM$3,0,0,'Données projet'!$E$10+1,1))-AVERAGE(OFFSET($H$3,0,0,'Données projet'!$E$10+1,1))</f>
        <v>261.13725557061468</v>
      </c>
      <c r="AO33" s="59">
        <f t="shared" si="36"/>
        <v>328.18986868293558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10.846567972844589</v>
      </c>
      <c r="AV33" s="21">
        <f>EXP(-LN(2)/25)*AV32+(1-EXP(-LN(2)/25))/(LN(2)/25)*Calculateur!AQ33*Calculateur!AS33*VLOOKUP('Données projet'!$B$10,Paramètres!$A$1:$I$89,3,0)*0.475*44/12</f>
        <v>16.404870749762672</v>
      </c>
      <c r="AW33" s="21">
        <f>EXP(-LN(2)/2)*AW32+(1-EXP(-LN(2)/2))/(LN(2)/2)*AQ33*AT33*VLOOKUP('Données projet'!$B$10,Paramètres!$A$1:$I$89,3,0)*0.475*44/12</f>
        <v>1.5853337140875734</v>
      </c>
      <c r="AX33" s="21">
        <f t="shared" si="6"/>
        <v>28.836772436694837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87.705128205128204</v>
      </c>
      <c r="BB33" s="12">
        <f>VLOOKUP(A33,'Données projet'!$A$87:$I$107,9,0)</f>
        <v>2.9235042735042733</v>
      </c>
      <c r="BC33" s="12">
        <f t="array" ref="BC33">INDEX(BB:BB,MIN(IF(ISNUMBER(BB33:BB229),ROW(BB33:BB229),"")))</f>
        <v>2.9235042735042733</v>
      </c>
      <c r="BD33" s="12">
        <f>IF('Données projet'!$A$88&gt;35,BD32+BC33-BL32,IF(A33&lt;'Données projet'!$A$88,$BA$205^A33,IF(A33='Données projet'!$A$88,'Données projet'!$B$88,BD32+BC33-BL32)))</f>
        <v>87.705128205128204</v>
      </c>
      <c r="BE33" s="13">
        <f>BD33*VLOOKUP('Données projet'!$B$11,Paramètres!$A$1:$I$89,3,0)*VLOOKUP('Données projet'!$B$11,Paramètres!$A$1:$I$89,5,0)</f>
        <v>88.933000000000007</v>
      </c>
      <c r="BF33" s="13">
        <f t="shared" si="37"/>
        <v>24.307711939667918</v>
      </c>
      <c r="BG33" s="20">
        <f t="shared" si="7"/>
        <v>197.22757329492163</v>
      </c>
      <c r="BH33" s="59">
        <f t="shared" si="8"/>
        <v>490.56090662825494</v>
      </c>
      <c r="BI33" s="59">
        <f ca="1">AVERAGE(OFFSET($BH$3,0,0,'Données projet'!$E$11+1,1))-AVERAGE(OFFSET($H$3,0,0,'Données projet'!$E$11+1,1))</f>
        <v>250.31277422753283</v>
      </c>
      <c r="BJ33" s="59">
        <f t="shared" si="38"/>
        <v>159.20429420478047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149</v>
      </c>
      <c r="BW33" s="12">
        <f>VLOOKUP(A33,'Données projet'!$A$113:$I$133,9,0)</f>
        <v>9.8000000000000007</v>
      </c>
      <c r="BX33" s="12">
        <f t="array" ref="BX33">INDEX(BW:BW,MIN(IF(ISNUMBER(BW33:BW229),ROW(BW33:BW229),"")))</f>
        <v>9.8000000000000007</v>
      </c>
      <c r="BY33" s="12">
        <f>IF('Données projet'!$A$114&gt;35,BY32+BX33-CG32,IF(A33&lt;'Données projet'!$A$114,$BV$205^A33,IF(A33='Données projet'!$A$114,'Données projet'!$B$114,BY32+BX33-CG32)))</f>
        <v>149.00000000000003</v>
      </c>
      <c r="BZ33" s="13">
        <f>BY33*VLOOKUP('Données projet'!$B$12,Paramètres!$A$1:$I$89,3,0)*VLOOKUP('Données projet'!$B$12,Paramètres!$A$1:$I$89,5,0)</f>
        <v>155.73480000000004</v>
      </c>
      <c r="CA33" s="13">
        <f t="shared" si="39"/>
        <v>39.878980068529806</v>
      </c>
      <c r="CB33" s="20">
        <f t="shared" si="10"/>
        <v>340.6940002860228</v>
      </c>
      <c r="CC33" s="59">
        <f t="shared" si="11"/>
        <v>634.02733361935611</v>
      </c>
      <c r="CD33" s="59">
        <f ca="1">AVERAGE(OFFSET($CC$3,0,0,'Données projet'!$E$12+1,1))-AVERAGE(OFFSET($H$3,0,0,'Données projet'!$E$12+1,1))</f>
        <v>322.93502595881938</v>
      </c>
      <c r="CE33" s="59">
        <f t="shared" si="40"/>
        <v>302.67072119588164</v>
      </c>
      <c r="CF33" s="15">
        <f>IF(ISNA(VLOOKUP(A33,'Données projet'!$A$113:$I$133,3,0)),0,VLOOKUP(A33,'Données projet'!$A$113:$I$133,3,0))</f>
        <v>3</v>
      </c>
      <c r="CG33" s="15" t="str">
        <f>IF(ISNA(VLOOKUP(A33,'Données projet'!$A$113:$I$133,4,0)),0,VLOOKUP(A33,'Données projet'!$A$113:$I$133,4,0))</f>
        <v>27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15.48351648351648</v>
      </c>
      <c r="N34" s="13">
        <f>IF('Données projet'!$A$36&gt;35,N33+M34-V33,IF(A34&lt;'Données projet'!$A$36,$K$205^A34,IF(A34='Données projet'!$A$36,'Données projet'!$B$36,N33+M34-V33)))</f>
        <v>175.26813186813192</v>
      </c>
      <c r="O34" s="13">
        <f>N34*VLOOKUP('Données projet'!$B$9,Paramètres!$A$1:$I$89,3,0)*VLOOKUP('Données projet'!$B$9,Paramètres!$A$1:$I$89,5,0)</f>
        <v>104.8103428571429</v>
      </c>
      <c r="P34" s="13">
        <f t="shared" si="33"/>
        <v>28.104843056220705</v>
      </c>
      <c r="Q34" s="20">
        <f t="shared" si="2"/>
        <v>231.49394879910827</v>
      </c>
      <c r="R34" s="59">
        <f t="shared" si="0"/>
        <v>524.82728213244161</v>
      </c>
      <c r="S34" s="59">
        <f ca="1">AVERAGE(OFFSET($R$3,0,0,'Données projet'!$E$9+1,1))-AVERAGE(OFFSET($H$3,0,0,'Données projet'!$E$9+1,1))</f>
        <v>278.21846622758881</v>
      </c>
      <c r="T34" s="59">
        <f t="shared" si="34"/>
        <v>245.37578316242906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22.478976362971292</v>
      </c>
      <c r="AA34" s="21">
        <f>EXP(-LN(2)/25)*AA33+(1-EXP(-LN(2)/25))/(LN(2)/25)*Calculateur!V34*Calculateur!X34*VLOOKUP('Données projet'!$B$9,Paramètres!$A$1:$I$89,3,0)*0.475*44/12</f>
        <v>11.878594733946381</v>
      </c>
      <c r="AB34" s="21">
        <f>EXP(-LN(2)/2)*AB33+(1-EXP(-LN(2)/2))/(LN(2)/2)*V34*Y34*VLOOKUP('Données projet'!$B$9,Paramètres!$A$1:$I$89,3,0)*0.475*44/12</f>
        <v>4.0666584353527986</v>
      </c>
      <c r="AC34" s="22">
        <f t="shared" si="3"/>
        <v>38.424229532270473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19.184615384615398</v>
      </c>
      <c r="AI34" s="13">
        <f>IF('Données projet'!$A$62&gt;35,AI33+AH34-AQ33,IF(A34&lt;'Données projet'!$A$62,$AF$205^A34,IF(A34='Données projet'!$A$62,'Données projet'!$B$62,AI33+AH34-AQ33)))</f>
        <v>299.60769230769233</v>
      </c>
      <c r="AJ34" s="13">
        <f>AI34*VLOOKUP('Données projet'!$B$10,Paramètres!$A$1:$I$89,3,0)*VLOOKUP('Données projet'!$B$10,Paramètres!$A$1:$I$89,5,0)</f>
        <v>179.16540000000003</v>
      </c>
      <c r="AK34" s="13">
        <f t="shared" si="35"/>
        <v>45.136452849152207</v>
      </c>
      <c r="AL34" s="20">
        <f t="shared" si="4"/>
        <v>390.65906037894007</v>
      </c>
      <c r="AM34" s="59">
        <f t="shared" si="5"/>
        <v>683.99239371227338</v>
      </c>
      <c r="AN34" s="59">
        <f ca="1">AVERAGE(OFFSET($AM$3,0,0,'Données projet'!$E$10+1,1))-AVERAGE(OFFSET($H$3,0,0,'Données projet'!$E$10+1,1))</f>
        <v>261.13725557061468</v>
      </c>
      <c r="AO34" s="59">
        <f t="shared" si="36"/>
        <v>328.18986868293558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10.633873390650319</v>
      </c>
      <c r="AV34" s="21">
        <f>EXP(-LN(2)/25)*AV33+(1-EXP(-LN(2)/25))/(LN(2)/25)*Calculateur!AQ34*Calculateur!AS34*VLOOKUP('Données projet'!$B$10,Paramètres!$A$1:$I$89,3,0)*0.475*44/12</f>
        <v>15.956278696415753</v>
      </c>
      <c r="AW34" s="21">
        <f>EXP(-LN(2)/2)*AW33+(1-EXP(-LN(2)/2))/(LN(2)/2)*AQ34*AT34*VLOOKUP('Données projet'!$B$10,Paramètres!$A$1:$I$89,3,0)*0.475*44/12</f>
        <v>1.1210002196749784</v>
      </c>
      <c r="AX34" s="21">
        <f t="shared" si="6"/>
        <v>27.711152306741052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5.3369963369963358</v>
      </c>
      <c r="BD34" s="12">
        <f>IF('Données projet'!$A$88&gt;35,BD33+BC34-BL33,IF(A34&lt;'Données projet'!$A$88,$BA$205^A34,IF(A34='Données projet'!$A$88,'Données projet'!$B$88,BD33+BC34-BL33)))</f>
        <v>93.04212454212454</v>
      </c>
      <c r="BE34" s="13">
        <f>BD34*VLOOKUP('Données projet'!$B$11,Paramètres!$A$1:$I$89,3,0)*VLOOKUP('Données projet'!$B$11,Paramètres!$A$1:$I$89,5,0)</f>
        <v>94.344714285714289</v>
      </c>
      <c r="BF34" s="13">
        <f t="shared" si="37"/>
        <v>25.610173041635999</v>
      </c>
      <c r="BG34" s="20">
        <f t="shared" si="7"/>
        <v>208.92142876180176</v>
      </c>
      <c r="BH34" s="59">
        <f t="shared" si="8"/>
        <v>502.25476209513511</v>
      </c>
      <c r="BI34" s="59">
        <f ca="1">AVERAGE(OFFSET($BH$3,0,0,'Données projet'!$E$11+1,1))-AVERAGE(OFFSET($H$3,0,0,'Données projet'!$E$11+1,1))</f>
        <v>250.31277422753283</v>
      </c>
      <c r="BJ34" s="59">
        <f t="shared" si="38"/>
        <v>159.20429420478047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9.1999999999999993</v>
      </c>
      <c r="BY34" s="12">
        <f>IF('Données projet'!$A$114&gt;35,BY33+BX34-CG33,IF(A34&lt;'Données projet'!$A$114,$BV$205^A34,IF(A34='Données projet'!$A$114,'Données projet'!$B$114,BY33+BX34-CG33)))</f>
        <v>131.20000000000002</v>
      </c>
      <c r="BZ34" s="13">
        <f>BY34*VLOOKUP('Données projet'!$B$12,Paramètres!$A$1:$I$89,3,0)*VLOOKUP('Données projet'!$B$12,Paramètres!$A$1:$I$89,5,0)</f>
        <v>137.13024000000001</v>
      </c>
      <c r="CA34" s="13">
        <f t="shared" si="39"/>
        <v>35.638793424767798</v>
      </c>
      <c r="CB34" s="20">
        <f t="shared" si="10"/>
        <v>300.90606654813729</v>
      </c>
      <c r="CC34" s="59">
        <f t="shared" si="11"/>
        <v>594.2393998814706</v>
      </c>
      <c r="CD34" s="59">
        <f ca="1">AVERAGE(OFFSET($CC$3,0,0,'Données projet'!$E$12+1,1))-AVERAGE(OFFSET($H$3,0,0,'Données projet'!$E$12+1,1))</f>
        <v>322.93502595881938</v>
      </c>
      <c r="CE34" s="59">
        <f t="shared" si="40"/>
        <v>302.67072119588164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15.48351648351648</v>
      </c>
      <c r="N35" s="13">
        <f>IF('Données projet'!$A$36&gt;35,N34+M35-V34,IF(A35&lt;'Données projet'!$A$36,$K$205^A35,IF(A35='Données projet'!$A$36,'Données projet'!$B$36,N34+M35-V34)))</f>
        <v>190.75164835164838</v>
      </c>
      <c r="O35" s="13">
        <f>N35*VLOOKUP('Données projet'!$B$9,Paramètres!$A$1:$I$89,3,0)*VLOOKUP('Données projet'!$B$9,Paramètres!$A$1:$I$89,5,0)</f>
        <v>114.06948571428575</v>
      </c>
      <c r="P35" s="13">
        <f t="shared" si="33"/>
        <v>30.287750600607666</v>
      </c>
      <c r="Q35" s="20">
        <f t="shared" ref="Q35:Q66" si="53">(O35+P35)*0.475*44/12</f>
        <v>251.42218658177271</v>
      </c>
      <c r="R35" s="59">
        <f t="shared" si="0"/>
        <v>544.75551991510599</v>
      </c>
      <c r="S35" s="59">
        <f ca="1">AVERAGE(OFFSET($R$3,0,0,'Données projet'!$E$9+1,1))-AVERAGE(OFFSET($H$3,0,0,'Données projet'!$E$9+1,1))</f>
        <v>278.21846622758881</v>
      </c>
      <c r="T35" s="59">
        <f t="shared" si="34"/>
        <v>245.37578316242906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22.038177347315173</v>
      </c>
      <c r="AA35" s="21">
        <f>EXP(-LN(2)/25)*AA34+(1-EXP(-LN(2)/25))/(LN(2)/25)*Calculateur!V35*Calculateur!X35*VLOOKUP('Données projet'!$B$9,Paramètres!$A$1:$I$89,3,0)*0.475*44/12</f>
        <v>11.553773936278469</v>
      </c>
      <c r="AB35" s="21">
        <f>EXP(-LN(2)/2)*AB34+(1-EXP(-LN(2)/2))/(LN(2)/2)*V35*Y35*VLOOKUP('Données projet'!$B$9,Paramètres!$A$1:$I$89,3,0)*0.475*44/12</f>
        <v>2.8755617564074392</v>
      </c>
      <c r="AC35" s="22">
        <f t="shared" si="3"/>
        <v>36.46751304000108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318.7923076923077</v>
      </c>
      <c r="AG35" s="12">
        <f>VLOOKUP(A35,'Données projet'!$A$61:$I$81,9,0)</f>
        <v>19.184615384615398</v>
      </c>
      <c r="AH35" s="12">
        <f t="array" ref="AH35">INDEX(AG:AG,MIN(IF(ISNUMBER(AG35:AG231),ROW(AG35:AG231),"")))</f>
        <v>19.184615384615398</v>
      </c>
      <c r="AI35" s="13">
        <f>IF('Données projet'!$A$62&gt;35,AI34+AH35-AQ34,IF(A35&lt;'Données projet'!$A$62,$AF$205^A35,IF(A35='Données projet'!$A$62,'Données projet'!$B$62,AI34+AH35-AQ34)))</f>
        <v>318.79230769230776</v>
      </c>
      <c r="AJ35" s="13">
        <f>AI35*VLOOKUP('Données projet'!$B$10,Paramètres!$A$1:$I$89,3,0)*VLOOKUP('Données projet'!$B$10,Paramètres!$A$1:$I$89,5,0)</f>
        <v>190.63780000000006</v>
      </c>
      <c r="AK35" s="13">
        <f t="shared" si="35"/>
        <v>47.680933861376609</v>
      </c>
      <c r="AL35" s="20">
        <f t="shared" si="4"/>
        <v>415.07179480856433</v>
      </c>
      <c r="AM35" s="59">
        <f t="shared" si="5"/>
        <v>708.40512814189765</v>
      </c>
      <c r="AN35" s="59">
        <f ca="1">AVERAGE(OFFSET($AM$3,0,0,'Données projet'!$E$10+1,1))-AVERAGE(OFFSET($H$3,0,0,'Données projet'!$E$10+1,1))</f>
        <v>261.13725557061468</v>
      </c>
      <c r="AO35" s="59">
        <f t="shared" si="36"/>
        <v>328.18986868293558</v>
      </c>
      <c r="AP35" s="15">
        <f>IF(ISNA(VLOOKUP(A35,'Données projet'!$A$61:$I$81,3,0)),0,VLOOKUP(A35,'Données projet'!$A$61:$I$81,3,0))</f>
        <v>4</v>
      </c>
      <c r="AQ35" s="15">
        <f>IF(ISNA(VLOOKUP(A35,'Données projet'!$A$61:$I$81,4,0)),0,VLOOKUP(A35,'Données projet'!$A$61:$I$81,4,0))</f>
        <v>64.523076923076914</v>
      </c>
      <c r="AR35" s="16">
        <f>IF(ISNA(VLOOKUP(A35,'Données projet'!$A$61:$I$81,5,0)),0%,VLOOKUP(A35,'Données projet'!$A$61:$I$81,5,0)*VLOOKUP('Données projet'!$B$10,Paramètres!$A$1:$I$89,7,0))</f>
        <v>0.315</v>
      </c>
      <c r="AS35" s="16">
        <f>IF(ISNA(VLOOKUP(A35,'Données projet'!$A$61:$I$81,6,0)),0%,VLOOKUP(A35,'Données projet'!$A$61:$I$81,6,0)*VLOOKUP('Données projet'!$B$10,Paramètres!$A$1:$I$89,7,0))</f>
        <v>7.5600000000000001E-2</v>
      </c>
      <c r="AT35" s="16">
        <f>IF(ISNA(VLOOKUP(A35,'Données projet'!$A$61:$I$81,7,0)),0%,VLOOKUP(A35,'Données projet'!$A$61:$I$81,7,0))</f>
        <v>0.13200000000000001</v>
      </c>
      <c r="AU35" s="21">
        <f>EXP(-LN(2)/35)*AU34+(1-EXP(-LN(2)/35))/(LN(2)/35)*AQ35*AR35*VLOOKUP('Données projet'!$B$10,Paramètres!$A$1:$I$89,3,0)*0.475*44/12</f>
        <v>26.548695242558715</v>
      </c>
      <c r="AV35" s="21">
        <f>EXP(-LN(2)/25)*AV34+(1-EXP(-LN(2)/25))/(LN(2)/25)*Calculateur!AQ35*Calculateur!AS35*VLOOKUP('Données projet'!$B$10,Paramètres!$A$1:$I$89,3,0)*0.475*44/12</f>
        <v>19.374320264649796</v>
      </c>
      <c r="AW35" s="21">
        <f>EXP(-LN(2)/2)*AW34+(1-EXP(-LN(2)/2))/(LN(2)/2)*AQ35*AT35*VLOOKUP('Données projet'!$B$10,Paramètres!$A$1:$I$89,3,0)*0.475*44/12</f>
        <v>6.5593451485188776</v>
      </c>
      <c r="AX35" s="21">
        <f t="shared" si="6"/>
        <v>52.482360655727391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5.3369963369963358</v>
      </c>
      <c r="BD35" s="12">
        <f>IF('Données projet'!$A$88&gt;35,BD34+BC35-BL34,IF(A35&lt;'Données projet'!$A$88,$BA$205^A35,IF(A35='Données projet'!$A$88,'Données projet'!$B$88,BD34+BC35-BL34)))</f>
        <v>98.379120879120876</v>
      </c>
      <c r="BE35" s="13">
        <f>BD35*VLOOKUP('Données projet'!$B$11,Paramètres!$A$1:$I$89,3,0)*VLOOKUP('Données projet'!$B$11,Paramètres!$A$1:$I$89,5,0)</f>
        <v>99.756428571428572</v>
      </c>
      <c r="BF35" s="13">
        <f t="shared" si="37"/>
        <v>26.903961780895703</v>
      </c>
      <c r="BG35" s="20">
        <f t="shared" si="7"/>
        <v>220.60017986363141</v>
      </c>
      <c r="BH35" s="59">
        <f t="shared" si="8"/>
        <v>513.93351319696467</v>
      </c>
      <c r="BI35" s="59">
        <f ca="1">AVERAGE(OFFSET($BH$3,0,0,'Données projet'!$E$11+1,1))-AVERAGE(OFFSET($H$3,0,0,'Données projet'!$E$11+1,1))</f>
        <v>250.31277422753283</v>
      </c>
      <c r="BJ35" s="59">
        <f t="shared" si="38"/>
        <v>159.20429420478047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9.1999999999999993</v>
      </c>
      <c r="BY35" s="12">
        <f>IF('Données projet'!$A$114&gt;35,BY34+BX35-CG34,IF(A35&lt;'Données projet'!$A$114,$BV$205^A35,IF(A35='Données projet'!$A$114,'Données projet'!$B$114,BY34+BX35-CG34)))</f>
        <v>140.4</v>
      </c>
      <c r="BZ35" s="13">
        <f>BY35*VLOOKUP('Données projet'!$B$12,Paramètres!$A$1:$I$89,3,0)*VLOOKUP('Données projet'!$B$12,Paramètres!$A$1:$I$89,5,0)</f>
        <v>146.74608000000003</v>
      </c>
      <c r="CA35" s="13">
        <f t="shared" si="39"/>
        <v>37.83817941034674</v>
      </c>
      <c r="CB35" s="20">
        <f t="shared" si="10"/>
        <v>321.48425180635394</v>
      </c>
      <c r="CC35" s="59">
        <f t="shared" si="11"/>
        <v>614.81758513968725</v>
      </c>
      <c r="CD35" s="59">
        <f ca="1">AVERAGE(OFFSET($CC$3,0,0,'Données projet'!$E$12+1,1))-AVERAGE(OFFSET($H$3,0,0,'Données projet'!$E$12+1,1))</f>
        <v>322.93502595881938</v>
      </c>
      <c r="CE35" s="59">
        <f t="shared" si="40"/>
        <v>302.67072119588164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15.48351648351648</v>
      </c>
      <c r="N36" s="13">
        <f>IF('Données projet'!$A$36&gt;35,N35+M36-V35,IF(A36&lt;'Données projet'!$A$36,$K$205^A36,IF(A36='Données projet'!$A$36,'Données projet'!$B$36,N35+M36-V35)))</f>
        <v>206.23516483516485</v>
      </c>
      <c r="O36" s="13">
        <f>N36*VLOOKUP('Données projet'!$B$9,Paramètres!$A$1:$I$89,3,0)*VLOOKUP('Données projet'!$B$9,Paramètres!$A$1:$I$89,5,0)</f>
        <v>123.3286285714286</v>
      </c>
      <c r="P36" s="13">
        <f t="shared" si="33"/>
        <v>32.450106672465495</v>
      </c>
      <c r="Q36" s="20">
        <f t="shared" si="53"/>
        <v>271.31463054978218</v>
      </c>
      <c r="R36" s="59">
        <f t="shared" si="0"/>
        <v>564.64796388311549</v>
      </c>
      <c r="S36" s="59">
        <f ca="1">AVERAGE(OFFSET($R$3,0,0,'Données projet'!$E$9+1,1))-AVERAGE(OFFSET($H$3,0,0,'Données projet'!$E$9+1,1))</f>
        <v>278.21846622758881</v>
      </c>
      <c r="T36" s="59">
        <f t="shared" si="34"/>
        <v>245.37578316242906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21.606022131495219</v>
      </c>
      <c r="AA36" s="21">
        <f>EXP(-LN(2)/25)*AA35+(1-EXP(-LN(2)/25))/(LN(2)/25)*Calculateur!V36*Calculateur!X36*VLOOKUP('Données projet'!$B$9,Paramètres!$A$1:$I$89,3,0)*0.475*44/12</f>
        <v>11.23783538040437</v>
      </c>
      <c r="AB36" s="21">
        <f>EXP(-LN(2)/2)*AB35+(1-EXP(-LN(2)/2))/(LN(2)/2)*V36*Y36*VLOOKUP('Données projet'!$B$9,Paramètres!$A$1:$I$89,3,0)*0.475*44/12</f>
        <v>2.0333292176763993</v>
      </c>
      <c r="AC36" s="22">
        <f t="shared" si="3"/>
        <v>34.877186729575982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18.055769230769229</v>
      </c>
      <c r="AI36" s="13">
        <f>IF('Données projet'!$A$62&gt;35,AI35+AH36-AQ35,IF(A36&lt;'Données projet'!$A$62,$AF$205^A36,IF(A36='Données projet'!$A$62,'Données projet'!$B$62,AI35+AH36-AQ35)))</f>
        <v>272.32500000000005</v>
      </c>
      <c r="AJ36" s="13">
        <f>AI36*VLOOKUP('Données projet'!$B$10,Paramètres!$A$1:$I$89,3,0)*VLOOKUP('Données projet'!$B$10,Paramètres!$A$1:$I$89,5,0)</f>
        <v>162.85035000000002</v>
      </c>
      <c r="AK36" s="13">
        <f t="shared" si="35"/>
        <v>41.484757610477807</v>
      </c>
      <c r="AL36" s="20">
        <f t="shared" si="4"/>
        <v>355.88364575491551</v>
      </c>
      <c r="AM36" s="59">
        <f t="shared" si="5"/>
        <v>649.21697908824876</v>
      </c>
      <c r="AN36" s="59">
        <f ca="1">AVERAGE(OFFSET($AM$3,0,0,'Données projet'!$E$10+1,1))-AVERAGE(OFFSET($H$3,0,0,'Données projet'!$E$10+1,1))</f>
        <v>261.13725557061468</v>
      </c>
      <c r="AO36" s="59">
        <f t="shared" si="36"/>
        <v>328.18986868293558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26.0280915219573</v>
      </c>
      <c r="AV36" s="21">
        <f>EXP(-LN(2)/25)*AV35+(1-EXP(-LN(2)/25))/(LN(2)/25)*Calculateur!AQ36*Calculateur!AS36*VLOOKUP('Données projet'!$B$10,Paramètres!$A$1:$I$89,3,0)*0.475*44/12</f>
        <v>18.844528458161726</v>
      </c>
      <c r="AW36" s="21">
        <f>EXP(-LN(2)/2)*AW35+(1-EXP(-LN(2)/2))/(LN(2)/2)*AQ36*AT36*VLOOKUP('Données projet'!$B$10,Paramètres!$A$1:$I$89,3,0)*0.475*44/12</f>
        <v>4.6381574346607808</v>
      </c>
      <c r="AX36" s="21">
        <f t="shared" si="6"/>
        <v>49.51077741477981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5.3369963369963358</v>
      </c>
      <c r="BD36" s="12">
        <f>IF('Données projet'!$A$88&gt;35,BD35+BC36-BL35,IF(A36&lt;'Données projet'!$A$88,$BA$205^A36,IF(A36='Données projet'!$A$88,'Données projet'!$B$88,BD35+BC36-BL35)))</f>
        <v>103.71611721611721</v>
      </c>
      <c r="BE36" s="13">
        <f>BD36*VLOOKUP('Données projet'!$B$11,Paramètres!$A$1:$I$89,3,0)*VLOOKUP('Données projet'!$B$11,Paramètres!$A$1:$I$89,5,0)</f>
        <v>105.16814285714285</v>
      </c>
      <c r="BF36" s="13">
        <f t="shared" si="37"/>
        <v>28.189602262365472</v>
      </c>
      <c r="BG36" s="20">
        <f t="shared" si="7"/>
        <v>232.264739416477</v>
      </c>
      <c r="BH36" s="59">
        <f t="shared" si="8"/>
        <v>525.59807274981029</v>
      </c>
      <c r="BI36" s="59">
        <f ca="1">AVERAGE(OFFSET($BH$3,0,0,'Données projet'!$E$11+1,1))-AVERAGE(OFFSET($H$3,0,0,'Données projet'!$E$11+1,1))</f>
        <v>250.31277422753283</v>
      </c>
      <c r="BJ36" s="59">
        <f t="shared" si="38"/>
        <v>159.20429420478047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9.1999999999999993</v>
      </c>
      <c r="BY36" s="12">
        <f>IF('Données projet'!$A$114&gt;35,BY35+BX36-CG35,IF(A36&lt;'Données projet'!$A$114,$BV$205^A36,IF(A36='Données projet'!$A$114,'Données projet'!$B$114,BY35+BX36-CG35)))</f>
        <v>149.6</v>
      </c>
      <c r="BZ36" s="13">
        <f>BY36*VLOOKUP('Données projet'!$B$12,Paramètres!$A$1:$I$89,3,0)*VLOOKUP('Données projet'!$B$12,Paramètres!$A$1:$I$89,5,0)</f>
        <v>156.36192</v>
      </c>
      <c r="CA36" s="13">
        <f t="shared" si="39"/>
        <v>40.020841092261293</v>
      </c>
      <c r="CB36" s="20">
        <f t="shared" si="10"/>
        <v>342.03330890235503</v>
      </c>
      <c r="CC36" s="59">
        <f t="shared" si="11"/>
        <v>635.36664223568835</v>
      </c>
      <c r="CD36" s="59">
        <f ca="1">AVERAGE(OFFSET($CC$3,0,0,'Données projet'!$E$12+1,1))-AVERAGE(OFFSET($H$3,0,0,'Données projet'!$E$12+1,1))</f>
        <v>322.93502595881938</v>
      </c>
      <c r="CE36" s="59">
        <f t="shared" si="40"/>
        <v>302.67072119588164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15.48351648351648</v>
      </c>
      <c r="N37" s="13">
        <f>IF('Données projet'!$A$36&gt;35,N36+M37-V36,IF(A37&lt;'Données projet'!$A$36,$K$205^A37,IF(A37='Données projet'!$A$36,'Données projet'!$B$36,N36+M37-V36)))</f>
        <v>221.71868131868132</v>
      </c>
      <c r="O37" s="13">
        <f>N37*VLOOKUP('Données projet'!$B$9,Paramètres!$A$1:$I$89,3,0)*VLOOKUP('Données projet'!$B$9,Paramètres!$A$1:$I$89,5,0)</f>
        <v>132.58777142857144</v>
      </c>
      <c r="P37" s="13">
        <f t="shared" si="33"/>
        <v>34.593629659414489</v>
      </c>
      <c r="Q37" s="20">
        <f t="shared" si="53"/>
        <v>291.17427356157549</v>
      </c>
      <c r="R37" s="59">
        <f t="shared" si="0"/>
        <v>584.5076068949088</v>
      </c>
      <c r="S37" s="59">
        <f ca="1">AVERAGE(OFFSET($R$3,0,0,'Données projet'!$E$9+1,1))-AVERAGE(OFFSET($H$3,0,0,'Données projet'!$E$9+1,1))</f>
        <v>278.21846622758881</v>
      </c>
      <c r="T37" s="59">
        <f t="shared" si="34"/>
        <v>245.37578316242906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21.182341215868842</v>
      </c>
      <c r="AA37" s="21">
        <f>EXP(-LN(2)/25)*AA36+(1-EXP(-LN(2)/25))/(LN(2)/25)*Calculateur!V37*Calculateur!X37*VLOOKUP('Données projet'!$B$9,Paramètres!$A$1:$I$89,3,0)*0.475*44/12</f>
        <v>10.930536180955134</v>
      </c>
      <c r="AB37" s="21">
        <f>EXP(-LN(2)/2)*AB36+(1-EXP(-LN(2)/2))/(LN(2)/2)*V37*Y37*VLOOKUP('Données projet'!$B$9,Paramètres!$A$1:$I$89,3,0)*0.475*44/12</f>
        <v>1.4377808782037196</v>
      </c>
      <c r="AC37" s="22">
        <f t="shared" si="3"/>
        <v>33.550658275027693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18.055769230769229</v>
      </c>
      <c r="AI37" s="13">
        <f>IF('Données projet'!$A$62&gt;35,AI36+AH37-AQ36,IF(A37&lt;'Données projet'!$A$62,$AF$205^A37,IF(A37='Données projet'!$A$62,'Données projet'!$B$62,AI36+AH37-AQ36)))</f>
        <v>290.38076923076926</v>
      </c>
      <c r="AJ37" s="13">
        <f>AI37*VLOOKUP('Données projet'!$B$10,Paramètres!$A$1:$I$89,3,0)*VLOOKUP('Données projet'!$B$10,Paramètres!$A$1:$I$89,5,0)</f>
        <v>173.64770000000001</v>
      </c>
      <c r="AK37" s="13">
        <f t="shared" si="35"/>
        <v>43.905974872685142</v>
      </c>
      <c r="AL37" s="20">
        <f t="shared" si="4"/>
        <v>378.90598373659327</v>
      </c>
      <c r="AM37" s="59">
        <f t="shared" si="5"/>
        <v>672.23931706992653</v>
      </c>
      <c r="AN37" s="59">
        <f ca="1">AVERAGE(OFFSET($AM$3,0,0,'Données projet'!$E$10+1,1))-AVERAGE(OFFSET($H$3,0,0,'Données projet'!$E$10+1,1))</f>
        <v>261.13725557061468</v>
      </c>
      <c r="AO37" s="59">
        <f t="shared" si="36"/>
        <v>328.18986868293558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25.517696522779964</v>
      </c>
      <c r="AV37" s="21">
        <f>EXP(-LN(2)/25)*AV36+(1-EXP(-LN(2)/25))/(LN(2)/25)*Calculateur!AQ37*Calculateur!AS37*VLOOKUP('Données projet'!$B$10,Paramètres!$A$1:$I$89,3,0)*0.475*44/12</f>
        <v>18.329223836482612</v>
      </c>
      <c r="AW37" s="21">
        <f>EXP(-LN(2)/2)*AW36+(1-EXP(-LN(2)/2))/(LN(2)/2)*AQ37*AT37*VLOOKUP('Données projet'!$B$10,Paramètres!$A$1:$I$89,3,0)*0.475*44/12</f>
        <v>3.2796725742594397</v>
      </c>
      <c r="AX37" s="21">
        <f t="shared" si="6"/>
        <v>47.126592933522019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5.3369963369963358</v>
      </c>
      <c r="BD37" s="12">
        <f>IF('Données projet'!$A$88&gt;35,BD36+BC37-BL36,IF(A37&lt;'Données projet'!$A$88,$BA$205^A37,IF(A37='Données projet'!$A$88,'Données projet'!$B$88,BD36+BC37-BL36)))</f>
        <v>109.05311355311355</v>
      </c>
      <c r="BE37" s="13">
        <f>BD37*VLOOKUP('Données projet'!$B$11,Paramètres!$A$1:$I$89,3,0)*VLOOKUP('Données projet'!$B$11,Paramètres!$A$1:$I$89,5,0)</f>
        <v>110.57985714285715</v>
      </c>
      <c r="BF37" s="13">
        <f t="shared" si="37"/>
        <v>29.467561605850825</v>
      </c>
      <c r="BG37" s="20">
        <f t="shared" si="7"/>
        <v>243.91592098733301</v>
      </c>
      <c r="BH37" s="59">
        <f t="shared" si="8"/>
        <v>537.2492543206663</v>
      </c>
      <c r="BI37" s="59">
        <f ca="1">AVERAGE(OFFSET($BH$3,0,0,'Données projet'!$E$11+1,1))-AVERAGE(OFFSET($H$3,0,0,'Données projet'!$E$11+1,1))</f>
        <v>250.31277422753283</v>
      </c>
      <c r="BJ37" s="59">
        <f t="shared" si="38"/>
        <v>159.20429420478047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9.1999999999999993</v>
      </c>
      <c r="BY37" s="12">
        <f>IF('Données projet'!$A$114&gt;35,BY36+BX37-CG36,IF(A37&lt;'Données projet'!$A$114,$BV$205^A37,IF(A37='Données projet'!$A$114,'Données projet'!$B$114,BY36+BX37-CG36)))</f>
        <v>158.79999999999998</v>
      </c>
      <c r="BZ37" s="13">
        <f>BY37*VLOOKUP('Données projet'!$B$12,Paramètres!$A$1:$I$89,3,0)*VLOOKUP('Données projet'!$B$12,Paramètres!$A$1:$I$89,5,0)</f>
        <v>165.97776000000002</v>
      </c>
      <c r="CA37" s="13">
        <f t="shared" si="39"/>
        <v>42.18792407593731</v>
      </c>
      <c r="CB37" s="20">
        <f t="shared" si="10"/>
        <v>362.55523309892413</v>
      </c>
      <c r="CC37" s="59">
        <f t="shared" si="11"/>
        <v>655.88856643225745</v>
      </c>
      <c r="CD37" s="59">
        <f ca="1">AVERAGE(OFFSET($CC$3,0,0,'Données projet'!$E$12+1,1))-AVERAGE(OFFSET($H$3,0,0,'Données projet'!$E$12+1,1))</f>
        <v>322.93502595881938</v>
      </c>
      <c r="CE37" s="59">
        <f t="shared" si="40"/>
        <v>302.67072119588164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15.48351648351648</v>
      </c>
      <c r="N38" s="13">
        <f>IF('Données projet'!$A$36&gt;35,N37+M38-V37,IF(A38&lt;'Données projet'!$A$36,$K$205^A38,IF(A38='Données projet'!$A$36,'Données projet'!$B$36,N37+M38-V37)))</f>
        <v>237.20219780219779</v>
      </c>
      <c r="O38" s="13">
        <f>N38*VLOOKUP('Données projet'!$B$9,Paramètres!$A$1:$I$89,3,0)*VLOOKUP('Données projet'!$B$9,Paramètres!$A$1:$I$89,5,0)</f>
        <v>141.84691428571429</v>
      </c>
      <c r="P38" s="13">
        <f t="shared" si="33"/>
        <v>36.719784353381193</v>
      </c>
      <c r="Q38" s="20">
        <f t="shared" si="53"/>
        <v>311.00366679642457</v>
      </c>
      <c r="R38" s="59">
        <f t="shared" si="0"/>
        <v>604.33700012975783</v>
      </c>
      <c r="S38" s="59">
        <f ca="1">AVERAGE(OFFSET($R$3,0,0,'Données projet'!$E$9+1,1))-AVERAGE(OFFSET($H$3,0,0,'Données projet'!$E$9+1,1))</f>
        <v>278.21846622758881</v>
      </c>
      <c r="T38" s="59">
        <f t="shared" si="34"/>
        <v>245.37578316242906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20.766968424578057</v>
      </c>
      <c r="AA38" s="21">
        <f>EXP(-LN(2)/25)*AA37+(1-EXP(-LN(2)/25))/(LN(2)/25)*Calculateur!V38*Calculateur!X38*VLOOKUP('Données projet'!$B$9,Paramètres!$A$1:$I$89,3,0)*0.475*44/12</f>
        <v>10.631640094274999</v>
      </c>
      <c r="AB38" s="21">
        <f>EXP(-LN(2)/2)*AB37+(1-EXP(-LN(2)/2))/(LN(2)/2)*V38*Y38*VLOOKUP('Données projet'!$B$9,Paramètres!$A$1:$I$89,3,0)*0.475*44/12</f>
        <v>1.0166646088381996</v>
      </c>
      <c r="AC38" s="22">
        <f t="shared" si="3"/>
        <v>32.415273127691258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18.055769230769229</v>
      </c>
      <c r="AI38" s="13">
        <f>IF('Données projet'!$A$62&gt;35,AI37+AH38-AQ37,IF(A38&lt;'Données projet'!$A$62,$AF$205^A38,IF(A38='Données projet'!$A$62,'Données projet'!$B$62,AI37+AH38-AQ37)))</f>
        <v>308.43653846153848</v>
      </c>
      <c r="AJ38" s="13">
        <f>AI38*VLOOKUP('Données projet'!$B$10,Paramètres!$A$1:$I$89,3,0)*VLOOKUP('Données projet'!$B$10,Paramètres!$A$1:$I$89,5,0)</f>
        <v>184.44505000000004</v>
      </c>
      <c r="AK38" s="13">
        <f t="shared" si="35"/>
        <v>46.309719450497106</v>
      </c>
      <c r="AL38" s="20">
        <f t="shared" si="4"/>
        <v>401.89789012628256</v>
      </c>
      <c r="AM38" s="59">
        <f t="shared" si="5"/>
        <v>695.23122345961588</v>
      </c>
      <c r="AN38" s="59">
        <f ca="1">AVERAGE(OFFSET($AM$3,0,0,'Données projet'!$E$10+1,1))-AVERAGE(OFFSET($H$3,0,0,'Données projet'!$E$10+1,1))</f>
        <v>261.13725557061468</v>
      </c>
      <c r="AO38" s="59">
        <f t="shared" si="36"/>
        <v>328.18986868293558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25.017310058226286</v>
      </c>
      <c r="AV38" s="21">
        <f>EXP(-LN(2)/25)*AV37+(1-EXP(-LN(2)/25))/(LN(2)/25)*Calculateur!AQ38*Calculateur!AS38*VLOOKUP('Données projet'!$B$10,Paramètres!$A$1:$I$89,3,0)*0.475*44/12</f>
        <v>17.828010246782004</v>
      </c>
      <c r="AW38" s="21">
        <f>EXP(-LN(2)/2)*AW37+(1-EXP(-LN(2)/2))/(LN(2)/2)*AQ38*AT38*VLOOKUP('Données projet'!$B$10,Paramètres!$A$1:$I$89,3,0)*0.475*44/12</f>
        <v>2.3190787173303908</v>
      </c>
      <c r="AX38" s="21">
        <f t="shared" si="6"/>
        <v>45.164399022338678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5.3369963369963358</v>
      </c>
      <c r="BD38" s="12">
        <f>IF('Données projet'!$A$88&gt;35,BD37+BC38-BL37,IF(A38&lt;'Données projet'!$A$88,$BA$205^A38,IF(A38='Données projet'!$A$88,'Données projet'!$B$88,BD37+BC38-BL37)))</f>
        <v>114.39010989010988</v>
      </c>
      <c r="BE38" s="13">
        <f>BD38*VLOOKUP('Données projet'!$B$11,Paramètres!$A$1:$I$89,3,0)*VLOOKUP('Données projet'!$B$11,Paramètres!$A$1:$I$89,5,0)</f>
        <v>115.99157142857143</v>
      </c>
      <c r="BF38" s="13">
        <f t="shared" si="37"/>
        <v>30.738258626956586</v>
      </c>
      <c r="BG38" s="20">
        <f t="shared" si="7"/>
        <v>255.55445401337798</v>
      </c>
      <c r="BH38" s="59">
        <f t="shared" si="8"/>
        <v>548.88778734671132</v>
      </c>
      <c r="BI38" s="59">
        <f ca="1">AVERAGE(OFFSET($BH$3,0,0,'Données projet'!$E$11+1,1))-AVERAGE(OFFSET($H$3,0,0,'Données projet'!$E$11+1,1))</f>
        <v>250.31277422753283</v>
      </c>
      <c r="BJ38" s="59">
        <f t="shared" si="38"/>
        <v>159.20429420478047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168</v>
      </c>
      <c r="BW38" s="12">
        <f>VLOOKUP(A38,'Données projet'!$A$113:$I$133,9,0)</f>
        <v>9.1999999999999993</v>
      </c>
      <c r="BX38" s="12">
        <f t="array" ref="BX38">INDEX(BW:BW,MIN(IF(ISNUMBER(BW38:BW234),ROW(BW38:BW234),"")))</f>
        <v>9.1999999999999993</v>
      </c>
      <c r="BY38" s="12">
        <f>IF('Données projet'!$A$114&gt;35,BY37+BX38-CG37,IF(A38&lt;'Données projet'!$A$114,$BV$205^A38,IF(A38='Données projet'!$A$114,'Données projet'!$B$114,BY37+BX38-CG37)))</f>
        <v>167.99999999999997</v>
      </c>
      <c r="BZ38" s="13">
        <f>BY38*VLOOKUP('Données projet'!$B$12,Paramètres!$A$1:$I$89,3,0)*VLOOKUP('Données projet'!$B$12,Paramètres!$A$1:$I$89,5,0)</f>
        <v>175.59359999999998</v>
      </c>
      <c r="CA38" s="13">
        <f t="shared" si="39"/>
        <v>44.340433728638573</v>
      </c>
      <c r="CB38" s="20">
        <f t="shared" si="10"/>
        <v>383.05177541071208</v>
      </c>
      <c r="CC38" s="59">
        <f t="shared" si="11"/>
        <v>676.3851087440454</v>
      </c>
      <c r="CD38" s="59">
        <f ca="1">AVERAGE(OFFSET($CC$3,0,0,'Données projet'!$E$12+1,1))-AVERAGE(OFFSET($H$3,0,0,'Données projet'!$E$12+1,1))</f>
        <v>322.93502595881938</v>
      </c>
      <c r="CE38" s="59">
        <f t="shared" si="40"/>
        <v>302.67072119588164</v>
      </c>
      <c r="CF38" s="15">
        <f>IF(ISNA(VLOOKUP(A38,'Données projet'!$A$113:$I$133,3,0)),0,VLOOKUP(A38,'Données projet'!$A$113:$I$133,3,0))</f>
        <v>4</v>
      </c>
      <c r="CG38" s="15" t="str">
        <f>IF(ISNA(VLOOKUP(A38,'Données projet'!$A$113:$I$133,4,0)),0,VLOOKUP(A38,'Données projet'!$A$113:$I$133,4,0))</f>
        <v>27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0.215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6.6809062473653311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6.6809062473653311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15.48351648351648</v>
      </c>
      <c r="N39" s="13">
        <f>IF('Données projet'!$A$36&gt;35,N38+M39-V38,IF(A39&lt;'Données projet'!$A$36,$K$205^A39,IF(A39='Données projet'!$A$36,'Données projet'!$B$36,N38+M39-V38)))</f>
        <v>252.68571428571425</v>
      </c>
      <c r="O39" s="13">
        <f>N39*VLOOKUP('Données projet'!$B$9,Paramètres!$A$1:$I$89,3,0)*VLOOKUP('Données projet'!$B$9,Paramètres!$A$1:$I$89,5,0)</f>
        <v>151.10605714285714</v>
      </c>
      <c r="P39" s="13">
        <f t="shared" si="33"/>
        <v>38.829833501111224</v>
      </c>
      <c r="Q39" s="20">
        <f t="shared" si="53"/>
        <v>330.80500953824486</v>
      </c>
      <c r="R39" s="59">
        <f t="shared" si="0"/>
        <v>624.13834287157817</v>
      </c>
      <c r="S39" s="59">
        <f ca="1">AVERAGE(OFFSET($R$3,0,0,'Données projet'!$E$9+1,1))-AVERAGE(OFFSET($H$3,0,0,'Données projet'!$E$9+1,1))</f>
        <v>278.21846622758881</v>
      </c>
      <c r="T39" s="59">
        <f t="shared" si="34"/>
        <v>245.37578316242906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20.359740840372098</v>
      </c>
      <c r="AA39" s="21">
        <f>EXP(-LN(2)/25)*AA38+(1-EXP(-LN(2)/25))/(LN(2)/25)*Calculateur!V39*Calculateur!X39*VLOOKUP('Données projet'!$B$9,Paramètres!$A$1:$I$89,3,0)*0.475*44/12</f>
        <v>10.340917336803395</v>
      </c>
      <c r="AB39" s="21">
        <f>EXP(-LN(2)/2)*AB38+(1-EXP(-LN(2)/2))/(LN(2)/2)*V39*Y39*VLOOKUP('Données projet'!$B$9,Paramètres!$A$1:$I$89,3,0)*0.475*44/12</f>
        <v>0.71889043910185979</v>
      </c>
      <c r="AC39" s="22">
        <f t="shared" si="3"/>
        <v>31.41954861627735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18.055769230769229</v>
      </c>
      <c r="AI39" s="13">
        <f>IF('Données projet'!$A$62&gt;35,AI38+AH39-AQ38,IF(A39&lt;'Données projet'!$A$62,$AF$205^A39,IF(A39='Données projet'!$A$62,'Données projet'!$B$62,AI38+AH39-AQ38)))</f>
        <v>326.49230769230769</v>
      </c>
      <c r="AJ39" s="13">
        <f>AI39*VLOOKUP('Données projet'!$B$10,Paramètres!$A$1:$I$89,3,0)*VLOOKUP('Données projet'!$B$10,Paramètres!$A$1:$I$89,5,0)</f>
        <v>195.2424</v>
      </c>
      <c r="AK39" s="13">
        <f t="shared" si="35"/>
        <v>48.697130705157392</v>
      </c>
      <c r="AL39" s="20">
        <f t="shared" si="4"/>
        <v>424.8613493114824</v>
      </c>
      <c r="AM39" s="59">
        <f t="shared" si="5"/>
        <v>718.19468264481566</v>
      </c>
      <c r="AN39" s="59">
        <f ca="1">AVERAGE(OFFSET($AM$3,0,0,'Données projet'!$E$10+1,1))-AVERAGE(OFFSET($H$3,0,0,'Données projet'!$E$10+1,1))</f>
        <v>261.13725557061468</v>
      </c>
      <c r="AO39" s="59">
        <f t="shared" si="36"/>
        <v>328.18986868293558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24.526735867036898</v>
      </c>
      <c r="AV39" s="21">
        <f>EXP(-LN(2)/25)*AV38+(1-EXP(-LN(2)/25))/(LN(2)/25)*Calculateur!AQ39*Calculateur!AS39*VLOOKUP('Données projet'!$B$10,Paramètres!$A$1:$I$89,3,0)*0.475*44/12</f>
        <v>17.340502369049439</v>
      </c>
      <c r="AW39" s="21">
        <f>EXP(-LN(2)/2)*AW38+(1-EXP(-LN(2)/2))/(LN(2)/2)*AQ39*AT39*VLOOKUP('Données projet'!$B$10,Paramètres!$A$1:$I$89,3,0)*0.475*44/12</f>
        <v>1.6398362871297201</v>
      </c>
      <c r="AX39" s="21">
        <f t="shared" si="6"/>
        <v>43.507074523216055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5.3369963369963358</v>
      </c>
      <c r="BD39" s="12">
        <f>IF('Données projet'!$A$88&gt;35,BD38+BC39-BL38,IF(A39&lt;'Données projet'!$A$88,$BA$205^A39,IF(A39='Données projet'!$A$88,'Données projet'!$B$88,BD38+BC39-BL38)))</f>
        <v>119.72710622710622</v>
      </c>
      <c r="BE39" s="13">
        <f>BD39*VLOOKUP('Données projet'!$B$11,Paramètres!$A$1:$I$89,3,0)*VLOOKUP('Données projet'!$B$11,Paramètres!$A$1:$I$89,5,0)</f>
        <v>121.40328571428572</v>
      </c>
      <c r="BF39" s="13">
        <f t="shared" si="37"/>
        <v>32.002070852076919</v>
      </c>
      <c r="BG39" s="20">
        <f t="shared" si="7"/>
        <v>267.18099601974819</v>
      </c>
      <c r="BH39" s="59">
        <f t="shared" si="8"/>
        <v>560.51432935308151</v>
      </c>
      <c r="BI39" s="59">
        <f ca="1">AVERAGE(OFFSET($BH$3,0,0,'Données projet'!$E$11+1,1))-AVERAGE(OFFSET($H$3,0,0,'Données projet'!$E$11+1,1))</f>
        <v>250.31277422753283</v>
      </c>
      <c r="BJ39" s="59">
        <f t="shared" si="38"/>
        <v>159.20429420478047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8.8000000000000007</v>
      </c>
      <c r="BY39" s="12">
        <f>IF('Données projet'!$A$114&gt;35,BY38+BX39-CG38,IF(A39&lt;'Données projet'!$A$114,$BV$205^A39,IF(A39='Données projet'!$A$114,'Données projet'!$B$114,BY38+BX39-CG38)))</f>
        <v>149.79999999999998</v>
      </c>
      <c r="BZ39" s="13">
        <f>BY39*VLOOKUP('Données projet'!$B$12,Paramètres!$A$1:$I$89,3,0)*VLOOKUP('Données projet'!$B$12,Paramètres!$A$1:$I$89,5,0)</f>
        <v>156.57096000000001</v>
      </c>
      <c r="CA39" s="13">
        <f t="shared" si="39"/>
        <v>40.0681133718019</v>
      </c>
      <c r="CB39" s="20">
        <f t="shared" si="10"/>
        <v>342.4797194558883</v>
      </c>
      <c r="CC39" s="59">
        <f t="shared" si="11"/>
        <v>635.81305278922162</v>
      </c>
      <c r="CD39" s="59">
        <f ca="1">AVERAGE(OFFSET($CC$3,0,0,'Données projet'!$E$12+1,1))-AVERAGE(OFFSET($H$3,0,0,'Données projet'!$E$12+1,1))</f>
        <v>322.93502595881938</v>
      </c>
      <c r="CE39" s="59">
        <f t="shared" si="40"/>
        <v>302.67072119588164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6.4982165146975364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6.4982165146975364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>
        <f>VLOOKUP(A40,'Données projet'!$A$35:$I$55,2,0)</f>
        <v>268.16923076923075</v>
      </c>
      <c r="L40" s="12">
        <f>VLOOKUP(A40,'Données projet'!$A$35:$I$55,9,0)</f>
        <v>15.48351648351648</v>
      </c>
      <c r="M40" s="12">
        <f t="array" ref="M40">INDEX(L:L,MIN(IF(ISNUMBER(L40:L236),ROW(L40:L236),"")))</f>
        <v>15.48351648351648</v>
      </c>
      <c r="N40" s="13">
        <f>IF('Données projet'!$A$36&gt;35,N39+M40-V39,IF(A40&lt;'Données projet'!$A$36,$K$205^A40,IF(A40='Données projet'!$A$36,'Données projet'!$B$36,N39+M40-V39)))</f>
        <v>268.16923076923075</v>
      </c>
      <c r="O40" s="13">
        <f>N40*VLOOKUP('Données projet'!$B$9,Paramètres!$A$1:$I$89,3,0)*VLOOKUP('Données projet'!$B$9,Paramètres!$A$1:$I$89,5,0)</f>
        <v>160.36520000000002</v>
      </c>
      <c r="P40" s="13">
        <f t="shared" si="33"/>
        <v>40.924876352970031</v>
      </c>
      <c r="Q40" s="20">
        <f t="shared" si="53"/>
        <v>350.58021631475617</v>
      </c>
      <c r="R40" s="59">
        <f t="shared" si="0"/>
        <v>643.91354964808943</v>
      </c>
      <c r="S40" s="59">
        <f ca="1">AVERAGE(OFFSET($R$3,0,0,'Données projet'!$E$9+1,1))-AVERAGE(OFFSET($H$3,0,0,'Données projet'!$E$9+1,1))</f>
        <v>278.21846622758881</v>
      </c>
      <c r="T40" s="59">
        <f t="shared" si="34"/>
        <v>245.37578316242906</v>
      </c>
      <c r="U40" s="15">
        <f>IF(ISNA(VLOOKUP(A40,'Données projet'!$A$35:$I$55,3,0)),0,VLOOKUP(A40,'Données projet'!$A$35:$I$55,3,0))</f>
        <v>4</v>
      </c>
      <c r="V40" s="15">
        <f>IF(ISNA(VLOOKUP(A40,'Données projet'!$A$35:$I$55,4,0)),0,VLOOKUP(A40,'Données projet'!$A$35:$I$55,4,0))</f>
        <v>43.623076923076923</v>
      </c>
      <c r="W40" s="16">
        <f>IF(ISNA(VLOOKUP(A40,'Données projet'!$A$35:$I$55,5,0)),0%,VLOOKUP(A40,'Données projet'!$A$35:$I$55,5,0)*VLOOKUP('Données projet'!$B$9,Paramètres!$A$1:$I$89,7,0))</f>
        <v>0.315</v>
      </c>
      <c r="X40" s="16">
        <f>IF(ISNA(VLOOKUP(A40,'Données projet'!$A$35:$I$55,6,0)),0%,VLOOKUP(A40,'Données projet'!$A$35:$I$55,6,0)*VLOOKUP('Données projet'!$B$9,Paramètres!$A$1:$I$89,7,0))</f>
        <v>7.5600000000000001E-2</v>
      </c>
      <c r="Y40" s="16">
        <f>IF(ISNA(VLOOKUP(A40,'Données projet'!$A$35:$I$55,7,0)),0%,VLOOKUP(A40,'Données projet'!$A$35:$I$55,7,0))</f>
        <v>0.13200000000000001</v>
      </c>
      <c r="Z40" s="21">
        <f>EXP(-LN(2)/35)*Z39+(1-EXP(-LN(2)/35))/(LN(2)/35)*V40*W40*VLOOKUP('Données projet'!$B$9,Paramètres!$A$1:$I$89,3,0)*0.475*44/12</f>
        <v>30.861248982537887</v>
      </c>
      <c r="AA40" s="21">
        <f>EXP(-LN(2)/25)*AA39+(1-EXP(-LN(2)/25))/(LN(2)/25)*Calculateur!V40*Calculateur!X40*VLOOKUP('Données projet'!$B$9,Paramètres!$A$1:$I$89,3,0)*0.475*44/12</f>
        <v>12.664023568731189</v>
      </c>
      <c r="AB40" s="21">
        <f>EXP(-LN(2)/2)*AB39+(1-EXP(-LN(2)/2))/(LN(2)/2)*V40*Y40*VLOOKUP('Données projet'!$B$9,Paramètres!$A$1:$I$89,3,0)*0.475*44/12</f>
        <v>4.4070963233694158</v>
      </c>
      <c r="AC40" s="22">
        <f t="shared" si="3"/>
        <v>47.932368874638492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18.055769230769229</v>
      </c>
      <c r="AI40" s="13">
        <f>IF('Données projet'!$A$62&gt;35,AI39+AH40-AQ39,IF(A40&lt;'Données projet'!$A$62,$AF$205^A40,IF(A40='Données projet'!$A$62,'Données projet'!$B$62,AI39+AH40-AQ39)))</f>
        <v>344.54807692307691</v>
      </c>
      <c r="AJ40" s="13">
        <f>AI40*VLOOKUP('Données projet'!$B$10,Paramètres!$A$1:$I$89,3,0)*VLOOKUP('Données projet'!$B$10,Paramètres!$A$1:$I$89,5,0)</f>
        <v>206.03975</v>
      </c>
      <c r="AK40" s="13">
        <f t="shared" si="35"/>
        <v>51.069214862008621</v>
      </c>
      <c r="AL40" s="20">
        <f t="shared" si="4"/>
        <v>447.79811380133168</v>
      </c>
      <c r="AM40" s="59">
        <f t="shared" si="5"/>
        <v>741.131447134665</v>
      </c>
      <c r="AN40" s="59">
        <f ca="1">AVERAGE(OFFSET($AM$3,0,0,'Données projet'!$E$10+1,1))-AVERAGE(OFFSET($H$3,0,0,'Données projet'!$E$10+1,1))</f>
        <v>261.13725557061468</v>
      </c>
      <c r="AO40" s="59">
        <f t="shared" si="36"/>
        <v>328.18986868293558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24.045781536516021</v>
      </c>
      <c r="AV40" s="21">
        <f>EXP(-LN(2)/25)*AV39+(1-EXP(-LN(2)/25))/(LN(2)/25)*Calculateur!AQ40*Calculateur!AS40*VLOOKUP('Données projet'!$B$10,Paramètres!$A$1:$I$89,3,0)*0.475*44/12</f>
        <v>16.866325419870396</v>
      </c>
      <c r="AW40" s="21">
        <f>EXP(-LN(2)/2)*AW39+(1-EXP(-LN(2)/2))/(LN(2)/2)*AQ40*AT40*VLOOKUP('Données projet'!$B$10,Paramètres!$A$1:$I$89,3,0)*0.475*44/12</f>
        <v>1.1595393586651956</v>
      </c>
      <c r="AX40" s="21">
        <f t="shared" si="6"/>
        <v>42.071646315051609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5.3369963369963358</v>
      </c>
      <c r="BD40" s="12">
        <f>IF('Données projet'!$A$88&gt;35,BD39+BC40-BL39,IF(A40&lt;'Données projet'!$A$88,$BA$205^A40,IF(A40='Données projet'!$A$88,'Données projet'!$B$88,BD39+BC40-BL39)))</f>
        <v>125.06410256410255</v>
      </c>
      <c r="BE40" s="13">
        <f>BD40*VLOOKUP('Données projet'!$B$11,Paramètres!$A$1:$I$89,3,0)*VLOOKUP('Données projet'!$B$11,Paramètres!$A$1:$I$89,5,0)</f>
        <v>126.81499999999998</v>
      </c>
      <c r="BF40" s="13">
        <f t="shared" si="37"/>
        <v>33.259340247246584</v>
      </c>
      <c r="BG40" s="20">
        <f t="shared" si="7"/>
        <v>278.79614259728777</v>
      </c>
      <c r="BH40" s="59">
        <f t="shared" si="8"/>
        <v>572.12947593062108</v>
      </c>
      <c r="BI40" s="59">
        <f ca="1">AVERAGE(OFFSET($BH$3,0,0,'Données projet'!$E$11+1,1))-AVERAGE(OFFSET($H$3,0,0,'Données projet'!$E$11+1,1))</f>
        <v>250.31277422753283</v>
      </c>
      <c r="BJ40" s="59">
        <f t="shared" si="38"/>
        <v>159.20429420478047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8.8000000000000007</v>
      </c>
      <c r="BY40" s="12">
        <f>IF('Données projet'!$A$114&gt;35,BY39+BX40-CG39,IF(A40&lt;'Données projet'!$A$114,$BV$205^A40,IF(A40='Données projet'!$A$114,'Données projet'!$B$114,BY39+BX40-CG39)))</f>
        <v>158.6</v>
      </c>
      <c r="BZ40" s="13">
        <f>BY40*VLOOKUP('Données projet'!$B$12,Paramètres!$A$1:$I$89,3,0)*VLOOKUP('Données projet'!$B$12,Paramètres!$A$1:$I$89,5,0)</f>
        <v>165.76872</v>
      </c>
      <c r="CA40" s="13">
        <f t="shared" si="39"/>
        <v>42.140971955776095</v>
      </c>
      <c r="CB40" s="20">
        <f t="shared" si="10"/>
        <v>362.10938015631001</v>
      </c>
      <c r="CC40" s="59">
        <f t="shared" si="11"/>
        <v>655.44271348964332</v>
      </c>
      <c r="CD40" s="59">
        <f ca="1">AVERAGE(OFFSET($CC$3,0,0,'Données projet'!$E$12+1,1))-AVERAGE(OFFSET($H$3,0,0,'Données projet'!$E$12+1,1))</f>
        <v>322.93502595881938</v>
      </c>
      <c r="CE40" s="59">
        <f t="shared" si="40"/>
        <v>302.67072119588164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6.3205224423767774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6.3205224423767774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15.364102564102561</v>
      </c>
      <c r="N41" s="13">
        <f>IF('Données projet'!$A$36&gt;35,N40+M41-V40,IF(A41&lt;'Données projet'!$A$36,$K$205^A41,IF(A41='Données projet'!$A$36,'Données projet'!$B$36,N40+M41-V40)))</f>
        <v>239.91025641025638</v>
      </c>
      <c r="O41" s="13">
        <f>N41*VLOOKUP('Données projet'!$B$9,Paramètres!$A$1:$I$89,3,0)*VLOOKUP('Données projet'!$B$9,Paramètres!$A$1:$I$89,5,0)</f>
        <v>143.46633333333332</v>
      </c>
      <c r="P41" s="13">
        <f t="shared" si="33"/>
        <v>37.089959908428597</v>
      </c>
      <c r="Q41" s="20">
        <f t="shared" si="53"/>
        <v>314.46887739606865</v>
      </c>
      <c r="R41" s="59">
        <f t="shared" si="0"/>
        <v>607.80221072940196</v>
      </c>
      <c r="S41" s="59">
        <f ca="1">AVERAGE(OFFSET($R$3,0,0,'Données projet'!$E$9+1,1))-AVERAGE(OFFSET($H$3,0,0,'Données projet'!$E$9+1,1))</f>
        <v>278.21846622758881</v>
      </c>
      <c r="T41" s="59">
        <f t="shared" si="34"/>
        <v>245.37578316242906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30.256078713493533</v>
      </c>
      <c r="AA41" s="21">
        <f>EXP(-LN(2)/25)*AA40+(1-EXP(-LN(2)/25))/(LN(2)/25)*Calculateur!V41*Calculateur!X41*VLOOKUP('Données projet'!$B$9,Paramètres!$A$1:$I$89,3,0)*0.475*44/12</f>
        <v>12.317725178272179</v>
      </c>
      <c r="AB41" s="21">
        <f>EXP(-LN(2)/2)*AB40+(1-EXP(-LN(2)/2))/(LN(2)/2)*V41*Y41*VLOOKUP('Données projet'!$B$9,Paramètres!$A$1:$I$89,3,0)*0.475*44/12</f>
        <v>3.116287695596816</v>
      </c>
      <c r="AC41" s="22">
        <f t="shared" si="3"/>
        <v>45.690091587362531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18.055769230769229</v>
      </c>
      <c r="AI41" s="13">
        <f>IF('Données projet'!$A$62&gt;35,AI40+AH41-AQ40,IF(A41&lt;'Données projet'!$A$62,$AF$205^A41,IF(A41='Données projet'!$A$62,'Données projet'!$B$62,AI40+AH41-AQ40)))</f>
        <v>362.60384615384612</v>
      </c>
      <c r="AJ41" s="13">
        <f>AI41*VLOOKUP('Données projet'!$B$10,Paramètres!$A$1:$I$89,3,0)*VLOOKUP('Données projet'!$B$10,Paramètres!$A$1:$I$89,5,0)</f>
        <v>216.83710000000002</v>
      </c>
      <c r="AK41" s="13">
        <f t="shared" si="35"/>
        <v>53.426866729052094</v>
      </c>
      <c r="AL41" s="20">
        <f t="shared" si="4"/>
        <v>470.70974205309909</v>
      </c>
      <c r="AM41" s="59">
        <f t="shared" si="5"/>
        <v>764.04307538643241</v>
      </c>
      <c r="AN41" s="59">
        <f ca="1">AVERAGE(OFFSET($AM$3,0,0,'Données projet'!$E$10+1,1))-AVERAGE(OFFSET($H$3,0,0,'Données projet'!$E$10+1,1))</f>
        <v>261.13725557061468</v>
      </c>
      <c r="AO41" s="59">
        <f t="shared" si="36"/>
        <v>328.18986868293558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23.574258427063484</v>
      </c>
      <c r="AV41" s="21">
        <f>EXP(-LN(2)/25)*AV40+(1-EXP(-LN(2)/25))/(LN(2)/25)*Calculateur!AQ41*Calculateur!AS41*VLOOKUP('Données projet'!$B$10,Paramètres!$A$1:$I$89,3,0)*0.475*44/12</f>
        <v>16.405114864302536</v>
      </c>
      <c r="AW41" s="21">
        <f>EXP(-LN(2)/2)*AW40+(1-EXP(-LN(2)/2))/(LN(2)/2)*AQ41*AT41*VLOOKUP('Données projet'!$B$10,Paramètres!$A$1:$I$89,3,0)*0.475*44/12</f>
        <v>0.81991814356486015</v>
      </c>
      <c r="AX41" s="21">
        <f t="shared" si="6"/>
        <v>40.799291434930879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5.3369963369963358</v>
      </c>
      <c r="BD41" s="12">
        <f>IF('Données projet'!$A$88&gt;35,BD40+BC41-BL40,IF(A41&lt;'Données projet'!$A$88,$BA$205^A41,IF(A41='Données projet'!$A$88,'Données projet'!$B$88,BD40+BC41-BL40)))</f>
        <v>130.40109890109889</v>
      </c>
      <c r="BE41" s="13">
        <f>BD41*VLOOKUP('Données projet'!$B$11,Paramètres!$A$1:$I$89,3,0)*VLOOKUP('Données projet'!$B$11,Paramètres!$A$1:$I$89,5,0)</f>
        <v>132.22671428571428</v>
      </c>
      <c r="BF41" s="13">
        <f t="shared" si="37"/>
        <v>34.510377941523238</v>
      </c>
      <c r="BG41" s="20">
        <f t="shared" si="7"/>
        <v>290.4004356291054</v>
      </c>
      <c r="BH41" s="59">
        <f t="shared" si="8"/>
        <v>583.73376896243872</v>
      </c>
      <c r="BI41" s="59">
        <f ca="1">AVERAGE(OFFSET($BH$3,0,0,'Données projet'!$E$11+1,1))-AVERAGE(OFFSET($H$3,0,0,'Données projet'!$E$11+1,1))</f>
        <v>250.31277422753283</v>
      </c>
      <c r="BJ41" s="59">
        <f t="shared" si="38"/>
        <v>159.20429420478047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8.8000000000000007</v>
      </c>
      <c r="BY41" s="12">
        <f>IF('Données projet'!$A$114&gt;35,BY40+BX41-CG40,IF(A41&lt;'Données projet'!$A$114,$BV$205^A41,IF(A41='Données projet'!$A$114,'Données projet'!$B$114,BY40+BX41-CG40)))</f>
        <v>167.4</v>
      </c>
      <c r="BZ41" s="13">
        <f>BY41*VLOOKUP('Données projet'!$B$12,Paramètres!$A$1:$I$89,3,0)*VLOOKUP('Données projet'!$B$12,Paramètres!$A$1:$I$89,5,0)</f>
        <v>174.96648000000002</v>
      </c>
      <c r="CA41" s="13">
        <f t="shared" si="39"/>
        <v>44.20047886519378</v>
      </c>
      <c r="CB41" s="20">
        <f t="shared" si="10"/>
        <v>381.71578669021255</v>
      </c>
      <c r="CC41" s="59">
        <f t="shared" si="11"/>
        <v>675.04912002354581</v>
      </c>
      <c r="CD41" s="59">
        <f ca="1">AVERAGE(OFFSET($CC$3,0,0,'Données projet'!$E$12+1,1))-AVERAGE(OFFSET($H$3,0,0,'Données projet'!$E$12+1,1))</f>
        <v>322.93502595881938</v>
      </c>
      <c r="CE41" s="59">
        <f t="shared" si="40"/>
        <v>302.67072119588164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6.1476874238081551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6.1476874238081551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15.364102564102561</v>
      </c>
      <c r="N42" s="13">
        <f>IF('Données projet'!$A$36&gt;35,N41+M42-V41,IF(A42&lt;'Données projet'!$A$36,$K$205^A42,IF(A42='Données projet'!$A$36,'Données projet'!$B$36,N41+M42-V41)))</f>
        <v>255.27435897435893</v>
      </c>
      <c r="O42" s="13">
        <f>N42*VLOOKUP('Données projet'!$B$9,Paramètres!$A$1:$I$89,3,0)*VLOOKUP('Données projet'!$B$9,Paramètres!$A$1:$I$89,5,0)</f>
        <v>152.65406666666664</v>
      </c>
      <c r="P42" s="13">
        <f t="shared" si="33"/>
        <v>39.18111473980327</v>
      </c>
      <c r="Q42" s="20">
        <f t="shared" si="53"/>
        <v>334.11294094960175</v>
      </c>
      <c r="R42" s="59">
        <f t="shared" si="0"/>
        <v>627.44627428293506</v>
      </c>
      <c r="S42" s="59">
        <f ca="1">AVERAGE(OFFSET($R$3,0,0,'Données projet'!$E$9+1,1))-AVERAGE(OFFSET($H$3,0,0,'Données projet'!$E$9+1,1))</f>
        <v>278.21846622758881</v>
      </c>
      <c r="T42" s="59">
        <f t="shared" si="34"/>
        <v>245.37578316242906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29.662775464307721</v>
      </c>
      <c r="AA42" s="21">
        <f>EXP(-LN(2)/25)*AA41+(1-EXP(-LN(2)/25))/(LN(2)/25)*Calculateur!V42*Calculateur!X42*VLOOKUP('Données projet'!$B$9,Paramètres!$A$1:$I$89,3,0)*0.475*44/12</f>
        <v>11.980896335511311</v>
      </c>
      <c r="AB42" s="21">
        <f>EXP(-LN(2)/2)*AB41+(1-EXP(-LN(2)/2))/(LN(2)/2)*V42*Y42*VLOOKUP('Données projet'!$B$9,Paramètres!$A$1:$I$89,3,0)*0.475*44/12</f>
        <v>2.2035481616847084</v>
      </c>
      <c r="AC42" s="22">
        <f t="shared" si="3"/>
        <v>43.84721996150374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18.055769230769229</v>
      </c>
      <c r="AI42" s="13">
        <f>IF('Données projet'!$A$62&gt;35,AI41+AH42-AQ41,IF(A42&lt;'Données projet'!$A$62,$AF$205^A42,IF(A42='Données projet'!$A$62,'Données projet'!$B$62,AI41+AH42-AQ41)))</f>
        <v>380.65961538461534</v>
      </c>
      <c r="AJ42" s="13">
        <f>AI42*VLOOKUP('Données projet'!$B$10,Paramètres!$A$1:$I$89,3,0)*VLOOKUP('Données projet'!$B$10,Paramètres!$A$1:$I$89,5,0)</f>
        <v>227.63444999999999</v>
      </c>
      <c r="AK42" s="13">
        <f t="shared" si="35"/>
        <v>55.770886966725193</v>
      </c>
      <c r="AL42" s="20">
        <f t="shared" si="4"/>
        <v>493.59762855037974</v>
      </c>
      <c r="AM42" s="59">
        <f t="shared" si="5"/>
        <v>786.93096188371305</v>
      </c>
      <c r="AN42" s="59">
        <f ca="1">AVERAGE(OFFSET($AM$3,0,0,'Données projet'!$E$10+1,1))-AVERAGE(OFFSET($H$3,0,0,'Données projet'!$E$10+1,1))</f>
        <v>261.13725557061468</v>
      </c>
      <c r="AO42" s="59">
        <f t="shared" si="36"/>
        <v>328.18986868293558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23.111981598186613</v>
      </c>
      <c r="AV42" s="21">
        <f>EXP(-LN(2)/25)*AV41+(1-EXP(-LN(2)/25))/(LN(2)/25)*Calculateur!AQ42*Calculateur!AS42*VLOOKUP('Données projet'!$B$10,Paramètres!$A$1:$I$89,3,0)*0.475*44/12</f>
        <v>15.956516135630688</v>
      </c>
      <c r="AW42" s="21">
        <f>EXP(-LN(2)/2)*AW41+(1-EXP(-LN(2)/2))/(LN(2)/2)*AQ42*AT42*VLOOKUP('Données projet'!$B$10,Paramètres!$A$1:$I$89,3,0)*0.475*44/12</f>
        <v>0.57976967933259782</v>
      </c>
      <c r="AX42" s="21">
        <f t="shared" si="6"/>
        <v>39.648267413149902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5.3369963369963358</v>
      </c>
      <c r="BD42" s="12">
        <f>IF('Données projet'!$A$88&gt;35,BD41+BC42-BL41,IF(A42&lt;'Données projet'!$A$88,$BA$205^A42,IF(A42='Données projet'!$A$88,'Données projet'!$B$88,BD41+BC42-BL41)))</f>
        <v>135.73809523809524</v>
      </c>
      <c r="BE42" s="13">
        <f>BD42*VLOOKUP('Données projet'!$B$11,Paramètres!$A$1:$I$89,3,0)*VLOOKUP('Données projet'!$B$11,Paramètres!$A$1:$I$89,5,0)</f>
        <v>137.63842857142859</v>
      </c>
      <c r="BF42" s="13">
        <f t="shared" si="37"/>
        <v>35.755468155325104</v>
      </c>
      <c r="BG42" s="20">
        <f t="shared" si="7"/>
        <v>301.99437013242931</v>
      </c>
      <c r="BH42" s="59">
        <f t="shared" si="8"/>
        <v>595.32770346576262</v>
      </c>
      <c r="BI42" s="59">
        <f ca="1">AVERAGE(OFFSET($BH$3,0,0,'Données projet'!$E$11+1,1))-AVERAGE(OFFSET($H$3,0,0,'Données projet'!$E$11+1,1))</f>
        <v>250.31277422753283</v>
      </c>
      <c r="BJ42" s="59">
        <f t="shared" si="38"/>
        <v>159.20429420478047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8.8000000000000007</v>
      </c>
      <c r="BY42" s="12">
        <f>IF('Données projet'!$A$114&gt;35,BY41+BX42-CG41,IF(A42&lt;'Données projet'!$A$114,$BV$205^A42,IF(A42='Données projet'!$A$114,'Données projet'!$B$114,BY41+BX42-CG41)))</f>
        <v>176.20000000000002</v>
      </c>
      <c r="BZ42" s="13">
        <f>BY42*VLOOKUP('Données projet'!$B$12,Paramètres!$A$1:$I$89,3,0)*VLOOKUP('Données projet'!$B$12,Paramètres!$A$1:$I$89,5,0)</f>
        <v>184.16424000000004</v>
      </c>
      <c r="CA42" s="13">
        <f t="shared" si="39"/>
        <v>46.247416025180279</v>
      </c>
      <c r="CB42" s="20">
        <f t="shared" si="10"/>
        <v>401.30030091052237</v>
      </c>
      <c r="CC42" s="59">
        <f t="shared" si="11"/>
        <v>694.63363424385568</v>
      </c>
      <c r="CD42" s="59">
        <f ca="1">AVERAGE(OFFSET($CC$3,0,0,'Données projet'!$E$12+1,1))-AVERAGE(OFFSET($H$3,0,0,'Données projet'!$E$12+1,1))</f>
        <v>322.93502595881938</v>
      </c>
      <c r="CE42" s="59">
        <f t="shared" si="40"/>
        <v>302.67072119588164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5.9795785879112904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5.9795785879112904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15.364102564102561</v>
      </c>
      <c r="N43" s="13">
        <f>IF('Données projet'!$A$36&gt;35,N42+M43-V42,IF(A43&lt;'Données projet'!$A$36,$K$205^A43,IF(A43='Données projet'!$A$36,'Données projet'!$B$36,N42+M43-V42)))</f>
        <v>270.63846153846151</v>
      </c>
      <c r="O43" s="13">
        <f>N43*VLOOKUP('Données projet'!$B$9,Paramètres!$A$1:$I$89,3,0)*VLOOKUP('Données projet'!$B$9,Paramètres!$A$1:$I$89,5,0)</f>
        <v>161.84180000000001</v>
      </c>
      <c r="P43" s="13">
        <f t="shared" si="33"/>
        <v>41.257661408086413</v>
      </c>
      <c r="Q43" s="20">
        <f t="shared" si="53"/>
        <v>353.73156195241717</v>
      </c>
      <c r="R43" s="59">
        <f t="shared" si="0"/>
        <v>647.06489528575048</v>
      </c>
      <c r="S43" s="59">
        <f ca="1">AVERAGE(OFFSET($R$3,0,0,'Données projet'!$E$9+1,1))-AVERAGE(OFFSET($H$3,0,0,'Données projet'!$E$9+1,1))</f>
        <v>278.21846622758881</v>
      </c>
      <c r="T43" s="59">
        <f t="shared" si="34"/>
        <v>245.37578316242906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29.081106529959193</v>
      </c>
      <c r="AA43" s="21">
        <f>EXP(-LN(2)/25)*AA42+(1-EXP(-LN(2)/25))/(LN(2)/25)*Calculateur!V43*Calculateur!X43*VLOOKUP('Données projet'!$B$9,Paramètres!$A$1:$I$89,3,0)*0.475*44/12</f>
        <v>11.653278095168798</v>
      </c>
      <c r="AB43" s="21">
        <f>EXP(-LN(2)/2)*AB42+(1-EXP(-LN(2)/2))/(LN(2)/2)*V43*Y43*VLOOKUP('Données projet'!$B$9,Paramètres!$A$1:$I$89,3,0)*0.475*44/12</f>
        <v>1.5581438477984082</v>
      </c>
      <c r="AC43" s="22">
        <f t="shared" si="3"/>
        <v>42.292528472926392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398.71538461538461</v>
      </c>
      <c r="AG43" s="12">
        <f>VLOOKUP(A43,'Données projet'!$A$61:$I$81,9,0)</f>
        <v>18.055769230769229</v>
      </c>
      <c r="AH43" s="12">
        <f t="array" ref="AH43">INDEX(AG:AG,MIN(IF(ISNUMBER(AG43:AG239),ROW(AG43:AG239),"")))</f>
        <v>18.055769230769229</v>
      </c>
      <c r="AI43" s="13">
        <f>IF('Données projet'!$A$62&gt;35,AI42+AH43-AQ42,IF(A43&lt;'Données projet'!$A$62,$AF$205^A43,IF(A43='Données projet'!$A$62,'Données projet'!$B$62,AI42+AH43-AQ42)))</f>
        <v>398.71538461538455</v>
      </c>
      <c r="AJ43" s="13">
        <f>AI43*VLOOKUP('Données projet'!$B$10,Paramètres!$A$1:$I$89,3,0)*VLOOKUP('Données projet'!$B$10,Paramètres!$A$1:$I$89,5,0)</f>
        <v>238.43179999999998</v>
      </c>
      <c r="AK43" s="13">
        <f t="shared" si="35"/>
        <v>58.101995988242535</v>
      </c>
      <c r="AL43" s="20">
        <f t="shared" si="4"/>
        <v>516.46302801285572</v>
      </c>
      <c r="AM43" s="59">
        <f t="shared" si="5"/>
        <v>809.79636134618909</v>
      </c>
      <c r="AN43" s="59">
        <f ca="1">AVERAGE(OFFSET($AM$3,0,0,'Données projet'!$E$10+1,1))-AVERAGE(OFFSET($H$3,0,0,'Données projet'!$E$10+1,1))</f>
        <v>261.13725557061468</v>
      </c>
      <c r="AO43" s="59">
        <f t="shared" si="36"/>
        <v>328.18986868293558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92.661538461538456</v>
      </c>
      <c r="AR43" s="16">
        <f>IF(ISNA(VLOOKUP(A43,'Données projet'!$A$61:$I$81,5,0)),0%,VLOOKUP(A43,'Données projet'!$A$61:$I$81,5,0)*VLOOKUP('Données projet'!$B$10,Paramètres!$A$1:$I$89,7,0))</f>
        <v>0.315</v>
      </c>
      <c r="AS43" s="16">
        <f>IF(ISNA(VLOOKUP(A43,'Données projet'!$A$61:$I$81,6,0)),0%,VLOOKUP(A43,'Données projet'!$A$61:$I$81,6,0)*VLOOKUP('Données projet'!$B$10,Paramètres!$A$1:$I$89,7,0))</f>
        <v>7.5600000000000001E-2</v>
      </c>
      <c r="AT43" s="16">
        <f>IF(ISNA(VLOOKUP(A43,'Données projet'!$A$61:$I$81,7,0)),0%,VLOOKUP(A43,'Données projet'!$A$61:$I$81,7,0))</f>
        <v>0.13200000000000001</v>
      </c>
      <c r="AU43" s="21">
        <f>EXP(-LN(2)/35)*AU42+(1-EXP(-LN(2)/35))/(LN(2)/35)*AQ43*AR43*VLOOKUP('Données projet'!$B$10,Paramètres!$A$1:$I$89,3,0)*0.475*44/12</f>
        <v>45.813493314358581</v>
      </c>
      <c r="AV43" s="21">
        <f>EXP(-LN(2)/25)*AV42+(1-EXP(-LN(2)/25))/(LN(2)/25)*Calculateur!AQ43*Calculateur!AS43*VLOOKUP('Données projet'!$B$10,Paramètres!$A$1:$I$89,3,0)*0.475*44/12</f>
        <v>21.055437468951411</v>
      </c>
      <c r="AW43" s="21">
        <f>EXP(-LN(2)/2)*AW42+(1-EXP(-LN(2)/2))/(LN(2)/2)*AQ43*AT43*VLOOKUP('Données projet'!$B$10,Paramètres!$A$1:$I$89,3,0)*0.475*44/12</f>
        <v>8.6914810912279421</v>
      </c>
      <c r="AX43" s="21">
        <f t="shared" si="6"/>
        <v>75.560411874537934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5.3369963369963358</v>
      </c>
      <c r="BD43" s="12">
        <f>IF('Données projet'!$A$88&gt;35,BD42+BC43-BL42,IF(A43&lt;'Données projet'!$A$88,$BA$205^A43,IF(A43='Données projet'!$A$88,'Données projet'!$B$88,BD42+BC43-BL42)))</f>
        <v>141.07509157509156</v>
      </c>
      <c r="BE43" s="13">
        <f>BD43*VLOOKUP('Données projet'!$B$11,Paramètres!$A$1:$I$89,3,0)*VLOOKUP('Données projet'!$B$11,Paramètres!$A$1:$I$89,5,0)</f>
        <v>143.05014285714284</v>
      </c>
      <c r="BF43" s="13">
        <f t="shared" si="37"/>
        <v>36.994871493561163</v>
      </c>
      <c r="BG43" s="20">
        <f t="shared" si="7"/>
        <v>313.57839999414279</v>
      </c>
      <c r="BH43" s="59">
        <f t="shared" si="8"/>
        <v>606.9117333274761</v>
      </c>
      <c r="BI43" s="59">
        <f ca="1">AVERAGE(OFFSET($BH$3,0,0,'Données projet'!$E$11+1,1))-AVERAGE(OFFSET($H$3,0,0,'Données projet'!$E$11+1,1))</f>
        <v>250.31277422753283</v>
      </c>
      <c r="BJ43" s="59">
        <f t="shared" si="38"/>
        <v>159.20429420478047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185</v>
      </c>
      <c r="BW43" s="12">
        <f>VLOOKUP(A43,'Données projet'!$A$113:$I$133,9,0)</f>
        <v>8.8000000000000007</v>
      </c>
      <c r="BX43" s="12">
        <f t="array" ref="BX43">INDEX(BW:BW,MIN(IF(ISNUMBER(BW43:BW239),ROW(BW43:BW239),"")))</f>
        <v>8.8000000000000007</v>
      </c>
      <c r="BY43" s="12">
        <f>IF('Données projet'!$A$114&gt;35,BY42+BX43-CG42,IF(A43&lt;'Données projet'!$A$114,$BV$205^A43,IF(A43='Données projet'!$A$114,'Données projet'!$B$114,BY42+BX43-CG42)))</f>
        <v>185.00000000000003</v>
      </c>
      <c r="BZ43" s="13">
        <f>BY43*VLOOKUP('Données projet'!$B$12,Paramètres!$A$1:$I$89,3,0)*VLOOKUP('Données projet'!$B$12,Paramètres!$A$1:$I$89,5,0)</f>
        <v>193.36200000000005</v>
      </c>
      <c r="CA43" s="13">
        <f t="shared" si="39"/>
        <v>48.282482845036888</v>
      </c>
      <c r="CB43" s="20">
        <f t="shared" si="10"/>
        <v>420.864140955106</v>
      </c>
      <c r="CC43" s="59">
        <f t="shared" si="11"/>
        <v>714.19747428843925</v>
      </c>
      <c r="CD43" s="59">
        <f ca="1">AVERAGE(OFFSET($CC$3,0,0,'Données projet'!$E$12+1,1))-AVERAGE(OFFSET($H$3,0,0,'Données projet'!$E$12+1,1))</f>
        <v>322.93502595881938</v>
      </c>
      <c r="CE43" s="59">
        <f t="shared" si="40"/>
        <v>302.67072119588164</v>
      </c>
      <c r="CF43" s="15">
        <f>IF(ISNA(VLOOKUP(A43,'Données projet'!$A$113:$I$133,3,0)),0,VLOOKUP(A43,'Données projet'!$A$113:$I$133,3,0))</f>
        <v>5</v>
      </c>
      <c r="CG43" s="15" t="str">
        <f>IF(ISNA(VLOOKUP(A43,'Données projet'!$A$113:$I$133,4,0)),0,VLOOKUP(A43,'Données projet'!$A$113:$I$133,4,0))</f>
        <v>27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0.215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12.496972944337816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12.496972944337816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15.364102564102561</v>
      </c>
      <c r="N44" s="13">
        <f>IF('Données projet'!$A$36&gt;35,N43+M44-V43,IF(A44&lt;'Données projet'!$A$36,$K$205^A44,IF(A44='Données projet'!$A$36,'Données projet'!$B$36,N43+M44-V43)))</f>
        <v>286.00256410256407</v>
      </c>
      <c r="O44" s="13">
        <f>N44*VLOOKUP('Données projet'!$B$9,Paramètres!$A$1:$I$89,3,0)*VLOOKUP('Données projet'!$B$9,Paramètres!$A$1:$I$89,5,0)</f>
        <v>171.02953333333335</v>
      </c>
      <c r="P44" s="13">
        <f t="shared" si="33"/>
        <v>43.320523714936215</v>
      </c>
      <c r="Q44" s="20">
        <f t="shared" si="53"/>
        <v>373.32634935906952</v>
      </c>
      <c r="R44" s="59">
        <f t="shared" si="0"/>
        <v>666.65968269240284</v>
      </c>
      <c r="S44" s="59">
        <f ca="1">AVERAGE(OFFSET($R$3,0,0,'Données projet'!$E$9+1,1))-AVERAGE(OFFSET($H$3,0,0,'Données projet'!$E$9+1,1))</f>
        <v>278.21846622758881</v>
      </c>
      <c r="T44" s="59">
        <f t="shared" si="34"/>
        <v>245.37578316242906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28.51084376863022</v>
      </c>
      <c r="AA44" s="21">
        <f>EXP(-LN(2)/25)*AA43+(1-EXP(-LN(2)/25))/(LN(2)/25)*Calculateur!V44*Calculateur!X44*VLOOKUP('Données projet'!$B$9,Paramètres!$A$1:$I$89,3,0)*0.475*44/12</f>
        <v>11.334618592837145</v>
      </c>
      <c r="AB44" s="21">
        <f>EXP(-LN(2)/2)*AB43+(1-EXP(-LN(2)/2))/(LN(2)/2)*V44*Y44*VLOOKUP('Données projet'!$B$9,Paramètres!$A$1:$I$89,3,0)*0.475*44/12</f>
        <v>1.1017740808423544</v>
      </c>
      <c r="AC44" s="22">
        <f t="shared" si="3"/>
        <v>40.947236442309723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15.21153846153846</v>
      </c>
      <c r="AI44" s="13">
        <f>IF('Données projet'!$A$62&gt;35,AI43+AH44-AQ43,IF(A44&lt;'Données projet'!$A$62,$AF$205^A44,IF(A44='Données projet'!$A$62,'Données projet'!$B$62,AI43+AH44-AQ43)))</f>
        <v>321.26538461538456</v>
      </c>
      <c r="AJ44" s="13">
        <f>AI44*VLOOKUP('Données projet'!$B$10,Paramètres!$A$1:$I$89,3,0)*VLOOKUP('Données projet'!$B$10,Paramètres!$A$1:$I$89,5,0)</f>
        <v>192.11670000000001</v>
      </c>
      <c r="AK44" s="13">
        <f t="shared" si="35"/>
        <v>48.007622995174927</v>
      </c>
      <c r="AL44" s="20">
        <f t="shared" si="4"/>
        <v>418.21652921659637</v>
      </c>
      <c r="AM44" s="59">
        <f t="shared" si="5"/>
        <v>711.54986254992968</v>
      </c>
      <c r="AN44" s="59">
        <f ca="1">AVERAGE(OFFSET($AM$3,0,0,'Données projet'!$E$10+1,1))-AVERAGE(OFFSET($H$3,0,0,'Données projet'!$E$10+1,1))</f>
        <v>261.13725557061468</v>
      </c>
      <c r="AO44" s="59">
        <f t="shared" si="36"/>
        <v>328.18986868293558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44.915118653935743</v>
      </c>
      <c r="AV44" s="21">
        <f>EXP(-LN(2)/25)*AV43+(1-EXP(-LN(2)/25))/(LN(2)/25)*Calculateur!AQ44*Calculateur!AS44*VLOOKUP('Données projet'!$B$10,Paramètres!$A$1:$I$89,3,0)*0.475*44/12</f>
        <v>20.479675424105601</v>
      </c>
      <c r="AW44" s="21">
        <f>EXP(-LN(2)/2)*AW43+(1-EXP(-LN(2)/2))/(LN(2)/2)*AQ44*AT44*VLOOKUP('Données projet'!$B$10,Paramètres!$A$1:$I$89,3,0)*0.475*44/12</f>
        <v>6.1458052181619323</v>
      </c>
      <c r="AX44" s="21">
        <f t="shared" si="6"/>
        <v>71.540599296203283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5.3369963369963358</v>
      </c>
      <c r="BD44" s="12">
        <f>IF('Données projet'!$A$88&gt;35,BD43+BC44-BL43,IF(A44&lt;'Données projet'!$A$88,$BA$205^A44,IF(A44='Données projet'!$A$88,'Données projet'!$B$88,BD43+BC44-BL43)))</f>
        <v>146.41208791208788</v>
      </c>
      <c r="BE44" s="13">
        <f>BD44*VLOOKUP('Données projet'!$B$11,Paramètres!$A$1:$I$89,3,0)*VLOOKUP('Données projet'!$B$11,Paramètres!$A$1:$I$89,5,0)</f>
        <v>148.46185714285713</v>
      </c>
      <c r="BF44" s="13">
        <f t="shared" si="37"/>
        <v>38.228827726420505</v>
      </c>
      <c r="BG44" s="20">
        <f t="shared" si="7"/>
        <v>325.15294281399184</v>
      </c>
      <c r="BH44" s="59">
        <f t="shared" si="8"/>
        <v>618.48627614732516</v>
      </c>
      <c r="BI44" s="59">
        <f ca="1">AVERAGE(OFFSET($BH$3,0,0,'Données projet'!$E$11+1,1))-AVERAGE(OFFSET($H$3,0,0,'Données projet'!$E$11+1,1))</f>
        <v>250.31277422753283</v>
      </c>
      <c r="BJ44" s="59">
        <f t="shared" si="38"/>
        <v>159.20429420478047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</v>
      </c>
      <c r="BY44" s="12">
        <f>IF('Données projet'!$A$114&gt;35,BY43+BX44-CG43,IF(A44&lt;'Données projet'!$A$114,$BV$205^A44,IF(A44='Données projet'!$A$114,'Données projet'!$B$114,BY43+BX44-CG43)))</f>
        <v>166.00000000000003</v>
      </c>
      <c r="BZ44" s="13">
        <f>BY44*VLOOKUP('Données projet'!$B$12,Paramètres!$A$1:$I$89,3,0)*VLOOKUP('Données projet'!$B$12,Paramètres!$A$1:$I$89,5,0)</f>
        <v>173.50320000000005</v>
      </c>
      <c r="CA44" s="13">
        <f t="shared" si="39"/>
        <v>43.873689992225962</v>
      </c>
      <c r="CB44" s="20">
        <f t="shared" si="10"/>
        <v>378.59808340312696</v>
      </c>
      <c r="CC44" s="59">
        <f t="shared" si="11"/>
        <v>671.93141673646028</v>
      </c>
      <c r="CD44" s="59">
        <f ca="1">AVERAGE(OFFSET($CC$3,0,0,'Données projet'!$E$12+1,1))-AVERAGE(OFFSET($H$3,0,0,'Données projet'!$E$12+1,1))</f>
        <v>322.93502595881938</v>
      </c>
      <c r="CE44" s="59">
        <f t="shared" si="40"/>
        <v>302.67072119588164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12.155242561987654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12.155242561987654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15.364102564102561</v>
      </c>
      <c r="N45" s="13">
        <f>IF('Données projet'!$A$36&gt;35,N44+M45-V44,IF(A45&lt;'Données projet'!$A$36,$K$205^A45,IF(A45='Données projet'!$A$36,'Données projet'!$B$36,N44+M45-V44)))</f>
        <v>301.36666666666662</v>
      </c>
      <c r="O45" s="13">
        <f>N45*VLOOKUP('Données projet'!$B$9,Paramètres!$A$1:$I$89,3,0)*VLOOKUP('Données projet'!$B$9,Paramètres!$A$1:$I$89,5,0)</f>
        <v>180.21726666666666</v>
      </c>
      <c r="P45" s="13">
        <f t="shared" si="33"/>
        <v>45.370520602809727</v>
      </c>
      <c r="Q45" s="20">
        <f t="shared" si="53"/>
        <v>392.89872949433806</v>
      </c>
      <c r="R45" s="59">
        <f t="shared" si="0"/>
        <v>686.23206282767137</v>
      </c>
      <c r="S45" s="59">
        <f ca="1">AVERAGE(OFFSET($R$3,0,0,'Données projet'!$E$9+1,1))-AVERAGE(OFFSET($H$3,0,0,'Données projet'!$E$9+1,1))</f>
        <v>278.21846622758881</v>
      </c>
      <c r="T45" s="59">
        <f t="shared" si="34"/>
        <v>245.37578316242906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27.951763512224971</v>
      </c>
      <c r="AA45" s="21">
        <f>EXP(-LN(2)/25)*AA44+(1-EXP(-LN(2)/25))/(LN(2)/25)*Calculateur!V45*Calculateur!X45*VLOOKUP('Données projet'!$B$9,Paramètres!$A$1:$I$89,3,0)*0.475*44/12</f>
        <v>11.024672851354328</v>
      </c>
      <c r="AB45" s="21">
        <f>EXP(-LN(2)/2)*AB44+(1-EXP(-LN(2)/2))/(LN(2)/2)*V45*Y45*VLOOKUP('Données projet'!$B$9,Paramètres!$A$1:$I$89,3,0)*0.475*44/12</f>
        <v>0.77907192389920432</v>
      </c>
      <c r="AC45" s="22">
        <f t="shared" si="3"/>
        <v>39.755508287478499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15.21153846153846</v>
      </c>
      <c r="AI45" s="13">
        <f>IF('Données projet'!$A$62&gt;35,AI44+AH45-AQ44,IF(A45&lt;'Données projet'!$A$62,$AF$205^A45,IF(A45='Données projet'!$A$62,'Données projet'!$B$62,AI44+AH45-AQ44)))</f>
        <v>336.47692307692301</v>
      </c>
      <c r="AJ45" s="13">
        <f>AI45*VLOOKUP('Données projet'!$B$10,Paramètres!$A$1:$I$89,3,0)*VLOOKUP('Données projet'!$B$10,Paramètres!$A$1:$I$89,5,0)</f>
        <v>201.2132</v>
      </c>
      <c r="AK45" s="13">
        <f t="shared" si="35"/>
        <v>50.010698447793722</v>
      </c>
      <c r="AL45" s="20">
        <f t="shared" si="4"/>
        <v>437.54828979657401</v>
      </c>
      <c r="AM45" s="59">
        <f t="shared" si="5"/>
        <v>730.88162312990733</v>
      </c>
      <c r="AN45" s="59">
        <f ca="1">AVERAGE(OFFSET($AM$3,0,0,'Données projet'!$E$10+1,1))-AVERAGE(OFFSET($H$3,0,0,'Données projet'!$E$10+1,1))</f>
        <v>261.13725557061468</v>
      </c>
      <c r="AO45" s="59">
        <f t="shared" si="36"/>
        <v>328.18986868293558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44.034360572649362</v>
      </c>
      <c r="AV45" s="21">
        <f>EXP(-LN(2)/25)*AV44+(1-EXP(-LN(2)/25))/(LN(2)/25)*Calculateur!AQ45*Calculateur!AS45*VLOOKUP('Données projet'!$B$10,Paramètres!$A$1:$I$89,3,0)*0.475*44/12</f>
        <v>19.91965762265411</v>
      </c>
      <c r="AW45" s="21">
        <f>EXP(-LN(2)/2)*AW44+(1-EXP(-LN(2)/2))/(LN(2)/2)*AQ45*AT45*VLOOKUP('Données projet'!$B$10,Paramètres!$A$1:$I$89,3,0)*0.475*44/12</f>
        <v>4.3457405456139719</v>
      </c>
      <c r="AX45" s="21">
        <f t="shared" si="6"/>
        <v>68.299758740917454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5.3369963369963358</v>
      </c>
      <c r="BD45" s="12">
        <f>IF('Données projet'!$A$88&gt;35,BD44+BC45-BL44,IF(A45&lt;'Données projet'!$A$88,$BA$205^A45,IF(A45='Données projet'!$A$88,'Données projet'!$B$88,BD44+BC45-BL44)))</f>
        <v>151.74908424908421</v>
      </c>
      <c r="BE45" s="13">
        <f>BD45*VLOOKUP('Données projet'!$B$11,Paramètres!$A$1:$I$89,3,0)*VLOOKUP('Données projet'!$B$11,Paramètres!$A$1:$I$89,5,0)</f>
        <v>153.87357142857138</v>
      </c>
      <c r="BF45" s="13">
        <f t="shared" si="37"/>
        <v>39.457558153305143</v>
      </c>
      <c r="BG45" s="20">
        <f t="shared" si="7"/>
        <v>336.71838402176826</v>
      </c>
      <c r="BH45" s="59">
        <f t="shared" si="8"/>
        <v>630.05171735510157</v>
      </c>
      <c r="BI45" s="59">
        <f ca="1">AVERAGE(OFFSET($BH$3,0,0,'Données projet'!$E$11+1,1))-AVERAGE(OFFSET($H$3,0,0,'Données projet'!$E$11+1,1))</f>
        <v>250.31277422753283</v>
      </c>
      <c r="BJ45" s="59">
        <f t="shared" si="38"/>
        <v>159.20429420478047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</v>
      </c>
      <c r="BY45" s="12">
        <f>IF('Données projet'!$A$114&gt;35,BY44+BX45-CG44,IF(A45&lt;'Données projet'!$A$114,$BV$205^A45,IF(A45='Données projet'!$A$114,'Données projet'!$B$114,BY44+BX45-CG44)))</f>
        <v>174.00000000000003</v>
      </c>
      <c r="BZ45" s="13">
        <f>BY45*VLOOKUP('Données projet'!$B$12,Paramètres!$A$1:$I$89,3,0)*VLOOKUP('Données projet'!$B$12,Paramètres!$A$1:$I$89,5,0)</f>
        <v>181.86480000000006</v>
      </c>
      <c r="CA45" s="13">
        <f t="shared" si="39"/>
        <v>45.73682061391029</v>
      </c>
      <c r="CB45" s="20">
        <f t="shared" si="10"/>
        <v>396.40615590256056</v>
      </c>
      <c r="CC45" s="59">
        <f t="shared" si="11"/>
        <v>689.73948923589387</v>
      </c>
      <c r="CD45" s="59">
        <f ca="1">AVERAGE(OFFSET($CC$3,0,0,'Données projet'!$E$12+1,1))-AVERAGE(OFFSET($H$3,0,0,'Données projet'!$E$12+1,1))</f>
        <v>322.93502595881938</v>
      </c>
      <c r="CE45" s="59">
        <f t="shared" si="40"/>
        <v>302.67072119588164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11.822856814913676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11.822856814913676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15.364102564102561</v>
      </c>
      <c r="N46" s="13">
        <f>IF('Données projet'!$A$36&gt;35,N45+M46-V45,IF(A46&lt;'Données projet'!$A$36,$K$205^A46,IF(A46='Données projet'!$A$36,'Données projet'!$B$36,N45+M46-V45)))</f>
        <v>316.73076923076917</v>
      </c>
      <c r="O46" s="13">
        <f>N46*VLOOKUP('Données projet'!$B$9,Paramètres!$A$1:$I$89,3,0)*VLOOKUP('Données projet'!$B$9,Paramètres!$A$1:$I$89,5,0)</f>
        <v>189.405</v>
      </c>
      <c r="P46" s="13">
        <f t="shared" si="33"/>
        <v>47.408382795872441</v>
      </c>
      <c r="Q46" s="20">
        <f t="shared" si="53"/>
        <v>412.44997503614445</v>
      </c>
      <c r="R46" s="59">
        <f t="shared" si="0"/>
        <v>705.78330836947771</v>
      </c>
      <c r="S46" s="59">
        <f ca="1">AVERAGE(OFFSET($R$3,0,0,'Données projet'!$E$9+1,1))-AVERAGE(OFFSET($H$3,0,0,'Données projet'!$E$9+1,1))</f>
        <v>278.21846622758881</v>
      </c>
      <c r="T46" s="59">
        <f t="shared" si="34"/>
        <v>245.37578316242906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27.403646478642543</v>
      </c>
      <c r="AA46" s="21">
        <f>EXP(-LN(2)/25)*AA45+(1-EXP(-LN(2)/25))/(LN(2)/25)*Calculateur!V46*Calculateur!X46*VLOOKUP('Données projet'!$B$9,Paramètres!$A$1:$I$89,3,0)*0.475*44/12</f>
        <v>10.723202592471695</v>
      </c>
      <c r="AB46" s="21">
        <f>EXP(-LN(2)/2)*AB45+(1-EXP(-LN(2)/2))/(LN(2)/2)*V46*Y46*VLOOKUP('Données projet'!$B$9,Paramètres!$A$1:$I$89,3,0)*0.475*44/12</f>
        <v>0.55088704042117731</v>
      </c>
      <c r="AC46" s="22">
        <f t="shared" si="3"/>
        <v>38.677736111535417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15.21153846153846</v>
      </c>
      <c r="AI46" s="13">
        <f>IF('Données projet'!$A$62&gt;35,AI45+AH46-AQ45,IF(A46&lt;'Données projet'!$A$62,$AF$205^A46,IF(A46='Données projet'!$A$62,'Données projet'!$B$62,AI45+AH46-AQ45)))</f>
        <v>351.68846153846147</v>
      </c>
      <c r="AJ46" s="13">
        <f>AI46*VLOOKUP('Données projet'!$B$10,Paramètres!$A$1:$I$89,3,0)*VLOOKUP('Données projet'!$B$10,Paramètres!$A$1:$I$89,5,0)</f>
        <v>210.30969999999999</v>
      </c>
      <c r="AK46" s="13">
        <f t="shared" si="35"/>
        <v>52.003257134609832</v>
      </c>
      <c r="AL46" s="20">
        <f t="shared" si="4"/>
        <v>456.86173367611201</v>
      </c>
      <c r="AM46" s="59">
        <f t="shared" si="5"/>
        <v>750.19506700944532</v>
      </c>
      <c r="AN46" s="59">
        <f ca="1">AVERAGE(OFFSET($AM$3,0,0,'Données projet'!$E$10+1,1))-AVERAGE(OFFSET($H$3,0,0,'Données projet'!$E$10+1,1))</f>
        <v>261.13725557061468</v>
      </c>
      <c r="AO46" s="59">
        <f t="shared" si="36"/>
        <v>328.18986868293558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43.170873620127622</v>
      </c>
      <c r="AV46" s="21">
        <f>EXP(-LN(2)/25)*AV45+(1-EXP(-LN(2)/25))/(LN(2)/25)*Calculateur!AQ46*Calculateur!AS46*VLOOKUP('Données projet'!$B$10,Paramètres!$A$1:$I$89,3,0)*0.475*44/12</f>
        <v>19.374953537433367</v>
      </c>
      <c r="AW46" s="21">
        <f>EXP(-LN(2)/2)*AW45+(1-EXP(-LN(2)/2))/(LN(2)/2)*AQ46*AT46*VLOOKUP('Données projet'!$B$10,Paramètres!$A$1:$I$89,3,0)*0.475*44/12</f>
        <v>3.0729026090809666</v>
      </c>
      <c r="AX46" s="21">
        <f t="shared" si="6"/>
        <v>65.618729766641962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5.3369963369963358</v>
      </c>
      <c r="BD46" s="12">
        <f>IF('Données projet'!$A$88&gt;35,BD45+BC46-BL45,IF(A46&lt;'Données projet'!$A$88,$BA$205^A46,IF(A46='Données projet'!$A$88,'Données projet'!$B$88,BD45+BC46-BL45)))</f>
        <v>157.08608058608053</v>
      </c>
      <c r="BE46" s="13">
        <f>BD46*VLOOKUP('Données projet'!$B$11,Paramètres!$A$1:$I$89,3,0)*VLOOKUP('Données projet'!$B$11,Paramètres!$A$1:$I$89,5,0)</f>
        <v>159.28528571428566</v>
      </c>
      <c r="BF46" s="13">
        <f t="shared" si="37"/>
        <v>40.681267624862308</v>
      </c>
      <c r="BG46" s="20">
        <f t="shared" si="7"/>
        <v>348.27508039901596</v>
      </c>
      <c r="BH46" s="59">
        <f t="shared" si="8"/>
        <v>641.60841373234928</v>
      </c>
      <c r="BI46" s="59">
        <f ca="1">AVERAGE(OFFSET($BH$3,0,0,'Données projet'!$E$11+1,1))-AVERAGE(OFFSET($H$3,0,0,'Données projet'!$E$11+1,1))</f>
        <v>250.31277422753283</v>
      </c>
      <c r="BJ46" s="59">
        <f t="shared" si="38"/>
        <v>159.20429420478047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</v>
      </c>
      <c r="BY46" s="12">
        <f>IF('Données projet'!$A$114&gt;35,BY45+BX46-CG45,IF(A46&lt;'Données projet'!$A$114,$BV$205^A46,IF(A46='Données projet'!$A$114,'Données projet'!$B$114,BY45+BX46-CG45)))</f>
        <v>182.00000000000003</v>
      </c>
      <c r="BZ46" s="13">
        <f>BY46*VLOOKUP('Données projet'!$B$12,Paramètres!$A$1:$I$89,3,0)*VLOOKUP('Données projet'!$B$12,Paramètres!$A$1:$I$89,5,0)</f>
        <v>190.22640000000004</v>
      </c>
      <c r="CA46" s="13">
        <f t="shared" si="39"/>
        <v>47.590003207063162</v>
      </c>
      <c r="CB46" s="20">
        <f t="shared" si="10"/>
        <v>414.19690225230175</v>
      </c>
      <c r="CC46" s="59">
        <f t="shared" si="11"/>
        <v>707.53023558563507</v>
      </c>
      <c r="CD46" s="59">
        <f ca="1">AVERAGE(OFFSET($CC$3,0,0,'Données projet'!$E$12+1,1))-AVERAGE(OFFSET($H$3,0,0,'Données projet'!$E$12+1,1))</f>
        <v>322.93502595881938</v>
      </c>
      <c r="CE46" s="59">
        <f t="shared" si="40"/>
        <v>302.67072119588164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11.499560173572844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11.499560173572844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15.364102564102561</v>
      </c>
      <c r="N47" s="13">
        <f>IF('Données projet'!$A$36&gt;35,N46+M47-V46,IF(A47&lt;'Données projet'!$A$36,$K$205^A47,IF(A47='Données projet'!$A$36,'Données projet'!$B$36,N46+M47-V46)))</f>
        <v>332.09487179487172</v>
      </c>
      <c r="O47" s="13">
        <f>N47*VLOOKUP('Données projet'!$B$9,Paramètres!$A$1:$I$89,3,0)*VLOOKUP('Données projet'!$B$9,Paramètres!$A$1:$I$89,5,0)</f>
        <v>198.59273333333329</v>
      </c>
      <c r="P47" s="13">
        <f t="shared" si="33"/>
        <v>49.434766120428968</v>
      </c>
      <c r="Q47" s="20">
        <f t="shared" si="53"/>
        <v>431.98122821530256</v>
      </c>
      <c r="R47" s="59">
        <f t="shared" si="0"/>
        <v>725.31456154863588</v>
      </c>
      <c r="S47" s="59">
        <f ca="1">AVERAGE(OFFSET($R$3,0,0,'Données projet'!$E$9+1,1))-AVERAGE(OFFSET($H$3,0,0,'Données projet'!$E$9+1,1))</f>
        <v>278.21846622758881</v>
      </c>
      <c r="T47" s="59">
        <f t="shared" si="34"/>
        <v>245.37578316242906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26.866277685770289</v>
      </c>
      <c r="AA47" s="21">
        <f>EXP(-LN(2)/25)*AA46+(1-EXP(-LN(2)/25))/(LN(2)/25)*Calculateur!V47*Calculateur!X47*VLOOKUP('Données projet'!$B$9,Paramètres!$A$1:$I$89,3,0)*0.475*44/12</f>
        <v>10.42997605367184</v>
      </c>
      <c r="AB47" s="21">
        <f>EXP(-LN(2)/2)*AB46+(1-EXP(-LN(2)/2))/(LN(2)/2)*V47*Y47*VLOOKUP('Données projet'!$B$9,Paramètres!$A$1:$I$89,3,0)*0.475*44/12</f>
        <v>0.38953596194960222</v>
      </c>
      <c r="AC47" s="22">
        <f t="shared" si="3"/>
        <v>37.685789701391734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15.21153846153846</v>
      </c>
      <c r="AI47" s="13">
        <f>IF('Données projet'!$A$62&gt;35,AI46+AH47-AQ46,IF(A47&lt;'Données projet'!$A$62,$AF$205^A47,IF(A47='Données projet'!$A$62,'Données projet'!$B$62,AI46+AH47-AQ46)))</f>
        <v>366.89999999999992</v>
      </c>
      <c r="AJ47" s="13">
        <f>AI47*VLOOKUP('Données projet'!$B$10,Paramètres!$A$1:$I$89,3,0)*VLOOKUP('Données projet'!$B$10,Paramètres!$A$1:$I$89,5,0)</f>
        <v>219.40619999999998</v>
      </c>
      <c r="AK47" s="13">
        <f t="shared" si="35"/>
        <v>53.985805930473333</v>
      </c>
      <c r="AL47" s="20">
        <f t="shared" si="4"/>
        <v>476.15774366224099</v>
      </c>
      <c r="AM47" s="59">
        <f t="shared" si="5"/>
        <v>769.4910769955743</v>
      </c>
      <c r="AN47" s="59">
        <f ca="1">AVERAGE(OFFSET($AM$3,0,0,'Données projet'!$E$10+1,1))-AVERAGE(OFFSET($H$3,0,0,'Données projet'!$E$10+1,1))</f>
        <v>261.13725557061468</v>
      </c>
      <c r="AO47" s="59">
        <f t="shared" si="36"/>
        <v>328.18986868293558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42.324319120069795</v>
      </c>
      <c r="AV47" s="21">
        <f>EXP(-LN(2)/25)*AV46+(1-EXP(-LN(2)/25))/(LN(2)/25)*Calculateur!AQ47*Calculateur!AS47*VLOOKUP('Données projet'!$B$10,Paramètres!$A$1:$I$89,3,0)*0.475*44/12</f>
        <v>18.845144414067725</v>
      </c>
      <c r="AW47" s="21">
        <f>EXP(-LN(2)/2)*AW46+(1-EXP(-LN(2)/2))/(LN(2)/2)*AQ47*AT47*VLOOKUP('Données projet'!$B$10,Paramètres!$A$1:$I$89,3,0)*0.475*44/12</f>
        <v>2.172870272806986</v>
      </c>
      <c r="AX47" s="21">
        <f t="shared" si="6"/>
        <v>63.342333806944509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162.42307692307691</v>
      </c>
      <c r="BB47" s="12">
        <f>VLOOKUP(A47,'Données projet'!$A$87:$I$107,9,0)</f>
        <v>5.3369963369963358</v>
      </c>
      <c r="BC47" s="12">
        <f t="array" ref="BC47">INDEX(BB:BB,MIN(IF(ISNUMBER(BB47:BB243),ROW(BB47:BB243),"")))</f>
        <v>5.3369963369963358</v>
      </c>
      <c r="BD47" s="12">
        <f>IF('Données projet'!$A$88&gt;35,BD46+BC47-BL46,IF(A47&lt;'Données projet'!$A$88,$BA$205^A47,IF(A47='Données projet'!$A$88,'Données projet'!$B$88,BD46+BC47-BL46)))</f>
        <v>162.42307692307685</v>
      </c>
      <c r="BE47" s="13">
        <f>BD47*VLOOKUP('Données projet'!$B$11,Paramètres!$A$1:$I$89,3,0)*VLOOKUP('Données projet'!$B$11,Paramètres!$A$1:$I$89,5,0)</f>
        <v>164.69699999999995</v>
      </c>
      <c r="BF47" s="13">
        <f t="shared" si="37"/>
        <v>41.900146282502362</v>
      </c>
      <c r="BG47" s="20">
        <f t="shared" si="7"/>
        <v>359.82336310869147</v>
      </c>
      <c r="BH47" s="59">
        <f t="shared" si="8"/>
        <v>653.15669644202478</v>
      </c>
      <c r="BI47" s="59">
        <f ca="1">AVERAGE(OFFSET($BH$3,0,0,'Données projet'!$E$11+1,1))-AVERAGE(OFFSET($H$3,0,0,'Données projet'!$E$11+1,1))</f>
        <v>250.31277422753283</v>
      </c>
      <c r="BJ47" s="59">
        <f t="shared" si="38"/>
        <v>159.20429420478047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64.416666666666657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</v>
      </c>
      <c r="BY47" s="12">
        <f>IF('Données projet'!$A$114&gt;35,BY46+BX47-CG46,IF(A47&lt;'Données projet'!$A$114,$BV$205^A47,IF(A47='Données projet'!$A$114,'Données projet'!$B$114,BY46+BX47-CG46)))</f>
        <v>190.00000000000003</v>
      </c>
      <c r="BZ47" s="13">
        <f>BY47*VLOOKUP('Données projet'!$B$12,Paramètres!$A$1:$I$89,3,0)*VLOOKUP('Données projet'!$B$12,Paramètres!$A$1:$I$89,5,0)</f>
        <v>198.58800000000005</v>
      </c>
      <c r="CA47" s="13">
        <f t="shared" si="39"/>
        <v>49.433725020229176</v>
      </c>
      <c r="CB47" s="20">
        <f t="shared" si="10"/>
        <v>431.97117107689922</v>
      </c>
      <c r="CC47" s="59">
        <f t="shared" si="11"/>
        <v>725.30450441023254</v>
      </c>
      <c r="CD47" s="59">
        <f ca="1">AVERAGE(OFFSET($CC$3,0,0,'Données projet'!$E$12+1,1))-AVERAGE(OFFSET($H$3,0,0,'Données projet'!$E$12+1,1))</f>
        <v>322.93502595881938</v>
      </c>
      <c r="CE47" s="59">
        <f t="shared" si="40"/>
        <v>302.67072119588164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11.185104095890907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11.185104095890907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15.364102564102561</v>
      </c>
      <c r="N48" s="13">
        <f>IF('Données projet'!$A$36&gt;35,N47+M48-V47,IF(A48&lt;'Données projet'!$A$36,$K$205^A48,IF(A48='Données projet'!$A$36,'Données projet'!$B$36,N47+M48-V47)))</f>
        <v>347.45897435897427</v>
      </c>
      <c r="O48" s="13">
        <f>N48*VLOOKUP('Données projet'!$B$9,Paramètres!$A$1:$I$89,3,0)*VLOOKUP('Données projet'!$B$9,Paramètres!$A$1:$I$89,5,0)</f>
        <v>207.78046666666665</v>
      </c>
      <c r="P48" s="13">
        <f t="shared" si="33"/>
        <v>51.450262290579353</v>
      </c>
      <c r="Q48" s="20">
        <f t="shared" si="53"/>
        <v>451.49351960053679</v>
      </c>
      <c r="R48" s="59">
        <f t="shared" si="0"/>
        <v>744.8268529338701</v>
      </c>
      <c r="S48" s="59">
        <f ca="1">AVERAGE(OFFSET($R$3,0,0,'Données projet'!$E$9+1,1))-AVERAGE(OFFSET($H$3,0,0,'Données projet'!$E$9+1,1))</f>
        <v>278.21846622758881</v>
      </c>
      <c r="T48" s="59">
        <f t="shared" si="34"/>
        <v>245.37578316242906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26.33944636716366</v>
      </c>
      <c r="AA48" s="21">
        <f>EXP(-LN(2)/25)*AA47+(1-EXP(-LN(2)/25))/(LN(2)/25)*Calculateur!V48*Calculateur!X48*VLOOKUP('Données projet'!$B$9,Paramètres!$A$1:$I$89,3,0)*0.475*44/12</f>
        <v>10.144767809995582</v>
      </c>
      <c r="AB48" s="21">
        <f>EXP(-LN(2)/2)*AB47+(1-EXP(-LN(2)/2))/(LN(2)/2)*V48*Y48*VLOOKUP('Données projet'!$B$9,Paramètres!$A$1:$I$89,3,0)*0.475*44/12</f>
        <v>0.27544352021058871</v>
      </c>
      <c r="AC48" s="22">
        <f t="shared" si="3"/>
        <v>36.759657697369832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15.21153846153846</v>
      </c>
      <c r="AI48" s="13">
        <f>IF('Données projet'!$A$62&gt;35,AI47+AH48-AQ47,IF(A48&lt;'Données projet'!$A$62,$AF$205^A48,IF(A48='Données projet'!$A$62,'Données projet'!$B$62,AI47+AH48-AQ47)))</f>
        <v>382.11153846153837</v>
      </c>
      <c r="AJ48" s="13">
        <f>AI48*VLOOKUP('Données projet'!$B$10,Paramètres!$A$1:$I$89,3,0)*VLOOKUP('Données projet'!$B$10,Paramètres!$A$1:$I$89,5,0)</f>
        <v>228.50269999999998</v>
      </c>
      <c r="AK48" s="13">
        <f t="shared" si="35"/>
        <v>55.958807302542581</v>
      </c>
      <c r="AL48" s="20">
        <f t="shared" si="4"/>
        <v>495.43712521859487</v>
      </c>
      <c r="AM48" s="59">
        <f t="shared" si="5"/>
        <v>788.77045855192819</v>
      </c>
      <c r="AN48" s="59">
        <f ca="1">AVERAGE(OFFSET($AM$3,0,0,'Données projet'!$E$10+1,1))-AVERAGE(OFFSET($H$3,0,0,'Données projet'!$E$10+1,1))</f>
        <v>261.13725557061468</v>
      </c>
      <c r="AO48" s="59">
        <f t="shared" si="36"/>
        <v>328.18986868293558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41.494365037410844</v>
      </c>
      <c r="AV48" s="21">
        <f>EXP(-LN(2)/25)*AV47+(1-EXP(-LN(2)/25))/(LN(2)/25)*Calculateur!AQ48*Calculateur!AS48*VLOOKUP('Données projet'!$B$10,Paramètres!$A$1:$I$89,3,0)*0.475*44/12</f>
        <v>18.329822949041969</v>
      </c>
      <c r="AW48" s="21">
        <f>EXP(-LN(2)/2)*AW47+(1-EXP(-LN(2)/2))/(LN(2)/2)*AQ48*AT48*VLOOKUP('Données projet'!$B$10,Paramètres!$A$1:$I$89,3,0)*0.475*44/12</f>
        <v>1.5364513045404833</v>
      </c>
      <c r="AX48" s="21">
        <f t="shared" si="6"/>
        <v>61.360639290993298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6.826007326007324</v>
      </c>
      <c r="BD48" s="12">
        <f>IF('Données projet'!$A$88&gt;35,BD47+BC48-BL47,IF(A48&lt;'Données projet'!$A$88,$BA$205^A48,IF(A48='Données projet'!$A$88,'Données projet'!$B$88,BD47+BC48-BL47)))</f>
        <v>104.83241758241752</v>
      </c>
      <c r="BE48" s="13">
        <f>BD48*VLOOKUP('Données projet'!$B$11,Paramètres!$A$1:$I$89,3,0)*VLOOKUP('Données projet'!$B$11,Paramètres!$A$1:$I$89,5,0)</f>
        <v>106.30007142857137</v>
      </c>
      <c r="BF48" s="13">
        <f t="shared" si="37"/>
        <v>28.457524292851215</v>
      </c>
      <c r="BG48" s="20">
        <f t="shared" si="7"/>
        <v>234.70281254814427</v>
      </c>
      <c r="BH48" s="59">
        <f t="shared" si="8"/>
        <v>528.03614588147752</v>
      </c>
      <c r="BI48" s="59">
        <f ca="1">AVERAGE(OFFSET($BH$3,0,0,'Données projet'!$E$11+1,1))-AVERAGE(OFFSET($H$3,0,0,'Données projet'!$E$11+1,1))</f>
        <v>250.31277422753283</v>
      </c>
      <c r="BJ48" s="59">
        <f t="shared" si="38"/>
        <v>159.20429420478047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198</v>
      </c>
      <c r="BW48" s="12">
        <f>VLOOKUP(A48,'Données projet'!$A$113:$I$133,9,0)</f>
        <v>8</v>
      </c>
      <c r="BX48" s="12">
        <f t="array" ref="BX48">INDEX(BW:BW,MIN(IF(ISNUMBER(BW48:BW244),ROW(BW48:BW244),"")))</f>
        <v>8</v>
      </c>
      <c r="BY48" s="12">
        <f>IF('Données projet'!$A$114&gt;35,BY47+BX48-CG47,IF(A48&lt;'Données projet'!$A$114,$BV$205^A48,IF(A48='Données projet'!$A$114,'Données projet'!$B$114,BY47+BX48-CG47)))</f>
        <v>198.00000000000003</v>
      </c>
      <c r="BZ48" s="13">
        <f>BY48*VLOOKUP('Données projet'!$B$12,Paramètres!$A$1:$I$89,3,0)*VLOOKUP('Données projet'!$B$12,Paramètres!$A$1:$I$89,5,0)</f>
        <v>206.94960000000003</v>
      </c>
      <c r="CA48" s="13">
        <f t="shared" si="39"/>
        <v>51.268429949375587</v>
      </c>
      <c r="CB48" s="20">
        <f t="shared" si="10"/>
        <v>449.72973549516246</v>
      </c>
      <c r="CC48" s="59">
        <f t="shared" si="11"/>
        <v>743.06306882849572</v>
      </c>
      <c r="CD48" s="59">
        <f ca="1">AVERAGE(OFFSET($CC$3,0,0,'Données projet'!$E$12+1,1))-AVERAGE(OFFSET($H$3,0,0,'Données projet'!$E$12+1,1))</f>
        <v>322.93502595881938</v>
      </c>
      <c r="CE48" s="59">
        <f t="shared" si="40"/>
        <v>302.67072119588164</v>
      </c>
      <c r="CF48" s="15">
        <f>IF(ISNA(VLOOKUP(A48,'Données projet'!$A$113:$I$133,3,0)),0,VLOOKUP(A48,'Données projet'!$A$113:$I$133,3,0))</f>
        <v>6</v>
      </c>
      <c r="CG48" s="15" t="str">
        <f>IF(ISNA(VLOOKUP(A48,'Données projet'!$A$113:$I$133,4,0)),0,VLOOKUP(A48,'Données projet'!$A$113:$I$133,4,0))</f>
        <v>26</v>
      </c>
      <c r="CH48" s="16">
        <f>IF(ISNA(VLOOKUP(A48,'Données projet'!$A$113:$I$133,5,0)),0%,VLOOKUP(A48,'Données projet'!$A$113:$I$133,5,0)*VLOOKUP('Données projet'!$B$12,Paramètres!$A$1:$I$89,7,0))</f>
        <v>0.17200000000000001</v>
      </c>
      <c r="CI48" s="16">
        <f>IF(ISNA(VLOOKUP(A48,'Données projet'!$A$113:$I$133,6,0)),0%,VLOOKUP(A48,'Données projet'!$A$113:$I$133,6,0)*VLOOKUP('Données projet'!$B$12,Paramètres!$A$1:$I$89,7,0))</f>
        <v>0.17200000000000001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5.1671171291560194</v>
      </c>
      <c r="CL48" s="21">
        <f>EXP(-LN(2)/25)*CL47+(1-EXP(-LN(2)/25))/(LN(2)/25)*Calculateur!CG48*Calculateur!CI48*VLOOKUP('Données projet'!$B$12,Paramètres!$A$1:$I$89,3,0)*0.475*44/12</f>
        <v>16.02601905638226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21.193136185538279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362.82307692307688</v>
      </c>
      <c r="L49" s="12">
        <f>VLOOKUP(A49,'Données projet'!$A$35:$I$55,9,0)</f>
        <v>15.364102564102561</v>
      </c>
      <c r="M49" s="12">
        <f t="array" ref="M49">INDEX(L:L,MIN(IF(ISNUMBER(L49:L245),ROW(L49:L245),"")))</f>
        <v>15.364102564102561</v>
      </c>
      <c r="N49" s="13">
        <f>IF('Données projet'!$A$36&gt;35,N48+M49-V48,IF(A49&lt;'Données projet'!$A$36,$K$205^A49,IF(A49='Données projet'!$A$36,'Données projet'!$B$36,N48+M49-V48)))</f>
        <v>362.82307692307683</v>
      </c>
      <c r="O49" s="13">
        <f>N49*VLOOKUP('Données projet'!$B$9,Paramètres!$A$1:$I$89,3,0)*VLOOKUP('Données projet'!$B$9,Paramètres!$A$1:$I$89,5,0)</f>
        <v>216.96819999999994</v>
      </c>
      <c r="P49" s="13">
        <f t="shared" si="33"/>
        <v>53.455407732310803</v>
      </c>
      <c r="Q49" s="20">
        <f t="shared" si="53"/>
        <v>470.98778346710793</v>
      </c>
      <c r="R49" s="59">
        <f t="shared" si="0"/>
        <v>764.32111680044125</v>
      </c>
      <c r="S49" s="59">
        <f ca="1">AVERAGE(OFFSET($R$3,0,0,'Données projet'!$E$9+1,1))-AVERAGE(OFFSET($H$3,0,0,'Données projet'!$E$9+1,1))</f>
        <v>278.21846622758881</v>
      </c>
      <c r="T49" s="59">
        <f t="shared" si="34"/>
        <v>245.37578316242906</v>
      </c>
      <c r="U49" s="15">
        <f>IF(ISNA(VLOOKUP(A49,'Données projet'!$A$35:$I$55,3,0)),0,VLOOKUP(A49,'Données projet'!$A$35:$I$55,3,0))</f>
        <v>5</v>
      </c>
      <c r="V49" s="15">
        <f>IF(ISNA(VLOOKUP(A49,'Données projet'!$A$35:$I$55,4,0)),0,VLOOKUP(A49,'Données projet'!$A$35:$I$55,4,0))</f>
        <v>72.561538461538461</v>
      </c>
      <c r="W49" s="16">
        <f>IF(ISNA(VLOOKUP(A49,'Données projet'!$A$35:$I$55,5,0)),0%,VLOOKUP(A49,'Données projet'!$A$35:$I$55,5,0)*VLOOKUP('Données projet'!$B$9,Paramètres!$A$1:$I$89,7,0))</f>
        <v>0.315</v>
      </c>
      <c r="X49" s="16">
        <f>IF(ISNA(VLOOKUP(A49,'Données projet'!$A$35:$I$55,6,0)),0%,VLOOKUP(A49,'Données projet'!$A$35:$I$55,6,0)*VLOOKUP('Données projet'!$B$9,Paramètres!$A$1:$I$89,7,0))</f>
        <v>7.5600000000000001E-2</v>
      </c>
      <c r="Y49" s="16">
        <f>IF(ISNA(VLOOKUP(A49,'Données projet'!$A$35:$I$55,7,0)),0%,VLOOKUP(A49,'Données projet'!$A$35:$I$55,7,0))</f>
        <v>0.13200000000000001</v>
      </c>
      <c r="Z49" s="21">
        <f>EXP(-LN(2)/35)*Z48+(1-EXP(-LN(2)/35))/(LN(2)/35)*V49*W49*VLOOKUP('Données projet'!$B$9,Paramètres!$A$1:$I$89,3,0)*0.475*44/12</f>
        <v>43.95498204370508</v>
      </c>
      <c r="AA49" s="21">
        <f>EXP(-LN(2)/25)*AA48+(1-EXP(-LN(2)/25))/(LN(2)/25)*Calculateur!V49*Calculateur!X49*VLOOKUP('Données projet'!$B$9,Paramètres!$A$1:$I$89,3,0)*0.475*44/12</f>
        <v>14.201913021334352</v>
      </c>
      <c r="AB49" s="21">
        <f>EXP(-LN(2)/2)*AB48+(1-EXP(-LN(2)/2))/(LN(2)/2)*V49*Y49*VLOOKUP('Données projet'!$B$9,Paramètres!$A$1:$I$89,3,0)*0.475*44/12</f>
        <v>6.6798748388055769</v>
      </c>
      <c r="AC49" s="22">
        <f t="shared" si="3"/>
        <v>64.83676990384501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15.21153846153846</v>
      </c>
      <c r="AI49" s="13">
        <f>IF('Données projet'!$A$62&gt;35,AI48+AH49-AQ48,IF(A49&lt;'Données projet'!$A$62,$AF$205^A49,IF(A49='Données projet'!$A$62,'Données projet'!$B$62,AI48+AH49-AQ48)))</f>
        <v>397.32307692307683</v>
      </c>
      <c r="AJ49" s="13">
        <f>AI49*VLOOKUP('Données projet'!$B$10,Paramètres!$A$1:$I$89,3,0)*VLOOKUP('Données projet'!$B$10,Paramètres!$A$1:$I$89,5,0)</f>
        <v>237.59919999999997</v>
      </c>
      <c r="AK49" s="13">
        <f t="shared" si="35"/>
        <v>57.922684812819405</v>
      </c>
      <c r="AL49" s="20">
        <f t="shared" si="4"/>
        <v>514.70061604899377</v>
      </c>
      <c r="AM49" s="59">
        <f t="shared" si="5"/>
        <v>808.03394938232714</v>
      </c>
      <c r="AN49" s="59">
        <f ca="1">AVERAGE(OFFSET($AM$3,0,0,'Données projet'!$E$10+1,1))-AVERAGE(OFFSET($H$3,0,0,'Données projet'!$E$10+1,1))</f>
        <v>261.13725557061468</v>
      </c>
      <c r="AO49" s="59">
        <f t="shared" si="36"/>
        <v>328.18986868293558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40.680685848090825</v>
      </c>
      <c r="AV49" s="21">
        <f>EXP(-LN(2)/25)*AV48+(1-EXP(-LN(2)/25))/(LN(2)/25)*Calculateur!AQ49*Calculateur!AS49*VLOOKUP('Données projet'!$B$10,Paramètres!$A$1:$I$89,3,0)*0.475*44/12</f>
        <v>17.828592976576921</v>
      </c>
      <c r="AW49" s="21">
        <f>EXP(-LN(2)/2)*AW48+(1-EXP(-LN(2)/2))/(LN(2)/2)*AQ49*AT49*VLOOKUP('Données projet'!$B$10,Paramètres!$A$1:$I$89,3,0)*0.475*44/12</f>
        <v>1.086435136403493</v>
      </c>
      <c r="AX49" s="21">
        <f t="shared" si="6"/>
        <v>59.59571396107124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6.826007326007324</v>
      </c>
      <c r="BD49" s="12">
        <f>IF('Données projet'!$A$88&gt;35,BD48+BC49-BL48,IF(A49&lt;'Données projet'!$A$88,$BA$205^A49,IF(A49='Données projet'!$A$88,'Données projet'!$B$88,BD48+BC49-BL48)))</f>
        <v>111.65842490842485</v>
      </c>
      <c r="BE49" s="13">
        <f>BD49*VLOOKUP('Données projet'!$B$11,Paramètres!$A$1:$I$89,3,0)*VLOOKUP('Données projet'!$B$11,Paramètres!$A$1:$I$89,5,0)</f>
        <v>113.2216428571428</v>
      </c>
      <c r="BF49" s="13">
        <f t="shared" si="37"/>
        <v>30.088748821593761</v>
      </c>
      <c r="BG49" s="20">
        <f t="shared" si="7"/>
        <v>249.59893217379951</v>
      </c>
      <c r="BH49" s="59">
        <f t="shared" si="8"/>
        <v>542.9322655071328</v>
      </c>
      <c r="BI49" s="59">
        <f ca="1">AVERAGE(OFFSET($BH$3,0,0,'Données projet'!$E$11+1,1))-AVERAGE(OFFSET($H$3,0,0,'Données projet'!$E$11+1,1))</f>
        <v>250.31277422753283</v>
      </c>
      <c r="BJ49" s="59">
        <f t="shared" si="38"/>
        <v>159.20429420478047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7.4</v>
      </c>
      <c r="BY49" s="12">
        <f>IF('Données projet'!$A$114&gt;35,BY48+BX49-CG48,IF(A49&lt;'Données projet'!$A$114,$BV$205^A49,IF(A49='Données projet'!$A$114,'Données projet'!$B$114,BY48+BX49-CG48)))</f>
        <v>179.40000000000003</v>
      </c>
      <c r="BZ49" s="13">
        <f>BY49*VLOOKUP('Données projet'!$B$12,Paramètres!$A$1:$I$89,3,0)*VLOOKUP('Données projet'!$B$12,Paramètres!$A$1:$I$89,5,0)</f>
        <v>187.50888000000006</v>
      </c>
      <c r="CA49" s="13">
        <f t="shared" si="39"/>
        <v>46.988779262414276</v>
      </c>
      <c r="CB49" s="20">
        <f t="shared" si="10"/>
        <v>408.416756548705</v>
      </c>
      <c r="CC49" s="59">
        <f t="shared" si="11"/>
        <v>701.75008988203831</v>
      </c>
      <c r="CD49" s="59">
        <f ca="1">AVERAGE(OFFSET($CC$3,0,0,'Données projet'!$E$12+1,1))-AVERAGE(OFFSET($H$3,0,0,'Données projet'!$E$12+1,1))</f>
        <v>322.93502595881938</v>
      </c>
      <c r="CE49" s="59">
        <f t="shared" si="40"/>
        <v>302.67072119588164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5.0657931138835206</v>
      </c>
      <c r="CL49" s="21">
        <f>EXP(-LN(2)/25)*CL48+(1-EXP(-LN(2)/25))/(LN(2)/25)*Calculateur!CG49*Calculateur!CI49*VLOOKUP('Données projet'!$B$12,Paramètres!$A$1:$I$89,3,0)*0.475*44/12</f>
        <v>15.587786722513773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20.653579836397292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13.793846153846165</v>
      </c>
      <c r="N50" s="13">
        <f>IF('Données projet'!$A$36&gt;35,N49+M50-V49,IF(A50&lt;'Données projet'!$A$36,$K$205^A50,IF(A50='Données projet'!$A$36,'Données projet'!$B$36,N49+M50-V49)))</f>
        <v>304.05538461538453</v>
      </c>
      <c r="O50" s="13">
        <f>N50*VLOOKUP('Données projet'!$B$9,Paramètres!$A$1:$I$89,3,0)*VLOOKUP('Données projet'!$B$9,Paramètres!$A$1:$I$89,5,0)</f>
        <v>181.82511999999997</v>
      </c>
      <c r="P50" s="13">
        <f t="shared" si="33"/>
        <v>45.72800301768045</v>
      </c>
      <c r="Q50" s="20">
        <f t="shared" si="53"/>
        <v>396.32168925579339</v>
      </c>
      <c r="R50" s="59">
        <f t="shared" si="0"/>
        <v>689.6550225891267</v>
      </c>
      <c r="S50" s="59">
        <f ca="1">AVERAGE(OFFSET($R$3,0,0,'Données projet'!$E$9+1,1))-AVERAGE(OFFSET($H$3,0,0,'Données projet'!$E$9+1,1))</f>
        <v>278.21846622758881</v>
      </c>
      <c r="T50" s="59">
        <f t="shared" si="34"/>
        <v>245.37578316242906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43.093051655719812</v>
      </c>
      <c r="AA50" s="21">
        <f>EXP(-LN(2)/25)*AA49+(1-EXP(-LN(2)/25))/(LN(2)/25)*Calculateur!V50*Calculateur!X50*VLOOKUP('Données projet'!$B$9,Paramètres!$A$1:$I$89,3,0)*0.475*44/12</f>
        <v>13.813560962919817</v>
      </c>
      <c r="AB50" s="21">
        <f>EXP(-LN(2)/2)*AB49+(1-EXP(-LN(2)/2))/(LN(2)/2)*V50*Y50*VLOOKUP('Données projet'!$B$9,Paramètres!$A$1:$I$89,3,0)*0.475*44/12</f>
        <v>4.7233847959968198</v>
      </c>
      <c r="AC50" s="22">
        <f t="shared" si="3"/>
        <v>61.629997414636449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15.21153846153846</v>
      </c>
      <c r="AI50" s="13">
        <f>IF('Données projet'!$A$62&gt;35,AI49+AH50-AQ49,IF(A50&lt;'Données projet'!$A$62,$AF$205^A50,IF(A50='Données projet'!$A$62,'Données projet'!$B$62,AI49+AH50-AQ49)))</f>
        <v>412.53461538461528</v>
      </c>
      <c r="AJ50" s="13">
        <f>AI50*VLOOKUP('Données projet'!$B$10,Paramètres!$A$1:$I$89,3,0)*VLOOKUP('Données projet'!$B$10,Paramètres!$A$1:$I$89,5,0)</f>
        <v>246.69569999999996</v>
      </c>
      <c r="AK50" s="13">
        <f t="shared" si="35"/>
        <v>59.877827754324372</v>
      </c>
      <c r="AL50" s="20">
        <f t="shared" si="4"/>
        <v>533.94889417211482</v>
      </c>
      <c r="AM50" s="59">
        <f t="shared" si="5"/>
        <v>827.28222750544819</v>
      </c>
      <c r="AN50" s="59">
        <f ca="1">AVERAGE(OFFSET($AM$3,0,0,'Données projet'!$E$10+1,1))-AVERAGE(OFFSET($H$3,0,0,'Données projet'!$E$10+1,1))</f>
        <v>261.13725557061468</v>
      </c>
      <c r="AO50" s="59">
        <f t="shared" si="36"/>
        <v>328.18986868293558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39.882962411378074</v>
      </c>
      <c r="AV50" s="21">
        <f>EXP(-LN(2)/25)*AV49+(1-EXP(-LN(2)/25))/(LN(2)/25)*Calculateur!AQ50*Calculateur!AS50*VLOOKUP('Données projet'!$B$10,Paramètres!$A$1:$I$89,3,0)*0.475*44/12</f>
        <v>17.34106916406747</v>
      </c>
      <c r="AW50" s="21">
        <f>EXP(-LN(2)/2)*AW49+(1-EXP(-LN(2)/2))/(LN(2)/2)*AQ50*AT50*VLOOKUP('Données projet'!$B$10,Paramètres!$A$1:$I$89,3,0)*0.475*44/12</f>
        <v>0.76822565227024164</v>
      </c>
      <c r="AX50" s="21">
        <f t="shared" si="6"/>
        <v>57.992257227715783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6.826007326007324</v>
      </c>
      <c r="BD50" s="12">
        <f>IF('Données projet'!$A$88&gt;35,BD49+BC50-BL49,IF(A50&lt;'Données projet'!$A$88,$BA$205^A50,IF(A50='Données projet'!$A$88,'Données projet'!$B$88,BD49+BC50-BL49)))</f>
        <v>118.48443223443218</v>
      </c>
      <c r="BE50" s="13">
        <f>BD50*VLOOKUP('Données projet'!$B$11,Paramètres!$A$1:$I$89,3,0)*VLOOKUP('Données projet'!$B$11,Paramètres!$A$1:$I$89,5,0)</f>
        <v>120.14321428571424</v>
      </c>
      <c r="BF50" s="13">
        <f t="shared" si="37"/>
        <v>31.708399355356544</v>
      </c>
      <c r="BG50" s="20">
        <f t="shared" si="7"/>
        <v>264.47489375819822</v>
      </c>
      <c r="BH50" s="59">
        <f t="shared" si="8"/>
        <v>557.80822709153153</v>
      </c>
      <c r="BI50" s="59">
        <f ca="1">AVERAGE(OFFSET($BH$3,0,0,'Données projet'!$E$11+1,1))-AVERAGE(OFFSET($H$3,0,0,'Données projet'!$E$11+1,1))</f>
        <v>250.31277422753283</v>
      </c>
      <c r="BJ50" s="59">
        <f t="shared" si="38"/>
        <v>159.20429420478047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7.4</v>
      </c>
      <c r="BY50" s="12">
        <f>IF('Données projet'!$A$114&gt;35,BY49+BX50-CG49,IF(A50&lt;'Données projet'!$A$114,$BV$205^A50,IF(A50='Données projet'!$A$114,'Données projet'!$B$114,BY49+BX50-CG49)))</f>
        <v>186.80000000000004</v>
      </c>
      <c r="BZ50" s="13">
        <f>BY50*VLOOKUP('Données projet'!$B$12,Paramètres!$A$1:$I$89,3,0)*VLOOKUP('Données projet'!$B$12,Paramètres!$A$1:$I$89,5,0)</f>
        <v>195.24336000000005</v>
      </c>
      <c r="CA50" s="13">
        <f t="shared" si="39"/>
        <v>48.697342276114703</v>
      </c>
      <c r="CB50" s="20">
        <f t="shared" si="10"/>
        <v>424.86338979756653</v>
      </c>
      <c r="CC50" s="59">
        <f t="shared" si="11"/>
        <v>718.19672313089984</v>
      </c>
      <c r="CD50" s="59">
        <f ca="1">AVERAGE(OFFSET($CC$3,0,0,'Données projet'!$E$12+1,1))-AVERAGE(OFFSET($H$3,0,0,'Données projet'!$E$12+1,1))</f>
        <v>322.93502595881938</v>
      </c>
      <c r="CE50" s="59">
        <f t="shared" si="40"/>
        <v>302.67072119588164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4.9664560007489689</v>
      </c>
      <c r="CL50" s="21">
        <f>EXP(-LN(2)/25)*CL49+(1-EXP(-LN(2)/25))/(LN(2)/25)*Calculateur!CG50*Calculateur!CI50*VLOOKUP('Données projet'!$B$12,Paramètres!$A$1:$I$89,3,0)*0.475*44/12</f>
        <v>15.161537874860556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20.127993875609526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13.793846153846165</v>
      </c>
      <c r="N51" s="13">
        <f>IF('Données projet'!$A$36&gt;35,N50+M51-V50,IF(A51&lt;'Données projet'!$A$36,$K$205^A51,IF(A51='Données projet'!$A$36,'Données projet'!$B$36,N50+M51-V50)))</f>
        <v>317.8492307692307</v>
      </c>
      <c r="O51" s="13">
        <f>N51*VLOOKUP('Données projet'!$B$9,Paramètres!$A$1:$I$89,3,0)*VLOOKUP('Données projet'!$B$9,Paramètres!$A$1:$I$89,5,0)</f>
        <v>190.07383999999999</v>
      </c>
      <c r="P51" s="13">
        <f t="shared" si="33"/>
        <v>47.556277457641151</v>
      </c>
      <c r="Q51" s="20">
        <f t="shared" si="53"/>
        <v>413.87245457205836</v>
      </c>
      <c r="R51" s="59">
        <f t="shared" si="0"/>
        <v>707.20578790539162</v>
      </c>
      <c r="S51" s="59">
        <f ca="1">AVERAGE(OFFSET($R$3,0,0,'Données projet'!$E$9+1,1))-AVERAGE(OFFSET($H$3,0,0,'Données projet'!$E$9+1,1))</f>
        <v>278.21846622758881</v>
      </c>
      <c r="T51" s="59">
        <f t="shared" si="34"/>
        <v>245.37578316242906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42.248023196917309</v>
      </c>
      <c r="AA51" s="21">
        <f>EXP(-LN(2)/25)*AA50+(1-EXP(-LN(2)/25))/(LN(2)/25)*Calculateur!V51*Calculateur!X51*VLOOKUP('Données projet'!$B$9,Paramètres!$A$1:$I$89,3,0)*0.475*44/12</f>
        <v>13.435828411965176</v>
      </c>
      <c r="AB51" s="21">
        <f>EXP(-LN(2)/2)*AB50+(1-EXP(-LN(2)/2))/(LN(2)/2)*V51*Y51*VLOOKUP('Données projet'!$B$9,Paramètres!$A$1:$I$89,3,0)*0.475*44/12</f>
        <v>3.3399374194027889</v>
      </c>
      <c r="AC51" s="22">
        <f t="shared" si="3"/>
        <v>59.023789028285272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427.74615384615385</v>
      </c>
      <c r="AG51" s="12">
        <f>VLOOKUP(A51,'Données projet'!$A$61:$I$81,9,0)</f>
        <v>15.21153846153846</v>
      </c>
      <c r="AH51" s="12">
        <f t="array" ref="AH51">INDEX(AG:AG,MIN(IF(ISNUMBER(AG51:AG247),ROW(AG51:AG247),"")))</f>
        <v>15.21153846153846</v>
      </c>
      <c r="AI51" s="13">
        <f>IF('Données projet'!$A$62&gt;35,AI50+AH51-AQ50,IF(A51&lt;'Données projet'!$A$62,$AF$205^A51,IF(A51='Données projet'!$A$62,'Données projet'!$B$62,AI50+AH51-AQ50)))</f>
        <v>427.74615384615373</v>
      </c>
      <c r="AJ51" s="13">
        <f>AI51*VLOOKUP('Données projet'!$B$10,Paramètres!$A$1:$I$89,3,0)*VLOOKUP('Données projet'!$B$10,Paramètres!$A$1:$I$89,5,0)</f>
        <v>255.79219999999995</v>
      </c>
      <c r="AK51" s="13">
        <f t="shared" si="35"/>
        <v>61.824595084245523</v>
      </c>
      <c r="AL51" s="20">
        <f t="shared" si="4"/>
        <v>553.18258477172765</v>
      </c>
      <c r="AM51" s="59">
        <f t="shared" si="5"/>
        <v>846.51591810506102</v>
      </c>
      <c r="AN51" s="59">
        <f ca="1">AVERAGE(OFFSET($AM$3,0,0,'Données projet'!$E$10+1,1))-AVERAGE(OFFSET($H$3,0,0,'Données projet'!$E$10+1,1))</f>
        <v>261.13725557061468</v>
      </c>
      <c r="AO51" s="59">
        <f t="shared" si="36"/>
        <v>328.18986868293558</v>
      </c>
      <c r="AP51" s="15">
        <f>IF(ISNA(VLOOKUP(A51,'Données projet'!$A$61:$I$81,3,0)),0,VLOOKUP(A51,'Données projet'!$A$61:$I$81,3,0))</f>
        <v>6</v>
      </c>
      <c r="AQ51" s="15">
        <f>IF(ISNA(VLOOKUP(A51,'Données projet'!$A$61:$I$81,4,0)),0,VLOOKUP(A51,'Données projet'!$A$61:$I$81,4,0))</f>
        <v>83.969230769230762</v>
      </c>
      <c r="AR51" s="16">
        <f>IF(ISNA(VLOOKUP(A51,'Données projet'!$A$61:$I$81,5,0)),0%,VLOOKUP(A51,'Données projet'!$A$61:$I$81,5,0)*VLOOKUP('Données projet'!$B$10,Paramètres!$A$1:$I$89,7,0))</f>
        <v>0.315</v>
      </c>
      <c r="AS51" s="16">
        <f>IF(ISNA(VLOOKUP(A51,'Données projet'!$A$61:$I$81,6,0)),0%,VLOOKUP(A51,'Données projet'!$A$61:$I$81,6,0)*VLOOKUP('Données projet'!$B$10,Paramètres!$A$1:$I$89,7,0))</f>
        <v>7.5600000000000001E-2</v>
      </c>
      <c r="AT51" s="16">
        <f>IF(ISNA(VLOOKUP(A51,'Données projet'!$A$61:$I$81,7,0)),0%,VLOOKUP(A51,'Données projet'!$A$61:$I$81,7,0))</f>
        <v>0.13200000000000001</v>
      </c>
      <c r="AU51" s="21">
        <f>EXP(-LN(2)/35)*AU50+(1-EXP(-LN(2)/35))/(LN(2)/35)*AQ51*AR51*VLOOKUP('Données projet'!$B$10,Paramètres!$A$1:$I$89,3,0)*0.475*44/12</f>
        <v>60.083528580688551</v>
      </c>
      <c r="AV51" s="21">
        <f>EXP(-LN(2)/25)*AV50+(1-EXP(-LN(2)/25))/(LN(2)/25)*Calculateur!AQ51*Calculateur!AS51*VLOOKUP('Données projet'!$B$10,Paramètres!$A$1:$I$89,3,0)*0.475*44/12</f>
        <v>21.882883930435508</v>
      </c>
      <c r="AW51" s="21">
        <f>EXP(-LN(2)/2)*AW50+(1-EXP(-LN(2)/2))/(LN(2)/2)*AQ51*AT51*VLOOKUP('Données projet'!$B$10,Paramètres!$A$1:$I$89,3,0)*0.475*44/12</f>
        <v>8.0478742479516399</v>
      </c>
      <c r="AX51" s="21">
        <f t="shared" si="6"/>
        <v>90.014286759075702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6.826007326007324</v>
      </c>
      <c r="BD51" s="12">
        <f>IF('Données projet'!$A$88&gt;35,BD50+BC51-BL50,IF(A51&lt;'Données projet'!$A$88,$BA$205^A51,IF(A51='Données projet'!$A$88,'Données projet'!$B$88,BD50+BC51-BL50)))</f>
        <v>125.31043956043951</v>
      </c>
      <c r="BE51" s="13">
        <f>BD51*VLOOKUP('Données projet'!$B$11,Paramètres!$A$1:$I$89,3,0)*VLOOKUP('Données projet'!$B$11,Paramètres!$A$1:$I$89,5,0)</f>
        <v>127.06478571428566</v>
      </c>
      <c r="BF51" s="13">
        <f t="shared" si="37"/>
        <v>33.317218652426654</v>
      </c>
      <c r="BG51" s="20">
        <f t="shared" si="7"/>
        <v>279.33199093869058</v>
      </c>
      <c r="BH51" s="59">
        <f t="shared" si="8"/>
        <v>572.66532427202389</v>
      </c>
      <c r="BI51" s="59">
        <f ca="1">AVERAGE(OFFSET($BH$3,0,0,'Données projet'!$E$11+1,1))-AVERAGE(OFFSET($H$3,0,0,'Données projet'!$E$11+1,1))</f>
        <v>250.31277422753283</v>
      </c>
      <c r="BJ51" s="59">
        <f t="shared" si="38"/>
        <v>159.20429420478047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7.4</v>
      </c>
      <c r="BY51" s="12">
        <f>IF('Données projet'!$A$114&gt;35,BY50+BX51-CG50,IF(A51&lt;'Données projet'!$A$114,$BV$205^A51,IF(A51='Données projet'!$A$114,'Données projet'!$B$114,BY50+BX51-CG50)))</f>
        <v>194.20000000000005</v>
      </c>
      <c r="BZ51" s="13">
        <f>BY51*VLOOKUP('Données projet'!$B$12,Paramètres!$A$1:$I$89,3,0)*VLOOKUP('Données projet'!$B$12,Paramètres!$A$1:$I$89,5,0)</f>
        <v>202.97784000000007</v>
      </c>
      <c r="CA51" s="13">
        <f t="shared" si="39"/>
        <v>50.398042839657315</v>
      </c>
      <c r="CB51" s="20">
        <f t="shared" si="10"/>
        <v>441.29632927906988</v>
      </c>
      <c r="CC51" s="59">
        <f t="shared" si="11"/>
        <v>734.62966261240319</v>
      </c>
      <c r="CD51" s="59">
        <f ca="1">AVERAGE(OFFSET($CC$3,0,0,'Données projet'!$E$12+1,1))-AVERAGE(OFFSET($H$3,0,0,'Données projet'!$E$12+1,1))</f>
        <v>322.93502595881938</v>
      </c>
      <c r="CE51" s="59">
        <f t="shared" si="40"/>
        <v>302.67072119588164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4.8690668278133291</v>
      </c>
      <c r="CL51" s="21">
        <f>EXP(-LN(2)/25)*CL50+(1-EXP(-LN(2)/25))/(LN(2)/25)*Calculateur!CG51*Calculateur!CI51*VLOOKUP('Données projet'!$B$12,Paramètres!$A$1:$I$89,3,0)*0.475*44/12</f>
        <v>14.74694482436187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19.616011652175199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13.793846153846165</v>
      </c>
      <c r="N52" s="13">
        <f>IF('Données projet'!$A$36&gt;35,N51+M52-V51,IF(A52&lt;'Données projet'!$A$36,$K$205^A52,IF(A52='Données projet'!$A$36,'Données projet'!$B$36,N51+M52-V51)))</f>
        <v>331.64307692307688</v>
      </c>
      <c r="O52" s="13">
        <f>N52*VLOOKUP('Données projet'!$B$9,Paramètres!$A$1:$I$89,3,0)*VLOOKUP('Données projet'!$B$9,Paramètres!$A$1:$I$89,5,0)</f>
        <v>198.32255999999998</v>
      </c>
      <c r="P52" s="13">
        <f t="shared" si="33"/>
        <v>49.375336669033487</v>
      </c>
      <c r="Q52" s="20">
        <f t="shared" si="53"/>
        <v>431.40717003189997</v>
      </c>
      <c r="R52" s="59">
        <f t="shared" si="0"/>
        <v>724.74050336523328</v>
      </c>
      <c r="S52" s="59">
        <f ca="1">AVERAGE(OFFSET($R$3,0,0,'Données projet'!$E$9+1,1))-AVERAGE(OFFSET($H$3,0,0,'Données projet'!$E$9+1,1))</f>
        <v>278.21846622758881</v>
      </c>
      <c r="T52" s="59">
        <f t="shared" si="34"/>
        <v>245.37578316242906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41.419565230775461</v>
      </c>
      <c r="AA52" s="21">
        <f>EXP(-LN(2)/25)*AA51+(1-EXP(-LN(2)/25))/(LN(2)/25)*Calculateur!V52*Calculateur!X52*VLOOKUP('Données projet'!$B$9,Paramètres!$A$1:$I$89,3,0)*0.475*44/12</f>
        <v>13.068424977480479</v>
      </c>
      <c r="AB52" s="21">
        <f>EXP(-LN(2)/2)*AB51+(1-EXP(-LN(2)/2))/(LN(2)/2)*V52*Y52*VLOOKUP('Données projet'!$B$9,Paramètres!$A$1:$I$89,3,0)*0.475*44/12</f>
        <v>2.3616923979984104</v>
      </c>
      <c r="AC52" s="22">
        <f t="shared" si="3"/>
        <v>56.849682606254348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12.837499999999991</v>
      </c>
      <c r="AI52" s="13">
        <f>IF('Données projet'!$A$62&gt;35,AI51+AH52-AQ51,IF(A52&lt;'Données projet'!$A$62,$AF$205^A52,IF(A52='Données projet'!$A$62,'Données projet'!$B$62,AI51+AH52-AQ51)))</f>
        <v>356.61442307692295</v>
      </c>
      <c r="AJ52" s="13">
        <f>AI52*VLOOKUP('Données projet'!$B$10,Paramètres!$A$1:$I$89,3,0)*VLOOKUP('Données projet'!$B$10,Paramètres!$A$1:$I$89,5,0)</f>
        <v>213.25542499999995</v>
      </c>
      <c r="AK52" s="13">
        <f t="shared" si="35"/>
        <v>52.646339807871037</v>
      </c>
      <c r="AL52" s="20">
        <f t="shared" si="4"/>
        <v>463.11224037370857</v>
      </c>
      <c r="AM52" s="59">
        <f t="shared" si="5"/>
        <v>756.44557370704183</v>
      </c>
      <c r="AN52" s="59">
        <f ca="1">AVERAGE(OFFSET($AM$3,0,0,'Données projet'!$E$10+1,1))-AVERAGE(OFFSET($H$3,0,0,'Données projet'!$E$10+1,1))</f>
        <v>261.13725557061468</v>
      </c>
      <c r="AO52" s="59">
        <f t="shared" si="36"/>
        <v>328.18986868293558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58.905327232555059</v>
      </c>
      <c r="AV52" s="21">
        <f>EXP(-LN(2)/25)*AV51+(1-EXP(-LN(2)/25))/(LN(2)/25)*Calculateur!AQ52*Calculateur!AS52*VLOOKUP('Données projet'!$B$10,Paramètres!$A$1:$I$89,3,0)*0.475*44/12</f>
        <v>21.284495318586895</v>
      </c>
      <c r="AW52" s="21">
        <f>EXP(-LN(2)/2)*AW51+(1-EXP(-LN(2)/2))/(LN(2)/2)*AQ52*AT52*VLOOKUP('Données projet'!$B$10,Paramètres!$A$1:$I$89,3,0)*0.475*44/12</f>
        <v>5.6907064548631912</v>
      </c>
      <c r="AX52" s="21">
        <f t="shared" si="6"/>
        <v>85.880529006005148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6.826007326007324</v>
      </c>
      <c r="BD52" s="12">
        <f>IF('Données projet'!$A$88&gt;35,BD51+BC52-BL51,IF(A52&lt;'Données projet'!$A$88,$BA$205^A52,IF(A52='Données projet'!$A$88,'Données projet'!$B$88,BD51+BC52-BL51)))</f>
        <v>132.13644688644683</v>
      </c>
      <c r="BE52" s="13">
        <f>BD52*VLOOKUP('Données projet'!$B$11,Paramètres!$A$1:$I$89,3,0)*VLOOKUP('Données projet'!$B$11,Paramètres!$A$1:$I$89,5,0)</f>
        <v>133.98635714285712</v>
      </c>
      <c r="BF52" s="13">
        <f t="shared" si="37"/>
        <v>34.915863980670267</v>
      </c>
      <c r="BG52" s="20">
        <f t="shared" si="7"/>
        <v>294.17136845681017</v>
      </c>
      <c r="BH52" s="59">
        <f t="shared" si="8"/>
        <v>587.50470179014349</v>
      </c>
      <c r="BI52" s="59">
        <f ca="1">AVERAGE(OFFSET($BH$3,0,0,'Données projet'!$E$11+1,1))-AVERAGE(OFFSET($H$3,0,0,'Données projet'!$E$11+1,1))</f>
        <v>250.31277422753283</v>
      </c>
      <c r="BJ52" s="59">
        <f t="shared" si="38"/>
        <v>159.20429420478047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7.4</v>
      </c>
      <c r="BY52" s="12">
        <f>IF('Données projet'!$A$114&gt;35,BY51+BX52-CG51,IF(A52&lt;'Données projet'!$A$114,$BV$205^A52,IF(A52='Données projet'!$A$114,'Données projet'!$B$114,BY51+BX52-CG51)))</f>
        <v>201.60000000000005</v>
      </c>
      <c r="BZ52" s="13">
        <f>BY52*VLOOKUP('Données projet'!$B$12,Paramètres!$A$1:$I$89,3,0)*VLOOKUP('Données projet'!$B$12,Paramètres!$A$1:$I$89,5,0)</f>
        <v>210.71232000000006</v>
      </c>
      <c r="CA52" s="13">
        <f t="shared" si="39"/>
        <v>52.091214849236422</v>
      </c>
      <c r="CB52" s="20">
        <f t="shared" si="10"/>
        <v>457.71615652908685</v>
      </c>
      <c r="CC52" s="59">
        <f t="shared" si="11"/>
        <v>751.04948986242016</v>
      </c>
      <c r="CD52" s="59">
        <f ca="1">AVERAGE(OFFSET($CC$3,0,0,'Données projet'!$E$12+1,1))-AVERAGE(OFFSET($H$3,0,0,'Données projet'!$E$12+1,1))</f>
        <v>322.93502595881938</v>
      </c>
      <c r="CE52" s="59">
        <f t="shared" si="40"/>
        <v>302.67072119588164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4.7735873971574279</v>
      </c>
      <c r="CL52" s="21">
        <f>EXP(-LN(2)/25)*CL51+(1-EXP(-LN(2)/25))/(LN(2)/25)*Calculateur!CG52*Calculateur!CI52*VLOOKUP('Données projet'!$B$12,Paramètres!$A$1:$I$89,3,0)*0.475*44/12</f>
        <v>14.343688842631572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19.117276239789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13.793846153846165</v>
      </c>
      <c r="N53" s="13">
        <f>IF('Données projet'!$A$36&gt;35,N52+M53-V52,IF(A53&lt;'Données projet'!$A$36,$K$205^A53,IF(A53='Données projet'!$A$36,'Données projet'!$B$36,N52+M53-V52)))</f>
        <v>345.43692307692305</v>
      </c>
      <c r="O53" s="13">
        <f>N53*VLOOKUP('Données projet'!$B$9,Paramètres!$A$1:$I$89,3,0)*VLOOKUP('Données projet'!$B$9,Paramètres!$A$1:$I$89,5,0)</f>
        <v>206.57128</v>
      </c>
      <c r="P53" s="13">
        <f t="shared" si="33"/>
        <v>51.185607766999659</v>
      </c>
      <c r="Q53" s="20">
        <f t="shared" si="53"/>
        <v>448.92657952752438</v>
      </c>
      <c r="R53" s="59">
        <f t="shared" si="0"/>
        <v>742.25991286085764</v>
      </c>
      <c r="S53" s="59">
        <f ca="1">AVERAGE(OFFSET($R$3,0,0,'Données projet'!$E$9+1,1))-AVERAGE(OFFSET($H$3,0,0,'Données projet'!$E$9+1,1))</f>
        <v>278.21846622758881</v>
      </c>
      <c r="T53" s="59">
        <f t="shared" si="34"/>
        <v>245.37578316242906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40.607352820040191</v>
      </c>
      <c r="AA53" s="21">
        <f>EXP(-LN(2)/25)*AA52+(1-EXP(-LN(2)/25))/(LN(2)/25)*Calculateur!V53*Calculateur!X53*VLOOKUP('Données projet'!$B$9,Paramètres!$A$1:$I$89,3,0)*0.475*44/12</f>
        <v>12.711068209232675</v>
      </c>
      <c r="AB53" s="21">
        <f>EXP(-LN(2)/2)*AB52+(1-EXP(-LN(2)/2))/(LN(2)/2)*V53*Y53*VLOOKUP('Données projet'!$B$9,Paramètres!$A$1:$I$89,3,0)*0.475*44/12</f>
        <v>1.6699687097013949</v>
      </c>
      <c r="AC53" s="22">
        <f t="shared" si="3"/>
        <v>54.988389738974263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12.837499999999991</v>
      </c>
      <c r="AI53" s="13">
        <f>IF('Données projet'!$A$62&gt;35,AI52+AH53-AQ52,IF(A53&lt;'Données projet'!$A$62,$AF$205^A53,IF(A53='Données projet'!$A$62,'Données projet'!$B$62,AI52+AH53-AQ52)))</f>
        <v>369.45192307692292</v>
      </c>
      <c r="AJ53" s="13">
        <f>AI53*VLOOKUP('Données projet'!$B$10,Paramètres!$A$1:$I$89,3,0)*VLOOKUP('Données projet'!$B$10,Paramètres!$A$1:$I$89,5,0)</f>
        <v>220.93224999999995</v>
      </c>
      <c r="AK53" s="13">
        <f t="shared" si="35"/>
        <v>54.31745576001893</v>
      </c>
      <c r="AL53" s="20">
        <f t="shared" si="4"/>
        <v>479.3932375320328</v>
      </c>
      <c r="AM53" s="59">
        <f t="shared" si="5"/>
        <v>772.72657086536606</v>
      </c>
      <c r="AN53" s="59">
        <f ca="1">AVERAGE(OFFSET($AM$3,0,0,'Données projet'!$E$10+1,1))-AVERAGE(OFFSET($H$3,0,0,'Données projet'!$E$10+1,1))</f>
        <v>261.13725557061468</v>
      </c>
      <c r="AO53" s="59">
        <f t="shared" si="36"/>
        <v>328.18986868293558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57.750229694226604</v>
      </c>
      <c r="AV53" s="21">
        <f>EXP(-LN(2)/25)*AV52+(1-EXP(-LN(2)/25))/(LN(2)/25)*Calculateur!AQ53*Calculateur!AS53*VLOOKUP('Données projet'!$B$10,Paramètres!$A$1:$I$89,3,0)*0.475*44/12</f>
        <v>20.702469674797175</v>
      </c>
      <c r="AW53" s="21">
        <f>EXP(-LN(2)/2)*AW52+(1-EXP(-LN(2)/2))/(LN(2)/2)*AQ53*AT53*VLOOKUP('Données projet'!$B$10,Paramètres!$A$1:$I$89,3,0)*0.475*44/12</f>
        <v>4.0239371239758199</v>
      </c>
      <c r="AX53" s="21">
        <f t="shared" si="6"/>
        <v>82.476636492999603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6.826007326007324</v>
      </c>
      <c r="BD53" s="12">
        <f>IF('Données projet'!$A$88&gt;35,BD52+BC53-BL52,IF(A53&lt;'Données projet'!$A$88,$BA$205^A53,IF(A53='Données projet'!$A$88,'Données projet'!$B$88,BD52+BC53-BL52)))</f>
        <v>138.96245421245416</v>
      </c>
      <c r="BE53" s="13">
        <f>BD53*VLOOKUP('Données projet'!$B$11,Paramètres!$A$1:$I$89,3,0)*VLOOKUP('Données projet'!$B$11,Paramètres!$A$1:$I$89,5,0)</f>
        <v>140.90792857142853</v>
      </c>
      <c r="BF53" s="13">
        <f t="shared" si="37"/>
        <v>36.504920865079967</v>
      </c>
      <c r="BG53" s="20">
        <f t="shared" si="7"/>
        <v>308.99404610191897</v>
      </c>
      <c r="BH53" s="59">
        <f t="shared" si="8"/>
        <v>602.32737943525228</v>
      </c>
      <c r="BI53" s="59">
        <f ca="1">AVERAGE(OFFSET($BH$3,0,0,'Données projet'!$E$11+1,1))-AVERAGE(OFFSET($H$3,0,0,'Données projet'!$E$11+1,1))</f>
        <v>250.31277422753283</v>
      </c>
      <c r="BJ53" s="59">
        <f t="shared" si="38"/>
        <v>159.20429420478047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209</v>
      </c>
      <c r="BW53" s="12">
        <f>VLOOKUP(A53,'Données projet'!$A$113:$I$133,9,0)</f>
        <v>7.4</v>
      </c>
      <c r="BX53" s="12">
        <f t="array" ref="BX53">INDEX(BW:BW,MIN(IF(ISNUMBER(BW53:BW249),ROW(BW53:BW249),"")))</f>
        <v>7.4</v>
      </c>
      <c r="BY53" s="12">
        <f>IF('Données projet'!$A$114&gt;35,BY52+BX53-CG52,IF(A53&lt;'Données projet'!$A$114,$BV$205^A53,IF(A53='Données projet'!$A$114,'Données projet'!$B$114,BY52+BX53-CG52)))</f>
        <v>209.00000000000006</v>
      </c>
      <c r="BZ53" s="13">
        <f>BY53*VLOOKUP('Données projet'!$B$12,Paramètres!$A$1:$I$89,3,0)*VLOOKUP('Données projet'!$B$12,Paramètres!$A$1:$I$89,5,0)</f>
        <v>218.44680000000011</v>
      </c>
      <c r="CA53" s="13">
        <f t="shared" si="39"/>
        <v>53.777166299799873</v>
      </c>
      <c r="CB53" s="20">
        <f t="shared" si="10"/>
        <v>474.12340797215165</v>
      </c>
      <c r="CC53" s="59">
        <f t="shared" si="11"/>
        <v>767.45674130548491</v>
      </c>
      <c r="CD53" s="59">
        <f ca="1">AVERAGE(OFFSET($CC$3,0,0,'Données projet'!$E$12+1,1))-AVERAGE(OFFSET($H$3,0,0,'Données projet'!$E$12+1,1))</f>
        <v>322.93502595881938</v>
      </c>
      <c r="CE53" s="59">
        <f t="shared" si="40"/>
        <v>302.67072119588164</v>
      </c>
      <c r="CF53" s="15">
        <f>IF(ISNA(VLOOKUP(A53,'Données projet'!$A$113:$I$133,3,0)),0,VLOOKUP(A53,'Données projet'!$A$113:$I$133,3,0))</f>
        <v>7</v>
      </c>
      <c r="CG53" s="15" t="str">
        <f>IF(ISNA(VLOOKUP(A53,'Données projet'!$A$113:$I$133,4,0)),0,VLOOKUP(A53,'Données projet'!$A$113:$I$133,4,0))</f>
        <v>24</v>
      </c>
      <c r="CH53" s="16">
        <f>IF(ISNA(VLOOKUP(A53,'Données projet'!$A$113:$I$133,5,0)),0%,VLOOKUP(A53,'Données projet'!$A$113:$I$133,5,0)*VLOOKUP('Données projet'!$B$12,Paramètres!$A$1:$I$89,7,0))</f>
        <v>0.17200000000000001</v>
      </c>
      <c r="CI53" s="16">
        <f>IF(ISNA(VLOOKUP(A53,'Données projet'!$A$113:$I$133,6,0)),0%,VLOOKUP(A53,'Données projet'!$A$113:$I$133,6,0)*VLOOKUP('Données projet'!$B$12,Paramètres!$A$1:$I$89,7,0))</f>
        <v>0.17200000000000001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9.4496268406593877</v>
      </c>
      <c r="CL53" s="21">
        <f>EXP(-LN(2)/25)*CL52+(1-EXP(-LN(2)/25))/(LN(2)/25)*Calculateur!CG53*Calculateur!CI53*VLOOKUP('Données projet'!$B$12,Paramètres!$A$1:$I$89,3,0)*0.475*44/12</f>
        <v>18.702326581721124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28.151953422380512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13.793846153846165</v>
      </c>
      <c r="N54" s="13">
        <f>IF('Données projet'!$A$36&gt;35,N53+M54-V53,IF(A54&lt;'Données projet'!$A$36,$K$205^A54,IF(A54='Données projet'!$A$36,'Données projet'!$B$36,N53+M54-V53)))</f>
        <v>359.23076923076923</v>
      </c>
      <c r="O54" s="13">
        <f>N54*VLOOKUP('Données projet'!$B$9,Paramètres!$A$1:$I$89,3,0)*VLOOKUP('Données projet'!$B$9,Paramètres!$A$1:$I$89,5,0)</f>
        <v>214.82</v>
      </c>
      <c r="P54" s="13">
        <f t="shared" si="33"/>
        <v>52.987481825087599</v>
      </c>
      <c r="Q54" s="20">
        <f t="shared" si="53"/>
        <v>466.43136417869431</v>
      </c>
      <c r="R54" s="59">
        <f t="shared" si="0"/>
        <v>759.76469751202762</v>
      </c>
      <c r="S54" s="59">
        <f ca="1">AVERAGE(OFFSET($R$3,0,0,'Données projet'!$E$9+1,1))-AVERAGE(OFFSET($H$3,0,0,'Données projet'!$E$9+1,1))</f>
        <v>278.21846622758881</v>
      </c>
      <c r="T54" s="59">
        <f t="shared" si="34"/>
        <v>245.37578316242906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39.811067399278784</v>
      </c>
      <c r="AA54" s="21">
        <f>EXP(-LN(2)/25)*AA53+(1-EXP(-LN(2)/25))/(LN(2)/25)*Calculateur!V54*Calculateur!X54*VLOOKUP('Données projet'!$B$9,Paramètres!$A$1:$I$89,3,0)*0.475*44/12</f>
        <v>12.363483380605182</v>
      </c>
      <c r="AB54" s="21">
        <f>EXP(-LN(2)/2)*AB53+(1-EXP(-LN(2)/2))/(LN(2)/2)*V54*Y54*VLOOKUP('Données projet'!$B$9,Paramètres!$A$1:$I$89,3,0)*0.475*44/12</f>
        <v>1.1808461989992054</v>
      </c>
      <c r="AC54" s="22">
        <f t="shared" si="3"/>
        <v>53.355396978883171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12.837499999999991</v>
      </c>
      <c r="AI54" s="13">
        <f>IF('Données projet'!$A$62&gt;35,AI53+AH54-AQ53,IF(A54&lt;'Données projet'!$A$62,$AF$205^A54,IF(A54='Données projet'!$A$62,'Données projet'!$B$62,AI53+AH54-AQ53)))</f>
        <v>382.2894230769229</v>
      </c>
      <c r="AJ54" s="13">
        <f>AI54*VLOOKUP('Données projet'!$B$10,Paramètres!$A$1:$I$89,3,0)*VLOOKUP('Données projet'!$B$10,Paramètres!$A$1:$I$89,5,0)</f>
        <v>228.6090749999999</v>
      </c>
      <c r="AK54" s="13">
        <f t="shared" si="35"/>
        <v>55.981824933821947</v>
      </c>
      <c r="AL54" s="20">
        <f t="shared" si="4"/>
        <v>495.66248405140635</v>
      </c>
      <c r="AM54" s="59">
        <f t="shared" si="5"/>
        <v>788.99581738473967</v>
      </c>
      <c r="AN54" s="59">
        <f ca="1">AVERAGE(OFFSET($AM$3,0,0,'Données projet'!$E$10+1,1))-AVERAGE(OFFSET($H$3,0,0,'Données projet'!$E$10+1,1))</f>
        <v>261.13725557061468</v>
      </c>
      <c r="AO54" s="59">
        <f t="shared" si="36"/>
        <v>328.18986868293558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56.617782914084835</v>
      </c>
      <c r="AV54" s="21">
        <f>EXP(-LN(2)/25)*AV53+(1-EXP(-LN(2)/25))/(LN(2)/25)*Calculateur!AQ54*Calculateur!AS54*VLOOKUP('Données projet'!$B$10,Paramètres!$A$1:$I$89,3,0)*0.475*44/12</f>
        <v>20.136359552844283</v>
      </c>
      <c r="AW54" s="21">
        <f>EXP(-LN(2)/2)*AW53+(1-EXP(-LN(2)/2))/(LN(2)/2)*AQ54*AT54*VLOOKUP('Données projet'!$B$10,Paramètres!$A$1:$I$89,3,0)*0.475*44/12</f>
        <v>2.8453532274315956</v>
      </c>
      <c r="AX54" s="21">
        <f t="shared" si="6"/>
        <v>79.599495694360726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145.78846153846152</v>
      </c>
      <c r="BB54" s="12">
        <f>VLOOKUP(A54,'Données projet'!$A$87:$I$107,9,0)</f>
        <v>6.826007326007324</v>
      </c>
      <c r="BC54" s="12">
        <f t="array" ref="BC54">INDEX(BB:BB,MIN(IF(ISNUMBER(BB54:BB250),ROW(BB54:BB250),"")))</f>
        <v>6.826007326007324</v>
      </c>
      <c r="BD54" s="12">
        <f>IF('Données projet'!$A$88&gt;35,BD53+BC54-BL53,IF(A54&lt;'Données projet'!$A$88,$BA$205^A54,IF(A54='Données projet'!$A$88,'Données projet'!$B$88,BD53+BC54-BL53)))</f>
        <v>145.78846153846149</v>
      </c>
      <c r="BE54" s="13">
        <f>BD54*VLOOKUP('Données projet'!$B$11,Paramètres!$A$1:$I$89,3,0)*VLOOKUP('Données projet'!$B$11,Paramètres!$A$1:$I$89,5,0)</f>
        <v>147.82949999999997</v>
      </c>
      <c r="BF54" s="13">
        <f t="shared" si="37"/>
        <v>38.084914057462001</v>
      </c>
      <c r="BG54" s="20">
        <f t="shared" si="7"/>
        <v>323.80093781674623</v>
      </c>
      <c r="BH54" s="59">
        <f t="shared" si="8"/>
        <v>617.13427115007948</v>
      </c>
      <c r="BI54" s="59">
        <f ca="1">AVERAGE(OFFSET($BH$3,0,0,'Données projet'!$E$11+1,1))-AVERAGE(OFFSET($H$3,0,0,'Données projet'!$E$11+1,1))</f>
        <v>250.31277422753283</v>
      </c>
      <c r="BJ54" s="59">
        <f t="shared" si="38"/>
        <v>159.20429420478047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37.685897435897431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6.6</v>
      </c>
      <c r="BY54" s="12">
        <f>IF('Données projet'!$A$114&gt;35,BY53+BX54-CG53,IF(A54&lt;'Données projet'!$A$114,$BV$205^A54,IF(A54='Données projet'!$A$114,'Données projet'!$B$114,BY53+BX54-CG53)))</f>
        <v>191.60000000000005</v>
      </c>
      <c r="BZ54" s="13">
        <f>BY54*VLOOKUP('Données projet'!$B$12,Paramètres!$A$1:$I$89,3,0)*VLOOKUP('Données projet'!$B$12,Paramètres!$A$1:$I$89,5,0)</f>
        <v>200.26032000000006</v>
      </c>
      <c r="CA54" s="13">
        <f t="shared" si="39"/>
        <v>49.801373850507687</v>
      </c>
      <c r="CB54" s="20">
        <f t="shared" si="10"/>
        <v>435.52411678963432</v>
      </c>
      <c r="CC54" s="59">
        <f t="shared" si="11"/>
        <v>728.85745012296763</v>
      </c>
      <c r="CD54" s="59">
        <f ca="1">AVERAGE(OFFSET($CC$3,0,0,'Données projet'!$E$12+1,1))-AVERAGE(OFFSET($H$3,0,0,'Données projet'!$E$12+1,1))</f>
        <v>322.93502595881938</v>
      </c>
      <c r="CE54" s="59">
        <f t="shared" si="40"/>
        <v>302.67072119588164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9.2643254220173112</v>
      </c>
      <c r="CL54" s="21">
        <f>EXP(-LN(2)/25)*CL53+(1-EXP(-LN(2)/25))/(LN(2)/25)*Calculateur!CG54*Calculateur!CI54*VLOOKUP('Données projet'!$B$12,Paramètres!$A$1:$I$89,3,0)*0.475*44/12</f>
        <v>18.190910477831348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27.45523589984866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13.793846153846165</v>
      </c>
      <c r="N55" s="13">
        <f>IF('Données projet'!$A$36&gt;35,N54+M55-V54,IF(A55&lt;'Données projet'!$A$36,$K$205^A55,IF(A55='Données projet'!$A$36,'Données projet'!$B$36,N54+M55-V54)))</f>
        <v>373.0246153846154</v>
      </c>
      <c r="O55" s="13">
        <f>N55*VLOOKUP('Données projet'!$B$9,Paramètres!$A$1:$I$89,3,0)*VLOOKUP('Données projet'!$B$9,Paramètres!$A$1:$I$89,5,0)</f>
        <v>223.06872000000001</v>
      </c>
      <c r="P55" s="13">
        <f t="shared" si="33"/>
        <v>54.78131818288734</v>
      </c>
      <c r="Q55" s="20">
        <f t="shared" si="53"/>
        <v>483.92214983519551</v>
      </c>
      <c r="R55" s="59">
        <f t="shared" si="0"/>
        <v>777.25548316852883</v>
      </c>
      <c r="S55" s="59">
        <f ca="1">AVERAGE(OFFSET($R$3,0,0,'Données projet'!$E$9+1,1))-AVERAGE(OFFSET($H$3,0,0,'Données projet'!$E$9+1,1))</f>
        <v>278.21846622758881</v>
      </c>
      <c r="T55" s="59">
        <f t="shared" si="34"/>
        <v>245.37578316242906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39.030396649932356</v>
      </c>
      <c r="AA55" s="21">
        <f>EXP(-LN(2)/25)*AA54+(1-EXP(-LN(2)/25))/(LN(2)/25)*Calculateur!V55*Calculateur!X55*VLOOKUP('Données projet'!$B$9,Paramètres!$A$1:$I$89,3,0)*0.475*44/12</f>
        <v>12.025403277395199</v>
      </c>
      <c r="AB55" s="21">
        <f>EXP(-LN(2)/2)*AB54+(1-EXP(-LN(2)/2))/(LN(2)/2)*V55*Y55*VLOOKUP('Données projet'!$B$9,Paramètres!$A$1:$I$89,3,0)*0.475*44/12</f>
        <v>0.83498435485069755</v>
      </c>
      <c r="AC55" s="22">
        <f t="shared" si="3"/>
        <v>51.890784282178252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12.837499999999991</v>
      </c>
      <c r="AI55" s="13">
        <f>IF('Données projet'!$A$62&gt;35,AI54+AH55-AQ54,IF(A55&lt;'Données projet'!$A$62,$AF$205^A55,IF(A55='Données projet'!$A$62,'Données projet'!$B$62,AI54+AH55-AQ54)))</f>
        <v>395.12692307692288</v>
      </c>
      <c r="AJ55" s="13">
        <f>AI55*VLOOKUP('Données projet'!$B$10,Paramètres!$A$1:$I$89,3,0)*VLOOKUP('Données projet'!$B$10,Paramètres!$A$1:$I$89,5,0)</f>
        <v>236.28589999999988</v>
      </c>
      <c r="AK55" s="13">
        <f t="shared" si="35"/>
        <v>57.639699864397762</v>
      </c>
      <c r="AL55" s="20">
        <f t="shared" si="4"/>
        <v>511.92041976382592</v>
      </c>
      <c r="AM55" s="59">
        <f t="shared" si="5"/>
        <v>805.25375309715923</v>
      </c>
      <c r="AN55" s="59">
        <f ca="1">AVERAGE(OFFSET($AM$3,0,0,'Données projet'!$E$10+1,1))-AVERAGE(OFFSET($H$3,0,0,'Données projet'!$E$10+1,1))</f>
        <v>261.13725557061468</v>
      </c>
      <c r="AO55" s="59">
        <f t="shared" si="36"/>
        <v>328.18986868293558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55.507542724577313</v>
      </c>
      <c r="AV55" s="21">
        <f>EXP(-LN(2)/25)*AV54+(1-EXP(-LN(2)/25))/(LN(2)/25)*Calculateur!AQ55*Calculateur!AS55*VLOOKUP('Données projet'!$B$10,Paramètres!$A$1:$I$89,3,0)*0.475*44/12</f>
        <v>19.585729741946629</v>
      </c>
      <c r="AW55" s="21">
        <f>EXP(-LN(2)/2)*AW54+(1-EXP(-LN(2)/2))/(LN(2)/2)*AQ55*AT55*VLOOKUP('Données projet'!$B$10,Paramètres!$A$1:$I$89,3,0)*0.475*44/12</f>
        <v>2.01196856198791</v>
      </c>
      <c r="AX55" s="21">
        <f t="shared" si="6"/>
        <v>77.105241028511855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6.3942307692307701</v>
      </c>
      <c r="BD55" s="12">
        <f>IF('Données projet'!$A$88&gt;35,BD54+BC55-BL54,IF(A55&lt;'Données projet'!$A$88,$BA$205^A55,IF(A55='Données projet'!$A$88,'Données projet'!$B$88,BD54+BC55-BL54)))</f>
        <v>114.49679487179483</v>
      </c>
      <c r="BE55" s="13">
        <f>BD55*VLOOKUP('Données projet'!$B$11,Paramètres!$A$1:$I$89,3,0)*VLOOKUP('Données projet'!$B$11,Paramètres!$A$1:$I$89,5,0)</f>
        <v>116.09974999999996</v>
      </c>
      <c r="BF55" s="13">
        <f t="shared" si="37"/>
        <v>30.763588103307637</v>
      </c>
      <c r="BG55" s="20">
        <f t="shared" si="7"/>
        <v>255.78698052992738</v>
      </c>
      <c r="BH55" s="59">
        <f t="shared" si="8"/>
        <v>549.12031386326066</v>
      </c>
      <c r="BI55" s="59">
        <f ca="1">AVERAGE(OFFSET($BH$3,0,0,'Données projet'!$E$11+1,1))-AVERAGE(OFFSET($H$3,0,0,'Données projet'!$E$11+1,1))</f>
        <v>250.31277422753283</v>
      </c>
      <c r="BJ55" s="59">
        <f t="shared" si="38"/>
        <v>159.20429420478047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6.6</v>
      </c>
      <c r="BY55" s="12">
        <f>IF('Données projet'!$A$114&gt;35,BY54+BX55-CG54,IF(A55&lt;'Données projet'!$A$114,$BV$205^A55,IF(A55='Données projet'!$A$114,'Données projet'!$B$114,BY54+BX55-CG54)))</f>
        <v>198.20000000000005</v>
      </c>
      <c r="BZ55" s="13">
        <f>BY55*VLOOKUP('Données projet'!$B$12,Paramètres!$A$1:$I$89,3,0)*VLOOKUP('Données projet'!$B$12,Paramètres!$A$1:$I$89,5,0)</f>
        <v>207.15864000000008</v>
      </c>
      <c r="CA55" s="13">
        <f t="shared" si="39"/>
        <v>51.314185628735935</v>
      </c>
      <c r="CB55" s="20">
        <f t="shared" si="10"/>
        <v>450.17350463671522</v>
      </c>
      <c r="CC55" s="59">
        <f t="shared" si="11"/>
        <v>743.50683797004854</v>
      </c>
      <c r="CD55" s="59">
        <f ca="1">AVERAGE(OFFSET($CC$3,0,0,'Données projet'!$E$12+1,1))-AVERAGE(OFFSET($H$3,0,0,'Données projet'!$E$12+1,1))</f>
        <v>322.93502595881938</v>
      </c>
      <c r="CE55" s="59">
        <f t="shared" si="40"/>
        <v>302.67072119588164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9.0826576511721004</v>
      </c>
      <c r="CL55" s="21">
        <f>EXP(-LN(2)/25)*CL54+(1-EXP(-LN(2)/25))/(LN(2)/25)*Calculateur!CG55*Calculateur!CI55*VLOOKUP('Données projet'!$B$12,Paramètres!$A$1:$I$89,3,0)*0.475*44/12</f>
        <v>17.693479074196645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26.776136725368744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13.793846153846165</v>
      </c>
      <c r="N56" s="13">
        <f>IF('Données projet'!$A$36&gt;35,N55+M56-V55,IF(A56&lt;'Données projet'!$A$36,$K$205^A56,IF(A56='Données projet'!$A$36,'Données projet'!$B$36,N55+M56-V55)))</f>
        <v>386.81846153846158</v>
      </c>
      <c r="O56" s="13">
        <f>N56*VLOOKUP('Données projet'!$B$9,Paramètres!$A$1:$I$89,3,0)*VLOOKUP('Données projet'!$B$9,Paramètres!$A$1:$I$89,5,0)</f>
        <v>231.31744000000003</v>
      </c>
      <c r="P56" s="13">
        <f t="shared" si="33"/>
        <v>56.567448098598192</v>
      </c>
      <c r="Q56" s="20">
        <f t="shared" si="53"/>
        <v>501.39951343839198</v>
      </c>
      <c r="R56" s="59">
        <f t="shared" si="0"/>
        <v>794.73284677172524</v>
      </c>
      <c r="S56" s="59">
        <f ca="1">AVERAGE(OFFSET($R$3,0,0,'Données projet'!$E$9+1,1))-AVERAGE(OFFSET($H$3,0,0,'Données projet'!$E$9+1,1))</f>
        <v>278.21846622758881</v>
      </c>
      <c r="T56" s="59">
        <f t="shared" si="34"/>
        <v>245.37578316242906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38.265034377818473</v>
      </c>
      <c r="AA56" s="21">
        <f>EXP(-LN(2)/25)*AA55+(1-EXP(-LN(2)/25))/(LN(2)/25)*Calculateur!V56*Calculateur!X56*VLOOKUP('Données projet'!$B$9,Paramètres!$A$1:$I$89,3,0)*0.475*44/12</f>
        <v>11.696567992386353</v>
      </c>
      <c r="AB56" s="21">
        <f>EXP(-LN(2)/2)*AB55+(1-EXP(-LN(2)/2))/(LN(2)/2)*V56*Y56*VLOOKUP('Données projet'!$B$9,Paramètres!$A$1:$I$89,3,0)*0.475*44/12</f>
        <v>0.59042309949960281</v>
      </c>
      <c r="AC56" s="22">
        <f t="shared" si="3"/>
        <v>50.552025469704432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12.837499999999991</v>
      </c>
      <c r="AI56" s="13">
        <f>IF('Données projet'!$A$62&gt;35,AI55+AH56-AQ55,IF(A56&lt;'Données projet'!$A$62,$AF$205^A56,IF(A56='Données projet'!$A$62,'Données projet'!$B$62,AI55+AH56-AQ55)))</f>
        <v>407.96442307692286</v>
      </c>
      <c r="AJ56" s="13">
        <f>AI56*VLOOKUP('Données projet'!$B$10,Paramètres!$A$1:$I$89,3,0)*VLOOKUP('Données projet'!$B$10,Paramètres!$A$1:$I$89,5,0)</f>
        <v>243.96272499999989</v>
      </c>
      <c r="AK56" s="13">
        <f t="shared" si="35"/>
        <v>59.291315745845196</v>
      </c>
      <c r="AL56" s="20">
        <f t="shared" si="4"/>
        <v>528.16745429901346</v>
      </c>
      <c r="AM56" s="59">
        <f t="shared" si="5"/>
        <v>821.50078763234683</v>
      </c>
      <c r="AN56" s="59">
        <f ca="1">AVERAGE(OFFSET($AM$3,0,0,'Données projet'!$E$10+1,1))-AVERAGE(OFFSET($H$3,0,0,'Données projet'!$E$10+1,1))</f>
        <v>261.13725557061468</v>
      </c>
      <c r="AO56" s="59">
        <f t="shared" si="36"/>
        <v>328.18986868293558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54.419073668006384</v>
      </c>
      <c r="AV56" s="21">
        <f>EXP(-LN(2)/25)*AV55+(1-EXP(-LN(2)/25))/(LN(2)/25)*Calculateur!AQ56*Calculateur!AS56*VLOOKUP('Données projet'!$B$10,Paramètres!$A$1:$I$89,3,0)*0.475*44/12</f>
        <v>19.050156932184336</v>
      </c>
      <c r="AW56" s="21">
        <f>EXP(-LN(2)/2)*AW55+(1-EXP(-LN(2)/2))/(LN(2)/2)*AQ56*AT56*VLOOKUP('Données projet'!$B$10,Paramètres!$A$1:$I$89,3,0)*0.475*44/12</f>
        <v>1.4226766137157978</v>
      </c>
      <c r="AX56" s="21">
        <f t="shared" si="6"/>
        <v>74.891907213906507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6.3942307692307701</v>
      </c>
      <c r="BD56" s="12">
        <f>IF('Données projet'!$A$88&gt;35,BD55+BC56-BL55,IF(A56&lt;'Données projet'!$A$88,$BA$205^A56,IF(A56='Données projet'!$A$88,'Données projet'!$B$88,BD55+BC56-BL55)))</f>
        <v>120.89102564102561</v>
      </c>
      <c r="BE56" s="13">
        <f>BD56*VLOOKUP('Données projet'!$B$11,Paramètres!$A$1:$I$89,3,0)*VLOOKUP('Données projet'!$B$11,Paramètres!$A$1:$I$89,5,0)</f>
        <v>122.58349999999999</v>
      </c>
      <c r="BF56" s="13">
        <f t="shared" si="37"/>
        <v>32.276809219275542</v>
      </c>
      <c r="BG56" s="20">
        <f t="shared" si="7"/>
        <v>269.71503855690486</v>
      </c>
      <c r="BH56" s="59">
        <f t="shared" si="8"/>
        <v>563.04837189023817</v>
      </c>
      <c r="BI56" s="59">
        <f ca="1">AVERAGE(OFFSET($BH$3,0,0,'Données projet'!$E$11+1,1))-AVERAGE(OFFSET($H$3,0,0,'Données projet'!$E$11+1,1))</f>
        <v>250.31277422753283</v>
      </c>
      <c r="BJ56" s="59">
        <f t="shared" si="38"/>
        <v>159.20429420478047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6.6</v>
      </c>
      <c r="BY56" s="12">
        <f>IF('Données projet'!$A$114&gt;35,BY55+BX56-CG55,IF(A56&lt;'Données projet'!$A$114,$BV$205^A56,IF(A56='Données projet'!$A$114,'Données projet'!$B$114,BY55+BX56-CG55)))</f>
        <v>204.80000000000004</v>
      </c>
      <c r="BZ56" s="13">
        <f>BY56*VLOOKUP('Données projet'!$B$12,Paramètres!$A$1:$I$89,3,0)*VLOOKUP('Données projet'!$B$12,Paramètres!$A$1:$I$89,5,0)</f>
        <v>214.05696000000006</v>
      </c>
      <c r="CA56" s="13">
        <f t="shared" si="39"/>
        <v>52.821143827018723</v>
      </c>
      <c r="CB56" s="20">
        <f t="shared" si="10"/>
        <v>464.81269749872439</v>
      </c>
      <c r="CC56" s="59">
        <f t="shared" si="11"/>
        <v>758.1460308320577</v>
      </c>
      <c r="CD56" s="59">
        <f ca="1">AVERAGE(OFFSET($CC$3,0,0,'Données projet'!$E$12+1,1))-AVERAGE(OFFSET($H$3,0,0,'Données projet'!$E$12+1,1))</f>
        <v>322.93502595881938</v>
      </c>
      <c r="CE56" s="59">
        <f t="shared" si="40"/>
        <v>302.67072119588164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8.9045522745067665</v>
      </c>
      <c r="CL56" s="21">
        <f>EXP(-LN(2)/25)*CL55+(1-EXP(-LN(2)/25))/(LN(2)/25)*Calculateur!CG56*Calculateur!CI56*VLOOKUP('Données projet'!$B$12,Paramètres!$A$1:$I$89,3,0)*0.475*44/12</f>
        <v>17.209649958453113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26.11420223295988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13.793846153846165</v>
      </c>
      <c r="N57" s="13">
        <f>IF('Données projet'!$A$36&gt;35,N56+M57-V56,IF(A57&lt;'Données projet'!$A$36,$K$205^A57,IF(A57='Données projet'!$A$36,'Données projet'!$B$36,N56+M57-V56)))</f>
        <v>400.61230769230775</v>
      </c>
      <c r="O57" s="13">
        <f>N57*VLOOKUP('Données projet'!$B$9,Paramètres!$A$1:$I$89,3,0)*VLOOKUP('Données projet'!$B$9,Paramètres!$A$1:$I$89,5,0)</f>
        <v>239.56616000000005</v>
      </c>
      <c r="P57" s="13">
        <f t="shared" si="33"/>
        <v>58.346177865957287</v>
      </c>
      <c r="Q57" s="20">
        <f t="shared" si="53"/>
        <v>518.86398844987571</v>
      </c>
      <c r="R57" s="59">
        <f t="shared" si="0"/>
        <v>812.19732178320896</v>
      </c>
      <c r="S57" s="59">
        <f ca="1">AVERAGE(OFFSET($R$3,0,0,'Données projet'!$E$9+1,1))-AVERAGE(OFFSET($H$3,0,0,'Données projet'!$E$9+1,1))</f>
        <v>278.21846622758881</v>
      </c>
      <c r="T57" s="59">
        <f t="shared" si="34"/>
        <v>245.37578316242906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37.514680393035853</v>
      </c>
      <c r="AA57" s="21">
        <f>EXP(-LN(2)/25)*AA56+(1-EXP(-LN(2)/25))/(LN(2)/25)*Calculateur!V57*Calculateur!X57*VLOOKUP('Données projet'!$B$9,Paramètres!$A$1:$I$89,3,0)*0.475*44/12</f>
        <v>11.37672472553877</v>
      </c>
      <c r="AB57" s="21">
        <f>EXP(-LN(2)/2)*AB56+(1-EXP(-LN(2)/2))/(LN(2)/2)*V57*Y57*VLOOKUP('Données projet'!$B$9,Paramètres!$A$1:$I$89,3,0)*0.475*44/12</f>
        <v>0.41749217742534883</v>
      </c>
      <c r="AC57" s="22">
        <f t="shared" si="3"/>
        <v>49.308897295999977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12.837499999999991</v>
      </c>
      <c r="AI57" s="13">
        <f>IF('Données projet'!$A$62&gt;35,AI56+AH57-AQ56,IF(A57&lt;'Données projet'!$A$62,$AF$205^A57,IF(A57='Données projet'!$A$62,'Données projet'!$B$62,AI56+AH57-AQ56)))</f>
        <v>420.80192307692283</v>
      </c>
      <c r="AJ57" s="13">
        <f>AI57*VLOOKUP('Données projet'!$B$10,Paramètres!$A$1:$I$89,3,0)*VLOOKUP('Données projet'!$B$10,Paramètres!$A$1:$I$89,5,0)</f>
        <v>251.63954999999987</v>
      </c>
      <c r="AK57" s="13">
        <f t="shared" si="35"/>
        <v>60.936892129812627</v>
      </c>
      <c r="AL57" s="20">
        <f t="shared" si="4"/>
        <v>544.40397004275667</v>
      </c>
      <c r="AM57" s="59">
        <f t="shared" si="5"/>
        <v>837.73730337609004</v>
      </c>
      <c r="AN57" s="59">
        <f ca="1">AVERAGE(OFFSET($AM$3,0,0,'Données projet'!$E$10+1,1))-AVERAGE(OFFSET($H$3,0,0,'Données projet'!$E$10+1,1))</f>
        <v>261.13725557061468</v>
      </c>
      <c r="AO57" s="59">
        <f t="shared" si="36"/>
        <v>328.18986868293558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53.35194882573424</v>
      </c>
      <c r="AV57" s="21">
        <f>EXP(-LN(2)/25)*AV56+(1-EXP(-LN(2)/25))/(LN(2)/25)*Calculateur!AQ57*Calculateur!AS57*VLOOKUP('Données projet'!$B$10,Paramètres!$A$1:$I$89,3,0)*0.475*44/12</f>
        <v>18.529229389069542</v>
      </c>
      <c r="AW57" s="21">
        <f>EXP(-LN(2)/2)*AW56+(1-EXP(-LN(2)/2))/(LN(2)/2)*AQ57*AT57*VLOOKUP('Données projet'!$B$10,Paramètres!$A$1:$I$89,3,0)*0.475*44/12</f>
        <v>1.005984280993955</v>
      </c>
      <c r="AX57" s="21">
        <f t="shared" si="6"/>
        <v>72.887162495797739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6.3942307692307701</v>
      </c>
      <c r="BD57" s="12">
        <f>IF('Données projet'!$A$88&gt;35,BD56+BC57-BL56,IF(A57&lt;'Données projet'!$A$88,$BA$205^A57,IF(A57='Données projet'!$A$88,'Données projet'!$B$88,BD56+BC57-BL56)))</f>
        <v>127.28525641025638</v>
      </c>
      <c r="BE57" s="13">
        <f>BD57*VLOOKUP('Données projet'!$B$11,Paramètres!$A$1:$I$89,3,0)*VLOOKUP('Données projet'!$B$11,Paramètres!$A$1:$I$89,5,0)</f>
        <v>129.06724999999997</v>
      </c>
      <c r="BF57" s="13">
        <f t="shared" si="37"/>
        <v>33.780737949764791</v>
      </c>
      <c r="BG57" s="20">
        <f t="shared" si="7"/>
        <v>283.62691234584025</v>
      </c>
      <c r="BH57" s="59">
        <f t="shared" si="8"/>
        <v>576.96024567917357</v>
      </c>
      <c r="BI57" s="59">
        <f ca="1">AVERAGE(OFFSET($BH$3,0,0,'Données projet'!$E$11+1,1))-AVERAGE(OFFSET($H$3,0,0,'Données projet'!$E$11+1,1))</f>
        <v>250.31277422753283</v>
      </c>
      <c r="BJ57" s="59">
        <f t="shared" si="38"/>
        <v>159.20429420478047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6.6</v>
      </c>
      <c r="BY57" s="12">
        <f>IF('Données projet'!$A$114&gt;35,BY56+BX57-CG56,IF(A57&lt;'Données projet'!$A$114,$BV$205^A57,IF(A57='Données projet'!$A$114,'Données projet'!$B$114,BY56+BX57-CG56)))</f>
        <v>211.40000000000003</v>
      </c>
      <c r="BZ57" s="13">
        <f>BY57*VLOOKUP('Données projet'!$B$12,Paramètres!$A$1:$I$89,3,0)*VLOOKUP('Données projet'!$B$12,Paramètres!$A$1:$I$89,5,0)</f>
        <v>220.95528000000007</v>
      </c>
      <c r="CA57" s="13">
        <f t="shared" si="39"/>
        <v>54.322458723287411</v>
      </c>
      <c r="CB57" s="20">
        <f t="shared" si="10"/>
        <v>479.44206160972567</v>
      </c>
      <c r="CC57" s="59">
        <f t="shared" si="11"/>
        <v>772.77539494305893</v>
      </c>
      <c r="CD57" s="59">
        <f ca="1">AVERAGE(OFFSET($CC$3,0,0,'Données projet'!$E$12+1,1))-AVERAGE(OFFSET($H$3,0,0,'Données projet'!$E$12+1,1))</f>
        <v>322.93502595881938</v>
      </c>
      <c r="CE57" s="59">
        <f t="shared" si="40"/>
        <v>302.67072119588164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8.729939435644285</v>
      </c>
      <c r="CL57" s="21">
        <f>EXP(-LN(2)/25)*CL56+(1-EXP(-LN(2)/25))/(LN(2)/25)*Calculateur!CG57*Calculateur!CI57*VLOOKUP('Données projet'!$B$12,Paramètres!$A$1:$I$89,3,0)*0.475*44/12</f>
        <v>16.739051175323056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25.468990610967339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13.793846153846165</v>
      </c>
      <c r="N58" s="13">
        <f>IF('Données projet'!$A$36&gt;35,N57+M58-V57,IF(A58&lt;'Données projet'!$A$36,$K$205^A58,IF(A58='Données projet'!$A$36,'Données projet'!$B$36,N57+M58-V57)))</f>
        <v>414.40615384615393</v>
      </c>
      <c r="O58" s="13">
        <f>N58*VLOOKUP('Données projet'!$B$9,Paramètres!$A$1:$I$89,3,0)*VLOOKUP('Données projet'!$B$9,Paramètres!$A$1:$I$89,5,0)</f>
        <v>247.81488000000007</v>
      </c>
      <c r="P58" s="13">
        <f t="shared" si="33"/>
        <v>60.117791489820576</v>
      </c>
      <c r="Q58" s="20">
        <f t="shared" si="53"/>
        <v>536.3160695114376</v>
      </c>
      <c r="R58" s="59">
        <f t="shared" si="0"/>
        <v>829.64940284477098</v>
      </c>
      <c r="S58" s="59">
        <f ca="1">AVERAGE(OFFSET($R$3,0,0,'Données projet'!$E$9+1,1))-AVERAGE(OFFSET($H$3,0,0,'Données projet'!$E$9+1,1))</f>
        <v>278.21846622758881</v>
      </c>
      <c r="T58" s="59">
        <f t="shared" si="34"/>
        <v>245.37578316242906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36.779040392224083</v>
      </c>
      <c r="AA58" s="21">
        <f>EXP(-LN(2)/25)*AA57+(1-EXP(-LN(2)/25))/(LN(2)/25)*Calculateur!V58*Calculateur!X58*VLOOKUP('Données projet'!$B$9,Paramètres!$A$1:$I$89,3,0)*0.475*44/12</f>
        <v>11.065627589642961</v>
      </c>
      <c r="AB58" s="21">
        <f>EXP(-LN(2)/2)*AB57+(1-EXP(-LN(2)/2))/(LN(2)/2)*V58*Y58*VLOOKUP('Données projet'!$B$9,Paramètres!$A$1:$I$89,3,0)*0.475*44/12</f>
        <v>0.29521154974980141</v>
      </c>
      <c r="AC58" s="22">
        <f t="shared" si="3"/>
        <v>48.139879531616849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12.837499999999991</v>
      </c>
      <c r="AI58" s="13">
        <f>IF('Données projet'!$A$62&gt;35,AI57+AH58-AQ57,IF(A58&lt;'Données projet'!$A$62,$AF$205^A58,IF(A58='Données projet'!$A$62,'Données projet'!$B$62,AI57+AH58-AQ57)))</f>
        <v>433.63942307692281</v>
      </c>
      <c r="AJ58" s="13">
        <f>AI58*VLOOKUP('Données projet'!$B$10,Paramètres!$A$1:$I$89,3,0)*VLOOKUP('Données projet'!$B$10,Paramètres!$A$1:$I$89,5,0)</f>
        <v>259.31637499999988</v>
      </c>
      <c r="AK58" s="13">
        <f t="shared" si="35"/>
        <v>62.576634410968637</v>
      </c>
      <c r="AL58" s="20">
        <f t="shared" si="4"/>
        <v>560.63032472410339</v>
      </c>
      <c r="AM58" s="59">
        <f t="shared" si="5"/>
        <v>853.96365805743676</v>
      </c>
      <c r="AN58" s="59">
        <f ca="1">AVERAGE(OFFSET($AM$3,0,0,'Données projet'!$E$10+1,1))-AVERAGE(OFFSET($H$3,0,0,'Données projet'!$E$10+1,1))</f>
        <v>261.13725557061468</v>
      </c>
      <c r="AO58" s="59">
        <f t="shared" si="36"/>
        <v>328.18986868293558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52.30574965073717</v>
      </c>
      <c r="AV58" s="21">
        <f>EXP(-LN(2)/25)*AV57+(1-EXP(-LN(2)/25))/(LN(2)/25)*Calculateur!AQ58*Calculateur!AS58*VLOOKUP('Données projet'!$B$10,Paramètres!$A$1:$I$89,3,0)*0.475*44/12</f>
        <v>18.022546637015612</v>
      </c>
      <c r="AW58" s="21">
        <f>EXP(-LN(2)/2)*AW57+(1-EXP(-LN(2)/2))/(LN(2)/2)*AQ58*AT58*VLOOKUP('Données projet'!$B$10,Paramètres!$A$1:$I$89,3,0)*0.475*44/12</f>
        <v>0.71133830685789889</v>
      </c>
      <c r="AX58" s="21">
        <f t="shared" si="6"/>
        <v>71.039634594610675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6.3942307692307701</v>
      </c>
      <c r="BD58" s="12">
        <f>IF('Données projet'!$A$88&gt;35,BD57+BC58-BL57,IF(A58&lt;'Données projet'!$A$88,$BA$205^A58,IF(A58='Données projet'!$A$88,'Données projet'!$B$88,BD57+BC58-BL57)))</f>
        <v>133.67948717948715</v>
      </c>
      <c r="BE58" s="13">
        <f>BD58*VLOOKUP('Données projet'!$B$11,Paramètres!$A$1:$I$89,3,0)*VLOOKUP('Données projet'!$B$11,Paramètres!$A$1:$I$89,5,0)</f>
        <v>135.55099999999999</v>
      </c>
      <c r="BF58" s="13">
        <f t="shared" si="37"/>
        <v>35.275894365560525</v>
      </c>
      <c r="BG58" s="20">
        <f t="shared" si="7"/>
        <v>297.52350768668458</v>
      </c>
      <c r="BH58" s="59">
        <f t="shared" si="8"/>
        <v>590.8568410200179</v>
      </c>
      <c r="BI58" s="59">
        <f ca="1">AVERAGE(OFFSET($BH$3,0,0,'Données projet'!$E$11+1,1))-AVERAGE(OFFSET($H$3,0,0,'Données projet'!$E$11+1,1))</f>
        <v>250.31277422753283</v>
      </c>
      <c r="BJ58" s="59">
        <f t="shared" si="38"/>
        <v>159.20429420478047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218</v>
      </c>
      <c r="BW58" s="12">
        <f>VLOOKUP(A58,'Données projet'!$A$113:$I$133,9,0)</f>
        <v>6.6</v>
      </c>
      <c r="BX58" s="12">
        <f t="array" ref="BX58">INDEX(BW:BW,MIN(IF(ISNUMBER(BW58:BW254),ROW(BW58:BW254),"")))</f>
        <v>6.6</v>
      </c>
      <c r="BY58" s="12">
        <f>IF('Données projet'!$A$114&gt;35,BY57+BX58-CG57,IF(A58&lt;'Données projet'!$A$114,$BV$205^A58,IF(A58='Données projet'!$A$114,'Données projet'!$B$114,BY57+BX58-CG57)))</f>
        <v>218.00000000000003</v>
      </c>
      <c r="BZ58" s="13">
        <f>BY58*VLOOKUP('Données projet'!$B$12,Paramètres!$A$1:$I$89,3,0)*VLOOKUP('Données projet'!$B$12,Paramètres!$A$1:$I$89,5,0)</f>
        <v>227.85360000000006</v>
      </c>
      <c r="CA58" s="13">
        <f t="shared" si="39"/>
        <v>55.818326719749848</v>
      </c>
      <c r="CB58" s="20">
        <f t="shared" si="10"/>
        <v>494.06193903689768</v>
      </c>
      <c r="CC58" s="59">
        <f t="shared" si="11"/>
        <v>787.39527237023094</v>
      </c>
      <c r="CD58" s="59">
        <f ca="1">AVERAGE(OFFSET($CC$3,0,0,'Données projet'!$E$12+1,1))-AVERAGE(OFFSET($H$3,0,0,'Données projet'!$E$12+1,1))</f>
        <v>322.93502595881938</v>
      </c>
      <c r="CE58" s="59">
        <f t="shared" si="40"/>
        <v>302.67072119588164</v>
      </c>
      <c r="CF58" s="15">
        <f>IF(ISNA(VLOOKUP(A58,'Données projet'!$A$113:$I$133,3,0)),0,VLOOKUP(A58,'Données projet'!$A$113:$I$133,3,0))</f>
        <v>8</v>
      </c>
      <c r="CG58" s="15" t="str">
        <f>IF(ISNA(VLOOKUP(A58,'Données projet'!$A$113:$I$133,4,0)),0,VLOOKUP(A58,'Données projet'!$A$113:$I$133,4,0))</f>
        <v>23</v>
      </c>
      <c r="CH58" s="16">
        <f>IF(ISNA(VLOOKUP(A58,'Données projet'!$A$113:$I$133,5,0)),0%,VLOOKUP(A58,'Données projet'!$A$113:$I$133,5,0)*VLOOKUP('Données projet'!$B$12,Paramètres!$A$1:$I$89,7,0))</f>
        <v>0.17200000000000001</v>
      </c>
      <c r="CI58" s="16">
        <f>IF(ISNA(VLOOKUP(A58,'Données projet'!$A$113:$I$133,6,0)),0%,VLOOKUP(A58,'Données projet'!$A$113:$I$133,6,0)*VLOOKUP('Données projet'!$B$12,Paramètres!$A$1:$I$89,7,0))</f>
        <v>0.17200000000000001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13.129661954609677</v>
      </c>
      <c r="CL58" s="21">
        <f>EXP(-LN(2)/25)*CL57+(1-EXP(-LN(2)/25))/(LN(2)/25)*Calculateur!CG58*Calculateur!CI58*VLOOKUP('Données projet'!$B$12,Paramètres!$A$1:$I$89,3,0)*0.475*44/12</f>
        <v>20.834234827758813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33.963896782368494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428.20000000000005</v>
      </c>
      <c r="L59" s="12">
        <f>VLOOKUP(A59,'Données projet'!$A$35:$I$55,9,0)</f>
        <v>13.793846153846165</v>
      </c>
      <c r="M59" s="12">
        <f t="array" ref="M59">INDEX(L:L,MIN(IF(ISNUMBER(L59:L255),ROW(L59:L255),"")))</f>
        <v>13.793846153846165</v>
      </c>
      <c r="N59" s="13">
        <f>IF('Données projet'!$A$36&gt;35,N58+M59-V58,IF(A59&lt;'Données projet'!$A$36,$K$205^A59,IF(A59='Données projet'!$A$36,'Données projet'!$B$36,N58+M59-V58)))</f>
        <v>428.2000000000001</v>
      </c>
      <c r="O59" s="13">
        <f>N59*VLOOKUP('Données projet'!$B$9,Paramètres!$A$1:$I$89,3,0)*VLOOKUP('Données projet'!$B$9,Paramètres!$A$1:$I$89,5,0)</f>
        <v>256.06360000000012</v>
      </c>
      <c r="P59" s="13">
        <f t="shared" si="33"/>
        <v>61.882552995500411</v>
      </c>
      <c r="Q59" s="20">
        <f t="shared" si="53"/>
        <v>553.75621646716343</v>
      </c>
      <c r="R59" s="59">
        <f t="shared" si="0"/>
        <v>847.0895498004968</v>
      </c>
      <c r="S59" s="59">
        <f ca="1">AVERAGE(OFFSET($R$3,0,0,'Données projet'!$E$9+1,1))-AVERAGE(OFFSET($H$3,0,0,'Données projet'!$E$9+1,1))</f>
        <v>278.21846622758881</v>
      </c>
      <c r="T59" s="59">
        <f t="shared" si="34"/>
        <v>245.37578316242906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60.092307692307692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51.073988934152091</v>
      </c>
      <c r="AA59" s="21">
        <f>EXP(-LN(2)/25)*AA58+(1-EXP(-LN(2)/25))/(LN(2)/25)*Calculateur!V59*Calculateur!X59*VLOOKUP('Données projet'!$B$9,Paramètres!$A$1:$I$89,3,0)*0.475*44/12</f>
        <v>14.352726717765847</v>
      </c>
      <c r="AB59" s="21">
        <f>EXP(-LN(2)/2)*AB58+(1-EXP(-LN(2)/2))/(LN(2)/2)*V59*Y59*VLOOKUP('Données projet'!$B$9,Paramètres!$A$1:$I$89,3,0)*0.475*44/12</f>
        <v>5.5794293043783174</v>
      </c>
      <c r="AC59" s="22">
        <f t="shared" si="3"/>
        <v>71.006144956296254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446.47692307692301</v>
      </c>
      <c r="AG59" s="12">
        <f>VLOOKUP(A59,'Données projet'!$A$61:$I$81,9,0)</f>
        <v>12.837499999999991</v>
      </c>
      <c r="AH59" s="12">
        <f t="array" ref="AH59">INDEX(AG:AG,MIN(IF(ISNUMBER(AG59:AG255),ROW(AG59:AG255),"")))</f>
        <v>12.837499999999991</v>
      </c>
      <c r="AI59" s="13">
        <f>IF('Données projet'!$A$62&gt;35,AI58+AH59-AQ58,IF(A59&lt;'Données projet'!$A$62,$AF$205^A59,IF(A59='Données projet'!$A$62,'Données projet'!$B$62,AI58+AH59-AQ58)))</f>
        <v>446.47692307692279</v>
      </c>
      <c r="AJ59" s="13">
        <f>AI59*VLOOKUP('Données projet'!$B$10,Paramètres!$A$1:$I$89,3,0)*VLOOKUP('Données projet'!$B$10,Paramètres!$A$1:$I$89,5,0)</f>
        <v>266.99319999999983</v>
      </c>
      <c r="AK59" s="13">
        <f t="shared" si="35"/>
        <v>64.210735131625498</v>
      </c>
      <c r="AL59" s="20">
        <f t="shared" si="4"/>
        <v>576.84685368758073</v>
      </c>
      <c r="AM59" s="59">
        <f t="shared" si="5"/>
        <v>870.18018702091399</v>
      </c>
      <c r="AN59" s="59">
        <f ca="1">AVERAGE(OFFSET($AM$3,0,0,'Données projet'!$E$10+1,1))-AVERAGE(OFFSET($H$3,0,0,'Données projet'!$E$10+1,1))</f>
        <v>261.13725557061468</v>
      </c>
      <c r="AO59" s="59">
        <f t="shared" si="36"/>
        <v>328.18986868293558</v>
      </c>
      <c r="AP59" s="15">
        <f>IF(ISNA(VLOOKUP(A59,'Données projet'!$A$61:$I$81,3,0)),0,VLOOKUP(A59,'Données projet'!$A$61:$I$81,3,0))</f>
        <v>7</v>
      </c>
      <c r="AQ59" s="15">
        <f>IF(ISNA(VLOOKUP(A59,'Données projet'!$A$61:$I$81,4,0)),0,VLOOKUP(A59,'Données projet'!$A$61:$I$81,4,0))</f>
        <v>446.47692307692301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162.84792782712228</v>
      </c>
      <c r="AV59" s="21">
        <f>EXP(-LN(2)/25)*AV58+(1-EXP(-LN(2)/25))/(LN(2)/25)*Calculateur!AQ59*Calculateur!AS59*VLOOKUP('Données projet'!$B$10,Paramètres!$A$1:$I$89,3,0)*0.475*44/12</f>
        <v>44.200577593110729</v>
      </c>
      <c r="AW59" s="21">
        <f>EXP(-LN(2)/2)*AW58+(1-EXP(-LN(2)/2))/(LN(2)/2)*AQ59*AT59*VLOOKUP('Données projet'!$B$10,Paramètres!$A$1:$I$89,3,0)*0.475*44/12</f>
        <v>40.406370942809481</v>
      </c>
      <c r="AX59" s="21">
        <f t="shared" si="6"/>
        <v>247.45487636304247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6.3942307692307701</v>
      </c>
      <c r="BD59" s="12">
        <f>IF('Données projet'!$A$88&gt;35,BD58+BC59-BL58,IF(A59&lt;'Données projet'!$A$88,$BA$205^A59,IF(A59='Données projet'!$A$88,'Données projet'!$B$88,BD58+BC59-BL58)))</f>
        <v>140.07371794871793</v>
      </c>
      <c r="BE59" s="13">
        <f>BD59*VLOOKUP('Données projet'!$B$11,Paramètres!$A$1:$I$89,3,0)*VLOOKUP('Données projet'!$B$11,Paramètres!$A$1:$I$89,5,0)</f>
        <v>142.03474999999997</v>
      </c>
      <c r="BF59" s="13">
        <f t="shared" si="37"/>
        <v>36.762745973606584</v>
      </c>
      <c r="BG59" s="20">
        <f t="shared" si="7"/>
        <v>311.40563882069802</v>
      </c>
      <c r="BH59" s="59">
        <f t="shared" si="8"/>
        <v>604.73897215403133</v>
      </c>
      <c r="BI59" s="59">
        <f ca="1">AVERAGE(OFFSET($BH$3,0,0,'Données projet'!$E$11+1,1))-AVERAGE(OFFSET($H$3,0,0,'Données projet'!$E$11+1,1))</f>
        <v>250.31277422753283</v>
      </c>
      <c r="BJ59" s="59">
        <f t="shared" si="38"/>
        <v>159.20429420478047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</v>
      </c>
      <c r="BY59" s="12">
        <f>IF('Données projet'!$A$114&gt;35,BY58+BX59-CG58,IF(A59&lt;'Données projet'!$A$114,$BV$205^A59,IF(A59='Données projet'!$A$114,'Données projet'!$B$114,BY58+BX59-CG58)))</f>
        <v>201.00000000000003</v>
      </c>
      <c r="BZ59" s="13">
        <f>BY59*VLOOKUP('Données projet'!$B$12,Paramètres!$A$1:$I$89,3,0)*VLOOKUP('Données projet'!$B$12,Paramètres!$A$1:$I$89,5,0)</f>
        <v>210.08520000000004</v>
      </c>
      <c r="CA59" s="13">
        <f t="shared" si="39"/>
        <v>51.954203602341138</v>
      </c>
      <c r="CB59" s="20">
        <f t="shared" si="10"/>
        <v>456.38529460741091</v>
      </c>
      <c r="CC59" s="59">
        <f t="shared" si="11"/>
        <v>749.71862794074423</v>
      </c>
      <c r="CD59" s="59">
        <f ca="1">AVERAGE(OFFSET($CC$3,0,0,'Données projet'!$E$12+1,1))-AVERAGE(OFFSET($H$3,0,0,'Données projet'!$E$12+1,1))</f>
        <v>322.93502595881938</v>
      </c>
      <c r="CE59" s="59">
        <f t="shared" si="40"/>
        <v>302.67072119588164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12.87219729198282</v>
      </c>
      <c r="CL59" s="21">
        <f>EXP(-LN(2)/25)*CL58+(1-EXP(-LN(2)/25))/(LN(2)/25)*Calculateur!CG59*Calculateur!CI59*VLOOKUP('Données projet'!$B$12,Paramètres!$A$1:$I$89,3,0)*0.475*44/12</f>
        <v>20.264521580768957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33.136718872751779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12.05461538461538</v>
      </c>
      <c r="N60" s="13">
        <f>IF('Données projet'!$A$36&gt;35,N59+M60-V59,IF(A60&lt;'Données projet'!$A$36,$K$205^A60,IF(A60='Données projet'!$A$36,'Données projet'!$B$36,N59+M60-V59)))</f>
        <v>380.16230769230776</v>
      </c>
      <c r="O60" s="13">
        <f>N60*VLOOKUP('Données projet'!$B$9,Paramètres!$A$1:$I$89,3,0)*VLOOKUP('Données projet'!$B$9,Paramètres!$A$1:$I$89,5,0)</f>
        <v>227.33706000000004</v>
      </c>
      <c r="P60" s="13">
        <f t="shared" si="33"/>
        <v>55.70650197157245</v>
      </c>
      <c r="Q60" s="20">
        <f t="shared" si="53"/>
        <v>492.9675371004887</v>
      </c>
      <c r="R60" s="59">
        <f t="shared" si="0"/>
        <v>786.30087043382196</v>
      </c>
      <c r="S60" s="59">
        <f ca="1">AVERAGE(OFFSET($R$3,0,0,'Données projet'!$E$9+1,1))-AVERAGE(OFFSET($H$3,0,0,'Données projet'!$E$9+1,1))</f>
        <v>278.21846622758881</v>
      </c>
      <c r="T60" s="59">
        <f t="shared" si="34"/>
        <v>245.37578316242906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50.07245916321061</v>
      </c>
      <c r="AA60" s="21">
        <f>EXP(-LN(2)/25)*AA59+(1-EXP(-LN(2)/25))/(LN(2)/25)*Calculateur!V60*Calculateur!X60*VLOOKUP('Données projet'!$B$9,Paramètres!$A$1:$I$89,3,0)*0.475*44/12</f>
        <v>13.960250650891446</v>
      </c>
      <c r="AB60" s="21">
        <f>EXP(-LN(2)/2)*AB59+(1-EXP(-LN(2)/2))/(LN(2)/2)*V60*Y60*VLOOKUP('Données projet'!$B$9,Paramètres!$A$1:$I$89,3,0)*0.475*44/12</f>
        <v>3.9452522962768501</v>
      </c>
      <c r="AC60" s="22">
        <f t="shared" si="3"/>
        <v>67.977962110378897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-2.2737367544323206E-13</v>
      </c>
      <c r="AJ60" s="13">
        <f>AI60*VLOOKUP('Données projet'!$B$10,Paramètres!$A$1:$I$89,3,0)*VLOOKUP('Données projet'!$B$10,Paramètres!$A$1:$I$89,5,0)</f>
        <v>-1.3596945791505279E-13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261.13725557061468</v>
      </c>
      <c r="AO60" s="59">
        <f t="shared" si="36"/>
        <v>328.18986868293558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159.65457928986061</v>
      </c>
      <c r="AV60" s="21">
        <f>EXP(-LN(2)/25)*AV59+(1-EXP(-LN(2)/25))/(LN(2)/25)*Calculateur!AQ60*Calculateur!AS60*VLOOKUP('Données projet'!$B$10,Paramètres!$A$1:$I$89,3,0)*0.475*44/12</f>
        <v>42.991910474419761</v>
      </c>
      <c r="AW60" s="21">
        <f>EXP(-LN(2)/2)*AW59+(1-EXP(-LN(2)/2))/(LN(2)/2)*AQ60*AT60*VLOOKUP('Données projet'!$B$10,Paramètres!$A$1:$I$89,3,0)*0.475*44/12</f>
        <v>28.571618896799659</v>
      </c>
      <c r="AX60" s="21">
        <f t="shared" si="6"/>
        <v>231.21810866108004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6.3942307692307701</v>
      </c>
      <c r="BD60" s="12">
        <f>IF('Données projet'!$A$88&gt;35,BD59+BC60-BL59,IF(A60&lt;'Données projet'!$A$88,$BA$205^A60,IF(A60='Données projet'!$A$88,'Données projet'!$B$88,BD59+BC60-BL59)))</f>
        <v>146.4679487179487</v>
      </c>
      <c r="BE60" s="13">
        <f>BD60*VLOOKUP('Données projet'!$B$11,Paramètres!$A$1:$I$89,3,0)*VLOOKUP('Données projet'!$B$11,Paramètres!$A$1:$I$89,5,0)</f>
        <v>148.51850000000002</v>
      </c>
      <c r="BF60" s="13">
        <f t="shared" si="37"/>
        <v>38.241715185767696</v>
      </c>
      <c r="BG60" s="20">
        <f t="shared" si="7"/>
        <v>325.27404144854546</v>
      </c>
      <c r="BH60" s="59">
        <f t="shared" si="8"/>
        <v>618.60737478187878</v>
      </c>
      <c r="BI60" s="59">
        <f ca="1">AVERAGE(OFFSET($BH$3,0,0,'Données projet'!$E$11+1,1))-AVERAGE(OFFSET($H$3,0,0,'Données projet'!$E$11+1,1))</f>
        <v>250.31277422753283</v>
      </c>
      <c r="BJ60" s="59">
        <f t="shared" si="38"/>
        <v>159.20429420478047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</v>
      </c>
      <c r="BY60" s="12">
        <f>IF('Données projet'!$A$114&gt;35,BY59+BX60-CG59,IF(A60&lt;'Données projet'!$A$114,$BV$205^A60,IF(A60='Données projet'!$A$114,'Données projet'!$B$114,BY59+BX60-CG59)))</f>
        <v>207.00000000000003</v>
      </c>
      <c r="BZ60" s="13">
        <f>BY60*VLOOKUP('Données projet'!$B$12,Paramètres!$A$1:$I$89,3,0)*VLOOKUP('Données projet'!$B$12,Paramètres!$A$1:$I$89,5,0)</f>
        <v>216.35640000000004</v>
      </c>
      <c r="CA60" s="13">
        <f t="shared" si="39"/>
        <v>53.322199188237285</v>
      </c>
      <c r="CB60" s="20">
        <f t="shared" si="10"/>
        <v>469.69022691951341</v>
      </c>
      <c r="CC60" s="59">
        <f t="shared" si="11"/>
        <v>763.02356025284666</v>
      </c>
      <c r="CD60" s="59">
        <f ca="1">AVERAGE(OFFSET($CC$3,0,0,'Données projet'!$E$12+1,1))-AVERAGE(OFFSET($H$3,0,0,'Données projet'!$E$12+1,1))</f>
        <v>322.93502595881938</v>
      </c>
      <c r="CE60" s="59">
        <f t="shared" si="40"/>
        <v>302.67072119588164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12.619781354352137</v>
      </c>
      <c r="CL60" s="21">
        <f>EXP(-LN(2)/25)*CL59+(1-EXP(-LN(2)/25))/(LN(2)/25)*Calculateur!CG60*Calculateur!CI60*VLOOKUP('Données projet'!$B$12,Paramètres!$A$1:$I$89,3,0)*0.475*44/12</f>
        <v>19.710387172477954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32.330168526830093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12.05461538461538</v>
      </c>
      <c r="N61" s="13">
        <f>IF('Données projet'!$A$36&gt;35,N60+M61-V60,IF(A61&lt;'Données projet'!$A$36,$K$205^A61,IF(A61='Données projet'!$A$36,'Données projet'!$B$36,N60+M61-V60)))</f>
        <v>392.21692307692314</v>
      </c>
      <c r="O61" s="13">
        <f>N61*VLOOKUP('Données projet'!$B$9,Paramètres!$A$1:$I$89,3,0)*VLOOKUP('Données projet'!$B$9,Paramètres!$A$1:$I$89,5,0)</f>
        <v>234.54572000000007</v>
      </c>
      <c r="P61" s="13">
        <f t="shared" si="33"/>
        <v>57.264450118616011</v>
      </c>
      <c r="Q61" s="20">
        <f t="shared" si="53"/>
        <v>508.23604628992302</v>
      </c>
      <c r="R61" s="59">
        <f t="shared" si="0"/>
        <v>801.56937962325628</v>
      </c>
      <c r="S61" s="59">
        <f ca="1">AVERAGE(OFFSET($R$3,0,0,'Données projet'!$E$9+1,1))-AVERAGE(OFFSET($H$3,0,0,'Données projet'!$E$9+1,1))</f>
        <v>278.21846622758881</v>
      </c>
      <c r="T61" s="59">
        <f t="shared" si="34"/>
        <v>245.37578316242906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49.09056878020445</v>
      </c>
      <c r="AA61" s="21">
        <f>EXP(-LN(2)/25)*AA60+(1-EXP(-LN(2)/25))/(LN(2)/25)*Calculateur!V61*Calculateur!X61*VLOOKUP('Données projet'!$B$9,Paramètres!$A$1:$I$89,3,0)*0.475*44/12</f>
        <v>13.578506862705144</v>
      </c>
      <c r="AB61" s="21">
        <f>EXP(-LN(2)/2)*AB60+(1-EXP(-LN(2)/2))/(LN(2)/2)*V61*Y61*VLOOKUP('Données projet'!$B$9,Paramètres!$A$1:$I$89,3,0)*0.475*44/12</f>
        <v>2.7897146521891591</v>
      </c>
      <c r="AC61" s="22">
        <f t="shared" si="3"/>
        <v>65.458790295098751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-2.2737367544323206E-13</v>
      </c>
      <c r="AJ61" s="13">
        <f>AI61*VLOOKUP('Données projet'!$B$10,Paramètres!$A$1:$I$89,3,0)*VLOOKUP('Données projet'!$B$10,Paramètres!$A$1:$I$89,5,0)</f>
        <v>-1.3596945791505279E-13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261.13725557061468</v>
      </c>
      <c r="AO61" s="59">
        <f t="shared" si="36"/>
        <v>328.18986868293558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156.52385036966436</v>
      </c>
      <c r="AV61" s="21">
        <f>EXP(-LN(2)/25)*AV60+(1-EXP(-LN(2)/25))/(LN(2)/25)*Calculateur!AQ61*Calculateur!AS61*VLOOKUP('Données projet'!$B$10,Paramètres!$A$1:$I$89,3,0)*0.475*44/12</f>
        <v>41.81629442165044</v>
      </c>
      <c r="AW61" s="21">
        <f>EXP(-LN(2)/2)*AW60+(1-EXP(-LN(2)/2))/(LN(2)/2)*AQ61*AT61*VLOOKUP('Données projet'!$B$10,Paramètres!$A$1:$I$89,3,0)*0.475*44/12</f>
        <v>20.203185471404744</v>
      </c>
      <c r="AX61" s="21">
        <f t="shared" si="6"/>
        <v>218.54333026271954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6.3942307692307701</v>
      </c>
      <c r="BD61" s="12">
        <f>IF('Données projet'!$A$88&gt;35,BD60+BC61-BL60,IF(A61&lt;'Données projet'!$A$88,$BA$205^A61,IF(A61='Données projet'!$A$88,'Données projet'!$B$88,BD60+BC61-BL60)))</f>
        <v>152.86217948717947</v>
      </c>
      <c r="BE61" s="13">
        <f>BD61*VLOOKUP('Données projet'!$B$11,Paramètres!$A$1:$I$89,3,0)*VLOOKUP('Données projet'!$B$11,Paramètres!$A$1:$I$89,5,0)</f>
        <v>155.00225</v>
      </c>
      <c r="BF61" s="13">
        <f t="shared" si="37"/>
        <v>39.713185446553709</v>
      </c>
      <c r="BG61" s="20">
        <f t="shared" si="7"/>
        <v>339.12938340274769</v>
      </c>
      <c r="BH61" s="59">
        <f t="shared" si="8"/>
        <v>632.46271673608101</v>
      </c>
      <c r="BI61" s="59">
        <f ca="1">AVERAGE(OFFSET($BH$3,0,0,'Données projet'!$E$11+1,1))-AVERAGE(OFFSET($H$3,0,0,'Données projet'!$E$11+1,1))</f>
        <v>250.31277422753283</v>
      </c>
      <c r="BJ61" s="59">
        <f t="shared" si="38"/>
        <v>159.20429420478047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</v>
      </c>
      <c r="BY61" s="12">
        <f>IF('Données projet'!$A$114&gt;35,BY60+BX61-CG60,IF(A61&lt;'Données projet'!$A$114,$BV$205^A61,IF(A61='Données projet'!$A$114,'Données projet'!$B$114,BY60+BX61-CG60)))</f>
        <v>213.00000000000003</v>
      </c>
      <c r="BZ61" s="13">
        <f>BY61*VLOOKUP('Données projet'!$B$12,Paramètres!$A$1:$I$89,3,0)*VLOOKUP('Données projet'!$B$12,Paramètres!$A$1:$I$89,5,0)</f>
        <v>222.62760000000006</v>
      </c>
      <c r="CA61" s="13">
        <f t="shared" si="39"/>
        <v>54.685586371535265</v>
      </c>
      <c r="CB61" s="20">
        <f t="shared" si="10"/>
        <v>482.98713293042402</v>
      </c>
      <c r="CC61" s="59">
        <f t="shared" si="11"/>
        <v>776.32046626375734</v>
      </c>
      <c r="CD61" s="59">
        <f ca="1">AVERAGE(OFFSET($CC$3,0,0,'Données projet'!$E$12+1,1))-AVERAGE(OFFSET($H$3,0,0,'Données projet'!$E$12+1,1))</f>
        <v>322.93502595881938</v>
      </c>
      <c r="CE61" s="59">
        <f t="shared" si="40"/>
        <v>302.67072119588164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12.372315139299872</v>
      </c>
      <c r="CL61" s="21">
        <f>EXP(-LN(2)/25)*CL60+(1-EXP(-LN(2)/25))/(LN(2)/25)*Calculateur!CG61*Calculateur!CI61*VLOOKUP('Données projet'!$B$12,Paramètres!$A$1:$I$89,3,0)*0.475*44/12</f>
        <v>19.17140559872233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31.543720738022202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12.05461538461538</v>
      </c>
      <c r="N62" s="13">
        <f>IF('Données projet'!$A$36&gt;35,N61+M62-V61,IF(A62&lt;'Données projet'!$A$36,$K$205^A62,IF(A62='Données projet'!$A$36,'Données projet'!$B$36,N61+M62-V61)))</f>
        <v>404.27153846153851</v>
      </c>
      <c r="O62" s="13">
        <f>N62*VLOOKUP('Données projet'!$B$9,Paramètres!$A$1:$I$89,3,0)*VLOOKUP('Données projet'!$B$9,Paramètres!$A$1:$I$89,5,0)</f>
        <v>241.75438000000005</v>
      </c>
      <c r="P62" s="13">
        <f t="shared" si="33"/>
        <v>58.816833733689712</v>
      </c>
      <c r="Q62" s="20">
        <f t="shared" si="53"/>
        <v>523.49486391950961</v>
      </c>
      <c r="R62" s="59">
        <f t="shared" si="0"/>
        <v>816.82819725284298</v>
      </c>
      <c r="S62" s="59">
        <f ca="1">AVERAGE(OFFSET($R$3,0,0,'Données projet'!$E$9+1,1))-AVERAGE(OFFSET($H$3,0,0,'Données projet'!$E$9+1,1))</f>
        <v>278.21846622758881</v>
      </c>
      <c r="T62" s="59">
        <f t="shared" si="34"/>
        <v>245.37578316242906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48.12793266871504</v>
      </c>
      <c r="AA62" s="21">
        <f>EXP(-LN(2)/25)*AA61+(1-EXP(-LN(2)/25))/(LN(2)/25)*Calculateur!V62*Calculateur!X62*VLOOKUP('Données projet'!$B$9,Paramètres!$A$1:$I$89,3,0)*0.475*44/12</f>
        <v>13.207201878481829</v>
      </c>
      <c r="AB62" s="21">
        <f>EXP(-LN(2)/2)*AB61+(1-EXP(-LN(2)/2))/(LN(2)/2)*V62*Y62*VLOOKUP('Données projet'!$B$9,Paramètres!$A$1:$I$89,3,0)*0.475*44/12</f>
        <v>1.9726261481384255</v>
      </c>
      <c r="AC62" s="22">
        <f t="shared" si="3"/>
        <v>63.307760695335297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-2.2737367544323206E-13</v>
      </c>
      <c r="AJ62" s="13">
        <f>AI62*VLOOKUP('Données projet'!$B$10,Paramètres!$A$1:$I$89,3,0)*VLOOKUP('Données projet'!$B$10,Paramètres!$A$1:$I$89,5,0)</f>
        <v>-1.3596945791505279E-13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261.13725557061468</v>
      </c>
      <c r="AO62" s="59">
        <f t="shared" si="36"/>
        <v>328.18986868293558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153.45451313403709</v>
      </c>
      <c r="AV62" s="21">
        <f>EXP(-LN(2)/25)*AV61+(1-EXP(-LN(2)/25))/(LN(2)/25)*Calculateur!AQ62*Calculateur!AS62*VLOOKUP('Données projet'!$B$10,Paramètres!$A$1:$I$89,3,0)*0.475*44/12</f>
        <v>40.672825651667054</v>
      </c>
      <c r="AW62" s="21">
        <f>EXP(-LN(2)/2)*AW61+(1-EXP(-LN(2)/2))/(LN(2)/2)*AQ62*AT62*VLOOKUP('Données projet'!$B$10,Paramètres!$A$1:$I$89,3,0)*0.475*44/12</f>
        <v>14.285809448399831</v>
      </c>
      <c r="AX62" s="21">
        <f t="shared" si="6"/>
        <v>208.41314823410397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159.25641025641025</v>
      </c>
      <c r="BB62" s="12">
        <f>VLOOKUP(A62,'Données projet'!$A$87:$I$107,9,0)</f>
        <v>6.3942307692307701</v>
      </c>
      <c r="BC62" s="12">
        <f t="array" ref="BC62">INDEX(BB:BB,MIN(IF(ISNUMBER(BB62:BB258),ROW(BB62:BB258),"")))</f>
        <v>6.3942307692307701</v>
      </c>
      <c r="BD62" s="12">
        <f>IF('Données projet'!$A$88&gt;35,BD61+BC62-BL61,IF(A62&lt;'Données projet'!$A$88,$BA$205^A62,IF(A62='Données projet'!$A$88,'Données projet'!$B$88,BD61+BC62-BL61)))</f>
        <v>159.25641025641025</v>
      </c>
      <c r="BE62" s="13">
        <f>BD62*VLOOKUP('Données projet'!$B$11,Paramètres!$A$1:$I$89,3,0)*VLOOKUP('Données projet'!$B$11,Paramètres!$A$1:$I$89,5,0)</f>
        <v>161.48599999999999</v>
      </c>
      <c r="BF62" s="13">
        <f t="shared" si="37"/>
        <v>41.177506306658742</v>
      </c>
      <c r="BG62" s="20">
        <f t="shared" si="7"/>
        <v>352.97227348409729</v>
      </c>
      <c r="BH62" s="59">
        <f t="shared" si="8"/>
        <v>646.30560681743054</v>
      </c>
      <c r="BI62" s="59">
        <f ca="1">AVERAGE(OFFSET($BH$3,0,0,'Données projet'!$E$11+1,1))-AVERAGE(OFFSET($H$3,0,0,'Données projet'!$E$11+1,1))</f>
        <v>250.31277422753283</v>
      </c>
      <c r="BJ62" s="59">
        <f t="shared" si="38"/>
        <v>159.20429420478047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38.942307692307693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</v>
      </c>
      <c r="BY62" s="12">
        <f>IF('Données projet'!$A$114&gt;35,BY61+BX62-CG61,IF(A62&lt;'Données projet'!$A$114,$BV$205^A62,IF(A62='Données projet'!$A$114,'Données projet'!$B$114,BY61+BX62-CG61)))</f>
        <v>219.00000000000003</v>
      </c>
      <c r="BZ62" s="13">
        <f>BY62*VLOOKUP('Données projet'!$B$12,Paramètres!$A$1:$I$89,3,0)*VLOOKUP('Données projet'!$B$12,Paramètres!$A$1:$I$89,5,0)</f>
        <v>228.89880000000002</v>
      </c>
      <c r="CA62" s="13">
        <f t="shared" si="39"/>
        <v>56.044509878204664</v>
      </c>
      <c r="CB62" s="20">
        <f t="shared" si="10"/>
        <v>496.27626470453976</v>
      </c>
      <c r="CC62" s="59">
        <f t="shared" si="11"/>
        <v>789.60959803787307</v>
      </c>
      <c r="CD62" s="59">
        <f ca="1">AVERAGE(OFFSET($CC$3,0,0,'Données projet'!$E$12+1,1))-AVERAGE(OFFSET($H$3,0,0,'Données projet'!$E$12+1,1))</f>
        <v>322.93502595881938</v>
      </c>
      <c r="CE62" s="59">
        <f t="shared" si="40"/>
        <v>302.67072119588164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12.129701585785295</v>
      </c>
      <c r="CL62" s="21">
        <f>EXP(-LN(2)/25)*CL61+(1-EXP(-LN(2)/25))/(LN(2)/25)*Calculateur!CG62*Calculateur!CI62*VLOOKUP('Données projet'!$B$12,Paramètres!$A$1:$I$89,3,0)*0.475*44/12</f>
        <v>18.647162504444864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30.776864090230159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12.05461538461538</v>
      </c>
      <c r="N63" s="13">
        <f>IF('Données projet'!$A$36&gt;35,N62+M63-V62,IF(A63&lt;'Données projet'!$A$36,$K$205^A63,IF(A63='Données projet'!$A$36,'Données projet'!$B$36,N62+M63-V62)))</f>
        <v>416.32615384615389</v>
      </c>
      <c r="O63" s="13">
        <f>N63*VLOOKUP('Données projet'!$B$9,Paramètres!$A$1:$I$89,3,0)*VLOOKUP('Données projet'!$B$9,Paramètres!$A$1:$I$89,5,0)</f>
        <v>248.96304000000006</v>
      </c>
      <c r="P63" s="13">
        <f t="shared" si="33"/>
        <v>60.363837788674616</v>
      </c>
      <c r="Q63" s="20">
        <f t="shared" si="53"/>
        <v>538.7443121486084</v>
      </c>
      <c r="R63" s="59">
        <f t="shared" si="0"/>
        <v>832.07764548194177</v>
      </c>
      <c r="S63" s="59">
        <f ca="1">AVERAGE(OFFSET($R$3,0,0,'Données projet'!$E$9+1,1))-AVERAGE(OFFSET($H$3,0,0,'Données projet'!$E$9+1,1))</f>
        <v>278.21846622758881</v>
      </c>
      <c r="T63" s="59">
        <f t="shared" si="34"/>
        <v>245.37578316242906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47.18417326422189</v>
      </c>
      <c r="AA63" s="21">
        <f>EXP(-LN(2)/25)*AA62+(1-EXP(-LN(2)/25))/(LN(2)/25)*Calculateur!V63*Calculateur!X63*VLOOKUP('Données projet'!$B$9,Paramètres!$A$1:$I$89,3,0)*0.475*44/12</f>
        <v>12.846050248578182</v>
      </c>
      <c r="AB63" s="21">
        <f>EXP(-LN(2)/2)*AB62+(1-EXP(-LN(2)/2))/(LN(2)/2)*V63*Y63*VLOOKUP('Données projet'!$B$9,Paramètres!$A$1:$I$89,3,0)*0.475*44/12</f>
        <v>1.3948573260945798</v>
      </c>
      <c r="AC63" s="22">
        <f t="shared" si="3"/>
        <v>61.425080838894651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-2.2737367544323206E-13</v>
      </c>
      <c r="AJ63" s="13">
        <f>AI63*VLOOKUP('Données projet'!$B$10,Paramètres!$A$1:$I$89,3,0)*VLOOKUP('Données projet'!$B$10,Paramètres!$A$1:$I$89,5,0)</f>
        <v>-1.3596945791505279E-13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261.13725557061468</v>
      </c>
      <c r="AO63" s="59">
        <f t="shared" si="36"/>
        <v>328.18986868293558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150.4453637294896</v>
      </c>
      <c r="AV63" s="21">
        <f>EXP(-LN(2)/25)*AV62+(1-EXP(-LN(2)/25))/(LN(2)/25)*Calculateur!AQ63*Calculateur!AS63*VLOOKUP('Données projet'!$B$10,Paramètres!$A$1:$I$89,3,0)*0.475*44/12</f>
        <v>39.560625095331275</v>
      </c>
      <c r="AW63" s="21">
        <f>EXP(-LN(2)/2)*AW62+(1-EXP(-LN(2)/2))/(LN(2)/2)*AQ63*AT63*VLOOKUP('Données projet'!$B$10,Paramètres!$A$1:$I$89,3,0)*0.475*44/12</f>
        <v>10.101592735702374</v>
      </c>
      <c r="AX63" s="21">
        <f t="shared" si="6"/>
        <v>200.10758156052324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5.9431089743589762</v>
      </c>
      <c r="BD63" s="12">
        <f>IF('Données projet'!$A$88&gt;35,BD62+BC63-BL62,IF(A63&lt;'Données projet'!$A$88,$BA$205^A63,IF(A63='Données projet'!$A$88,'Données projet'!$B$88,BD62+BC63-BL62)))</f>
        <v>126.25721153846153</v>
      </c>
      <c r="BE63" s="13">
        <f>BD63*VLOOKUP('Données projet'!$B$11,Paramètres!$A$1:$I$89,3,0)*VLOOKUP('Données projet'!$B$11,Paramètres!$A$1:$I$89,5,0)</f>
        <v>128.0248125</v>
      </c>
      <c r="BF63" s="13">
        <f t="shared" si="37"/>
        <v>33.539545602958114</v>
      </c>
      <c r="BG63" s="20">
        <f t="shared" si="7"/>
        <v>281.39125702931875</v>
      </c>
      <c r="BH63" s="59">
        <f t="shared" si="8"/>
        <v>574.72459036265207</v>
      </c>
      <c r="BI63" s="59">
        <f ca="1">AVERAGE(OFFSET($BH$3,0,0,'Données projet'!$E$11+1,1))-AVERAGE(OFFSET($H$3,0,0,'Données projet'!$E$11+1,1))</f>
        <v>250.31277422753283</v>
      </c>
      <c r="BJ63" s="59">
        <f t="shared" si="38"/>
        <v>159.20429420478047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225</v>
      </c>
      <c r="BW63" s="12">
        <f>VLOOKUP(A63,'Données projet'!$A$113:$I$133,9,0)</f>
        <v>6</v>
      </c>
      <c r="BX63" s="12">
        <f t="array" ref="BX63">INDEX(BW:BW,MIN(IF(ISNUMBER(BW63:BW259),ROW(BW63:BW259),"")))</f>
        <v>6</v>
      </c>
      <c r="BY63" s="12">
        <f>IF('Données projet'!$A$114&gt;35,BY62+BX63-CG62,IF(A63&lt;'Données projet'!$A$114,$BV$205^A63,IF(A63='Données projet'!$A$114,'Données projet'!$B$114,BY62+BX63-CG62)))</f>
        <v>225.00000000000003</v>
      </c>
      <c r="BZ63" s="13">
        <f>BY63*VLOOKUP('Données projet'!$B$12,Paramètres!$A$1:$I$89,3,0)*VLOOKUP('Données projet'!$B$12,Paramètres!$A$1:$I$89,5,0)</f>
        <v>235.17000000000004</v>
      </c>
      <c r="CA63" s="13">
        <f t="shared" si="39"/>
        <v>57.399106052685539</v>
      </c>
      <c r="CB63" s="20">
        <f t="shared" si="10"/>
        <v>509.55785970842743</v>
      </c>
      <c r="CC63" s="59">
        <f t="shared" si="11"/>
        <v>802.89119304176074</v>
      </c>
      <c r="CD63" s="59">
        <f ca="1">AVERAGE(OFFSET($CC$3,0,0,'Données projet'!$E$12+1,1))-AVERAGE(OFFSET($H$3,0,0,'Données projet'!$E$12+1,1))</f>
        <v>322.93502595881938</v>
      </c>
      <c r="CE63" s="59">
        <f t="shared" si="40"/>
        <v>302.67072119588164</v>
      </c>
      <c r="CF63" s="15">
        <f>IF(ISNA(VLOOKUP(A63,'Données projet'!$A$113:$I$133,3,0)),0,VLOOKUP(A63,'Données projet'!$A$113:$I$133,3,0))</f>
        <v>9</v>
      </c>
      <c r="CG63" s="15" t="str">
        <f>IF(ISNA(VLOOKUP(A63,'Données projet'!$A$113:$I$133,4,0)),0,VLOOKUP(A63,'Données projet'!$A$113:$I$133,4,0))</f>
        <v>21</v>
      </c>
      <c r="CH63" s="16">
        <f>IF(ISNA(VLOOKUP(A63,'Données projet'!$A$113:$I$133,5,0)),0%,VLOOKUP(A63,'Données projet'!$A$113:$I$133,5,0)*VLOOKUP('Données projet'!$B$12,Paramètres!$A$1:$I$89,7,0))</f>
        <v>0.215</v>
      </c>
      <c r="CI63" s="16">
        <f>IF(ISNA(VLOOKUP(A63,'Données projet'!$A$113:$I$133,6,0)),0%,VLOOKUP(A63,'Données projet'!$A$113:$I$133,6,0)*VLOOKUP('Données projet'!$B$12,Paramètres!$A$1:$I$89,7,0))</f>
        <v>0.17200000000000001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17.108646483781079</v>
      </c>
      <c r="CL63" s="21">
        <f>EXP(-LN(2)/25)*CL62+(1-EXP(-LN(2)/25))/(LN(2)/25)*Calculateur!CG63*Calculateur!CI63*VLOOKUP('Données projet'!$B$12,Paramètres!$A$1:$I$89,3,0)*0.475*44/12</f>
        <v>22.294263196843147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39.402909680624226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12.05461538461538</v>
      </c>
      <c r="N64" s="13">
        <f>IF('Données projet'!$A$36&gt;35,N63+M64-V63,IF(A64&lt;'Données projet'!$A$36,$K$205^A64,IF(A64='Données projet'!$A$36,'Données projet'!$B$36,N63+M64-V63)))</f>
        <v>428.38076923076926</v>
      </c>
      <c r="O64" s="13">
        <f>N64*VLOOKUP('Données projet'!$B$9,Paramètres!$A$1:$I$89,3,0)*VLOOKUP('Données projet'!$B$9,Paramètres!$A$1:$I$89,5,0)</f>
        <v>256.17170000000004</v>
      </c>
      <c r="P64" s="13">
        <f t="shared" si="33"/>
        <v>61.90563593470165</v>
      </c>
      <c r="Q64" s="20">
        <f t="shared" si="53"/>
        <v>553.98469341960538</v>
      </c>
      <c r="R64" s="59">
        <f t="shared" si="0"/>
        <v>847.31802675293875</v>
      </c>
      <c r="S64" s="59">
        <f ca="1">AVERAGE(OFFSET($R$3,0,0,'Données projet'!$E$9+1,1))-AVERAGE(OFFSET($H$3,0,0,'Données projet'!$E$9+1,1))</f>
        <v>278.21846622758881</v>
      </c>
      <c r="T64" s="59">
        <f t="shared" si="34"/>
        <v>245.37578316242906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46.258920406014447</v>
      </c>
      <c r="AA64" s="21">
        <f>EXP(-LN(2)/25)*AA63+(1-EXP(-LN(2)/25))/(LN(2)/25)*Calculateur!V64*Calculateur!X64*VLOOKUP('Données projet'!$B$9,Paramètres!$A$1:$I$89,3,0)*0.475*44/12</f>
        <v>12.49477432898639</v>
      </c>
      <c r="AB64" s="21">
        <f>EXP(-LN(2)/2)*AB63+(1-EXP(-LN(2)/2))/(LN(2)/2)*V64*Y64*VLOOKUP('Données projet'!$B$9,Paramètres!$A$1:$I$89,3,0)*0.475*44/12</f>
        <v>0.98631307406921287</v>
      </c>
      <c r="AC64" s="22">
        <f t="shared" si="3"/>
        <v>59.74000780907005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-2.2737367544323206E-13</v>
      </c>
      <c r="AJ64" s="13">
        <f>AI64*VLOOKUP('Données projet'!$B$10,Paramètres!$A$1:$I$89,3,0)*VLOOKUP('Données projet'!$B$10,Paramètres!$A$1:$I$89,5,0)</f>
        <v>-1.3596945791505279E-13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261.13725557061468</v>
      </c>
      <c r="AO64" s="59">
        <f t="shared" si="36"/>
        <v>328.18986868293558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147.49522190936537</v>
      </c>
      <c r="AV64" s="21">
        <f>EXP(-LN(2)/25)*AV63+(1-EXP(-LN(2)/25))/(LN(2)/25)*Calculateur!AQ64*Calculateur!AS64*VLOOKUP('Données projet'!$B$10,Paramètres!$A$1:$I$89,3,0)*0.475*44/12</f>
        <v>38.478837721696586</v>
      </c>
      <c r="AW64" s="21">
        <f>EXP(-LN(2)/2)*AW63+(1-EXP(-LN(2)/2))/(LN(2)/2)*AQ64*AT64*VLOOKUP('Données projet'!$B$10,Paramètres!$A$1:$I$89,3,0)*0.475*44/12</f>
        <v>7.1429047241999166</v>
      </c>
      <c r="AX64" s="21">
        <f t="shared" si="6"/>
        <v>193.11696435526187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5.9431089743589762</v>
      </c>
      <c r="BD64" s="12">
        <f>IF('Données projet'!$A$88&gt;35,BD63+BC64-BL63,IF(A64&lt;'Données projet'!$A$88,$BA$205^A64,IF(A64='Données projet'!$A$88,'Données projet'!$B$88,BD63+BC64-BL63)))</f>
        <v>132.2003205128205</v>
      </c>
      <c r="BE64" s="13">
        <f>BD64*VLOOKUP('Données projet'!$B$11,Paramètres!$A$1:$I$89,3,0)*VLOOKUP('Données projet'!$B$11,Paramètres!$A$1:$I$89,5,0)</f>
        <v>134.05112499999998</v>
      </c>
      <c r="BF64" s="13">
        <f t="shared" si="37"/>
        <v>34.930776988059094</v>
      </c>
      <c r="BG64" s="20">
        <f t="shared" si="7"/>
        <v>294.31014596253618</v>
      </c>
      <c r="BH64" s="59">
        <f t="shared" si="8"/>
        <v>587.6434792958695</v>
      </c>
      <c r="BI64" s="59">
        <f ca="1">AVERAGE(OFFSET($BH$3,0,0,'Données projet'!$E$11+1,1))-AVERAGE(OFFSET($H$3,0,0,'Données projet'!$E$11+1,1))</f>
        <v>250.31277422753283</v>
      </c>
      <c r="BJ64" s="59">
        <f t="shared" si="38"/>
        <v>159.20429420478047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5.6</v>
      </c>
      <c r="BY64" s="12">
        <f>IF('Données projet'!$A$114&gt;35,BY63+BX64-CG63,IF(A64&lt;'Données projet'!$A$114,$BV$205^A64,IF(A64='Données projet'!$A$114,'Données projet'!$B$114,BY63+BX64-CG63)))</f>
        <v>209.60000000000002</v>
      </c>
      <c r="BZ64" s="13">
        <f>BY64*VLOOKUP('Données projet'!$B$12,Paramètres!$A$1:$I$89,3,0)*VLOOKUP('Données projet'!$B$12,Paramètres!$A$1:$I$89,5,0)</f>
        <v>219.07392000000004</v>
      </c>
      <c r="CA64" s="13">
        <f t="shared" si="39"/>
        <v>53.913557419387772</v>
      </c>
      <c r="CB64" s="20">
        <f t="shared" si="10"/>
        <v>475.45318983876706</v>
      </c>
      <c r="CC64" s="59">
        <f t="shared" si="11"/>
        <v>768.78652317210037</v>
      </c>
      <c r="CD64" s="59">
        <f ca="1">AVERAGE(OFFSET($CC$3,0,0,'Données projet'!$E$12+1,1))-AVERAGE(OFFSET($H$3,0,0,'Données projet'!$E$12+1,1))</f>
        <v>322.93502595881938</v>
      </c>
      <c r="CE64" s="59">
        <f t="shared" si="40"/>
        <v>302.67072119588164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16.773156361478094</v>
      </c>
      <c r="CL64" s="21">
        <f>EXP(-LN(2)/25)*CL63+(1-EXP(-LN(2)/25))/(LN(2)/25)*Calculateur!CG64*Calculateur!CI64*VLOOKUP('Données projet'!$B$12,Paramètres!$A$1:$I$89,3,0)*0.475*44/12</f>
        <v>21.684625397321124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38.457781758799214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12.05461538461538</v>
      </c>
      <c r="N65" s="13">
        <f>IF('Données projet'!$A$36&gt;35,N64+M65-V64,IF(A65&lt;'Données projet'!$A$36,$K$205^A65,IF(A65='Données projet'!$A$36,'Données projet'!$B$36,N64+M65-V64)))</f>
        <v>440.43538461538463</v>
      </c>
      <c r="O65" s="13">
        <f>N65*VLOOKUP('Données projet'!$B$9,Paramètres!$A$1:$I$89,3,0)*VLOOKUP('Données projet'!$B$9,Paramètres!$A$1:$I$89,5,0)</f>
        <v>263.38036</v>
      </c>
      <c r="P65" s="13">
        <f t="shared" si="33"/>
        <v>63.442391493835359</v>
      </c>
      <c r="Q65" s="20">
        <f t="shared" si="53"/>
        <v>569.21629218509656</v>
      </c>
      <c r="R65" s="59">
        <f t="shared" si="0"/>
        <v>862.54962551842982</v>
      </c>
      <c r="S65" s="59">
        <f ca="1">AVERAGE(OFFSET($R$3,0,0,'Données projet'!$E$9+1,1))-AVERAGE(OFFSET($H$3,0,0,'Données projet'!$E$9+1,1))</f>
        <v>278.21846622758881</v>
      </c>
      <c r="T65" s="59">
        <f t="shared" si="34"/>
        <v>245.37578316242906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45.351811192007936</v>
      </c>
      <c r="AA65" s="21">
        <f>EXP(-LN(2)/25)*AA64+(1-EXP(-LN(2)/25))/(LN(2)/25)*Calculateur!V65*Calculateur!X65*VLOOKUP('Données projet'!$B$9,Paramètres!$A$1:$I$89,3,0)*0.475*44/12</f>
        <v>12.153104067888632</v>
      </c>
      <c r="AB65" s="21">
        <f>EXP(-LN(2)/2)*AB64+(1-EXP(-LN(2)/2))/(LN(2)/2)*V65*Y65*VLOOKUP('Données projet'!$B$9,Paramètres!$A$1:$I$89,3,0)*0.475*44/12</f>
        <v>0.69742866304729001</v>
      </c>
      <c r="AC65" s="22">
        <f t="shared" si="3"/>
        <v>58.202343922943861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-2.2737367544323206E-13</v>
      </c>
      <c r="AJ65" s="13">
        <f>AI65*VLOOKUP('Données projet'!$B$10,Paramètres!$A$1:$I$89,3,0)*VLOOKUP('Données projet'!$B$10,Paramètres!$A$1:$I$89,5,0)</f>
        <v>-1.3596945791505279E-13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261.13725557061468</v>
      </c>
      <c r="AO65" s="59">
        <f t="shared" si="36"/>
        <v>328.18986868293558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144.60293057092494</v>
      </c>
      <c r="AV65" s="21">
        <f>EXP(-LN(2)/25)*AV64+(1-EXP(-LN(2)/25))/(LN(2)/25)*Calculateur!AQ65*Calculateur!AS65*VLOOKUP('Données projet'!$B$10,Paramètres!$A$1:$I$89,3,0)*0.475*44/12</f>
        <v>37.426631880682663</v>
      </c>
      <c r="AW65" s="21">
        <f>EXP(-LN(2)/2)*AW64+(1-EXP(-LN(2)/2))/(LN(2)/2)*AQ65*AT65*VLOOKUP('Données projet'!$B$10,Paramètres!$A$1:$I$89,3,0)*0.475*44/12</f>
        <v>5.0507963678511878</v>
      </c>
      <c r="AX65" s="21">
        <f t="shared" si="6"/>
        <v>187.08035881945878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5.9431089743589762</v>
      </c>
      <c r="BD65" s="12">
        <f>IF('Données projet'!$A$88&gt;35,BD64+BC65-BL64,IF(A65&lt;'Données projet'!$A$88,$BA$205^A65,IF(A65='Données projet'!$A$88,'Données projet'!$B$88,BD64+BC65-BL64)))</f>
        <v>138.14342948717947</v>
      </c>
      <c r="BE65" s="13">
        <f>BD65*VLOOKUP('Données projet'!$B$11,Paramètres!$A$1:$I$89,3,0)*VLOOKUP('Données projet'!$B$11,Paramètres!$A$1:$I$89,5,0)</f>
        <v>140.0774375</v>
      </c>
      <c r="BF65" s="13">
        <f t="shared" si="37"/>
        <v>36.314744767883546</v>
      </c>
      <c r="BG65" s="20">
        <f t="shared" si="7"/>
        <v>307.2163841165638</v>
      </c>
      <c r="BH65" s="59">
        <f t="shared" si="8"/>
        <v>600.54971744989712</v>
      </c>
      <c r="BI65" s="59">
        <f ca="1">AVERAGE(OFFSET($BH$3,0,0,'Données projet'!$E$11+1,1))-AVERAGE(OFFSET($H$3,0,0,'Données projet'!$E$11+1,1))</f>
        <v>250.31277422753283</v>
      </c>
      <c r="BJ65" s="59">
        <f t="shared" si="38"/>
        <v>159.20429420478047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5.6</v>
      </c>
      <c r="BY65" s="12">
        <f>IF('Données projet'!$A$114&gt;35,BY64+BX65-CG64,IF(A65&lt;'Données projet'!$A$114,$BV$205^A65,IF(A65='Données projet'!$A$114,'Données projet'!$B$114,BY64+BX65-CG64)))</f>
        <v>215.20000000000002</v>
      </c>
      <c r="BZ65" s="13">
        <f>BY65*VLOOKUP('Données projet'!$B$12,Paramètres!$A$1:$I$89,3,0)*VLOOKUP('Données projet'!$B$12,Paramètres!$A$1:$I$89,5,0)</f>
        <v>224.92704000000006</v>
      </c>
      <c r="CA65" s="13">
        <f t="shared" si="39"/>
        <v>55.184369220926527</v>
      </c>
      <c r="CB65" s="20">
        <f t="shared" si="10"/>
        <v>487.86070439311379</v>
      </c>
      <c r="CC65" s="59">
        <f t="shared" si="11"/>
        <v>781.19403772644705</v>
      </c>
      <c r="CD65" s="59">
        <f ca="1">AVERAGE(OFFSET($CC$3,0,0,'Données projet'!$E$12+1,1))-AVERAGE(OFFSET($H$3,0,0,'Données projet'!$E$12+1,1))</f>
        <v>322.93502595881938</v>
      </c>
      <c r="CE65" s="59">
        <f t="shared" si="40"/>
        <v>302.67072119588164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16.444244995844699</v>
      </c>
      <c r="CL65" s="21">
        <f>EXP(-LN(2)/25)*CL64+(1-EXP(-LN(2)/25))/(LN(2)/25)*Calculateur!CG65*Calculateur!CI65*VLOOKUP('Données projet'!$B$12,Paramètres!$A$1:$I$89,3,0)*0.475*44/12</f>
        <v>21.09165817548649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37.535903171331185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12.05461538461538</v>
      </c>
      <c r="N66" s="13">
        <f>IF('Données projet'!$A$36&gt;35,N65+M66-V65,IF(A66&lt;'Données projet'!$A$36,$K$205^A66,IF(A66='Données projet'!$A$36,'Données projet'!$B$36,N65+M66-V65)))</f>
        <v>452.49</v>
      </c>
      <c r="O66" s="13">
        <f>N66*VLOOKUP('Données projet'!$B$9,Paramètres!$A$1:$I$89,3,0)*VLOOKUP('Données projet'!$B$9,Paramètres!$A$1:$I$89,5,0)</f>
        <v>270.58902000000006</v>
      </c>
      <c r="P66" s="13">
        <f t="shared" si="33"/>
        <v>64.974258339135972</v>
      </c>
      <c r="Q66" s="20">
        <f t="shared" si="53"/>
        <v>584.43937644066193</v>
      </c>
      <c r="R66" s="59">
        <f t="shared" si="0"/>
        <v>877.7727097739953</v>
      </c>
      <c r="S66" s="59">
        <f ca="1">AVERAGE(OFFSET($R$3,0,0,'Données projet'!$E$9+1,1))-AVERAGE(OFFSET($H$3,0,0,'Données projet'!$E$9+1,1))</f>
        <v>278.21846622758881</v>
      </c>
      <c r="T66" s="59">
        <f t="shared" si="34"/>
        <v>245.37578316242906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44.462489836406107</v>
      </c>
      <c r="AA66" s="21">
        <f>EXP(-LN(2)/25)*AA65+(1-EXP(-LN(2)/25))/(LN(2)/25)*Calculateur!V66*Calculateur!X66*VLOOKUP('Données projet'!$B$9,Paramètres!$A$1:$I$89,3,0)*0.475*44/12</f>
        <v>11.820776798048252</v>
      </c>
      <c r="AB66" s="21">
        <f>EXP(-LN(2)/2)*AB65+(1-EXP(-LN(2)/2))/(LN(2)/2)*V66*Y66*VLOOKUP('Données projet'!$B$9,Paramètres!$A$1:$I$89,3,0)*0.475*44/12</f>
        <v>0.49315653703460649</v>
      </c>
      <c r="AC66" s="22">
        <f t="shared" si="3"/>
        <v>56.776423171488965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-2.2737367544323206E-13</v>
      </c>
      <c r="AJ66" s="13">
        <f>AI66*VLOOKUP('Données projet'!$B$10,Paramètres!$A$1:$I$89,3,0)*VLOOKUP('Données projet'!$B$10,Paramètres!$A$1:$I$89,5,0)</f>
        <v>-1.3596945791505279E-13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261.13725557061468</v>
      </c>
      <c r="AO66" s="59">
        <f t="shared" si="36"/>
        <v>328.18986868293558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141.76735530150782</v>
      </c>
      <c r="AV66" s="21">
        <f>EXP(-LN(2)/25)*AV65+(1-EXP(-LN(2)/25))/(LN(2)/25)*Calculateur!AQ66*Calculateur!AS66*VLOOKUP('Données projet'!$B$10,Paramètres!$A$1:$I$89,3,0)*0.475*44/12</f>
        <v>36.403198663724368</v>
      </c>
      <c r="AW66" s="21">
        <f>EXP(-LN(2)/2)*AW65+(1-EXP(-LN(2)/2))/(LN(2)/2)*AQ66*AT66*VLOOKUP('Données projet'!$B$10,Paramètres!$A$1:$I$89,3,0)*0.475*44/12</f>
        <v>3.5714523620999592</v>
      </c>
      <c r="AX66" s="21">
        <f t="shared" si="6"/>
        <v>181.74200632733215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5.9431089743589762</v>
      </c>
      <c r="BD66" s="12">
        <f>IF('Données projet'!$A$88&gt;35,BD65+BC66-BL65,IF(A66&lt;'Données projet'!$A$88,$BA$205^A66,IF(A66='Données projet'!$A$88,'Données projet'!$B$88,BD65+BC66-BL65)))</f>
        <v>144.08653846153845</v>
      </c>
      <c r="BE66" s="13">
        <f>BD66*VLOOKUP('Données projet'!$B$11,Paramètres!$A$1:$I$89,3,0)*VLOOKUP('Données projet'!$B$11,Paramètres!$A$1:$I$89,5,0)</f>
        <v>146.10374999999999</v>
      </c>
      <c r="BF66" s="13">
        <f t="shared" si="37"/>
        <v>37.691797153104957</v>
      </c>
      <c r="BG66" s="20">
        <f t="shared" si="7"/>
        <v>320.11057795832443</v>
      </c>
      <c r="BH66" s="59">
        <f t="shared" si="8"/>
        <v>613.44391129165774</v>
      </c>
      <c r="BI66" s="59">
        <f ca="1">AVERAGE(OFFSET($BH$3,0,0,'Données projet'!$E$11+1,1))-AVERAGE(OFFSET($H$3,0,0,'Données projet'!$E$11+1,1))</f>
        <v>250.31277422753283</v>
      </c>
      <c r="BJ66" s="59">
        <f t="shared" si="38"/>
        <v>159.20429420478047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5.6</v>
      </c>
      <c r="BY66" s="12">
        <f>IF('Données projet'!$A$114&gt;35,BY65+BX66-CG65,IF(A66&lt;'Données projet'!$A$114,$BV$205^A66,IF(A66='Données projet'!$A$114,'Données projet'!$B$114,BY65+BX66-CG65)))</f>
        <v>220.8</v>
      </c>
      <c r="BZ66" s="13">
        <f>BY66*VLOOKUP('Données projet'!$B$12,Paramètres!$A$1:$I$89,3,0)*VLOOKUP('Données projet'!$B$12,Paramètres!$A$1:$I$89,5,0)</f>
        <v>230.78016000000002</v>
      </c>
      <c r="CA66" s="13">
        <f t="shared" si="39"/>
        <v>56.451337103640888</v>
      </c>
      <c r="CB66" s="20">
        <f t="shared" si="10"/>
        <v>500.26152412217448</v>
      </c>
      <c r="CC66" s="59">
        <f t="shared" si="11"/>
        <v>793.59485745550774</v>
      </c>
      <c r="CD66" s="59">
        <f ca="1">AVERAGE(OFFSET($CC$3,0,0,'Données projet'!$E$12+1,1))-AVERAGE(OFFSET($H$3,0,0,'Données projet'!$E$12+1,1))</f>
        <v>322.93502595881938</v>
      </c>
      <c r="CE66" s="59">
        <f t="shared" si="40"/>
        <v>302.67072119588164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16.12178338147525</v>
      </c>
      <c r="CL66" s="21">
        <f>EXP(-LN(2)/25)*CL65+(1-EXP(-LN(2)/25))/(LN(2)/25)*Calculateur!CG66*Calculateur!CI66*VLOOKUP('Données projet'!$B$12,Paramètres!$A$1:$I$89,3,0)*0.475*44/12</f>
        <v>20.514905673515713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36.636689054990967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12.05461538461538</v>
      </c>
      <c r="N67" s="13">
        <f>IF('Données projet'!$A$36&gt;35,N66+M67-V66,IF(A67&lt;'Données projet'!$A$36,$K$205^A67,IF(A67='Données projet'!$A$36,'Données projet'!$B$36,N66+M67-V66)))</f>
        <v>464.54461538461538</v>
      </c>
      <c r="O67" s="13">
        <f>N67*VLOOKUP('Données projet'!$B$9,Paramètres!$A$1:$I$89,3,0)*VLOOKUP('Données projet'!$B$9,Paramètres!$A$1:$I$89,5,0)</f>
        <v>277.79768000000001</v>
      </c>
      <c r="P67" s="13">
        <f t="shared" si="33"/>
        <v>66.501381678302167</v>
      </c>
      <c r="Q67" s="20">
        <f t="shared" ref="Q67:Q98" si="54">(O67+P67)*0.475*44/12</f>
        <v>599.65419908970955</v>
      </c>
      <c r="R67" s="59">
        <f t="shared" ref="R67:R130" si="55">Q67+(I67+J67)*44/12</f>
        <v>892.98753242304292</v>
      </c>
      <c r="S67" s="59">
        <f ca="1">AVERAGE(OFFSET($R$3,0,0,'Données projet'!$E$9+1,1))-AVERAGE(OFFSET($H$3,0,0,'Données projet'!$E$9+1,1))</f>
        <v>278.21846622758881</v>
      </c>
      <c r="T67" s="59">
        <f t="shared" si="34"/>
        <v>245.37578316242906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43.590607530155161</v>
      </c>
      <c r="AA67" s="21">
        <f>EXP(-LN(2)/25)*AA66+(1-EXP(-LN(2)/25))/(LN(2)/25)*Calculateur!V67*Calculateur!X67*VLOOKUP('Données projet'!$B$9,Paramètres!$A$1:$I$89,3,0)*0.475*44/12</f>
        <v>11.497537034877988</v>
      </c>
      <c r="AB67" s="21">
        <f>EXP(-LN(2)/2)*AB66+(1-EXP(-LN(2)/2))/(LN(2)/2)*V67*Y67*VLOOKUP('Données projet'!$B$9,Paramètres!$A$1:$I$89,3,0)*0.475*44/12</f>
        <v>0.34871433152364506</v>
      </c>
      <c r="AC67" s="22">
        <f t="shared" si="3"/>
        <v>55.436858896556792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-2.2737367544323206E-13</v>
      </c>
      <c r="AJ67" s="13">
        <f>AI67*VLOOKUP('Données projet'!$B$10,Paramètres!$A$1:$I$89,3,0)*VLOOKUP('Données projet'!$B$10,Paramètres!$A$1:$I$89,5,0)</f>
        <v>-1.3596945791505279E-13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261.13725557061468</v>
      </c>
      <c r="AO67" s="59">
        <f t="shared" si="36"/>
        <v>328.18986868293558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138.98738393359383</v>
      </c>
      <c r="AV67" s="21">
        <f>EXP(-LN(2)/25)*AV66+(1-EXP(-LN(2)/25))/(LN(2)/25)*Calculateur!AQ67*Calculateur!AS67*VLOOKUP('Données projet'!$B$10,Paramètres!$A$1:$I$89,3,0)*0.475*44/12</f>
        <v>35.407751281903806</v>
      </c>
      <c r="AW67" s="21">
        <f>EXP(-LN(2)/2)*AW66+(1-EXP(-LN(2)/2))/(LN(2)/2)*AQ67*AT67*VLOOKUP('Données projet'!$B$10,Paramètres!$A$1:$I$89,3,0)*0.475*44/12</f>
        <v>2.5253981839255943</v>
      </c>
      <c r="AX67" s="21">
        <f t="shared" si="6"/>
        <v>176.92053339942325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5.9431089743589762</v>
      </c>
      <c r="BD67" s="12">
        <f>IF('Données projet'!$A$88&gt;35,BD66+BC67-BL66,IF(A67&lt;'Données projet'!$A$88,$BA$205^A67,IF(A67='Données projet'!$A$88,'Données projet'!$B$88,BD66+BC67-BL66)))</f>
        <v>150.02964743589743</v>
      </c>
      <c r="BE67" s="13">
        <f>BD67*VLOOKUP('Données projet'!$B$11,Paramètres!$A$1:$I$89,3,0)*VLOOKUP('Données projet'!$B$11,Paramètres!$A$1:$I$89,5,0)</f>
        <v>152.13006250000001</v>
      </c>
      <c r="BF67" s="13">
        <f t="shared" si="37"/>
        <v>39.06225200390233</v>
      </c>
      <c r="BG67" s="20">
        <f t="shared" si="7"/>
        <v>332.99328109429655</v>
      </c>
      <c r="BH67" s="59">
        <f t="shared" si="8"/>
        <v>626.32661442762992</v>
      </c>
      <c r="BI67" s="59">
        <f ca="1">AVERAGE(OFFSET($BH$3,0,0,'Données projet'!$E$11+1,1))-AVERAGE(OFFSET($H$3,0,0,'Données projet'!$E$11+1,1))</f>
        <v>250.31277422753283</v>
      </c>
      <c r="BJ67" s="59">
        <f t="shared" si="38"/>
        <v>159.20429420478047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5.6</v>
      </c>
      <c r="BY67" s="12">
        <f>IF('Données projet'!$A$114&gt;35,BY66+BX67-CG66,IF(A67&lt;'Données projet'!$A$114,$BV$205^A67,IF(A67='Données projet'!$A$114,'Données projet'!$B$114,BY66+BX67-CG66)))</f>
        <v>226.4</v>
      </c>
      <c r="BZ67" s="13">
        <f>BY67*VLOOKUP('Données projet'!$B$12,Paramètres!$A$1:$I$89,3,0)*VLOOKUP('Données projet'!$B$12,Paramètres!$A$1:$I$89,5,0)</f>
        <v>236.63328000000004</v>
      </c>
      <c r="CA67" s="13">
        <f t="shared" si="39"/>
        <v>57.71456976922498</v>
      </c>
      <c r="CB67" s="20">
        <f t="shared" si="10"/>
        <v>512.65583834806694</v>
      </c>
      <c r="CC67" s="59">
        <f t="shared" si="11"/>
        <v>805.98917168140019</v>
      </c>
      <c r="CD67" s="59">
        <f ca="1">AVERAGE(OFFSET($CC$3,0,0,'Données projet'!$E$12+1,1))-AVERAGE(OFFSET($H$3,0,0,'Données projet'!$E$12+1,1))</f>
        <v>322.93502595881938</v>
      </c>
      <c r="CE67" s="59">
        <f t="shared" si="40"/>
        <v>302.67072119588164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15.805645042681425</v>
      </c>
      <c r="CL67" s="21">
        <f>EXP(-LN(2)/25)*CL66+(1-EXP(-LN(2)/25))/(LN(2)/25)*Calculateur!CG67*Calculateur!CI67*VLOOKUP('Données projet'!$B$12,Paramètres!$A$1:$I$89,3,0)*0.475*44/12</f>
        <v>19.953924499041424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35.759569541722847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12.05461538461538</v>
      </c>
      <c r="N68" s="13">
        <f>IF('Données projet'!$A$36&gt;35,N67+M68-V67,IF(A68&lt;'Données projet'!$A$36,$K$205^A68,IF(A68='Données projet'!$A$36,'Données projet'!$B$36,N67+M68-V67)))</f>
        <v>476.59923076923076</v>
      </c>
      <c r="O68" s="13">
        <f>N68*VLOOKUP('Données projet'!$B$9,Paramètres!$A$1:$I$89,3,0)*VLOOKUP('Données projet'!$B$9,Paramètres!$A$1:$I$89,5,0)</f>
        <v>285.00634000000002</v>
      </c>
      <c r="P68" s="13">
        <f t="shared" si="33"/>
        <v>68.023898753685756</v>
      </c>
      <c r="Q68" s="20">
        <f t="shared" si="54"/>
        <v>614.86099916266949</v>
      </c>
      <c r="R68" s="59">
        <f t="shared" si="55"/>
        <v>908.19433249600274</v>
      </c>
      <c r="S68" s="59">
        <f ca="1">AVERAGE(OFFSET($R$3,0,0,'Données projet'!$E$9+1,1))-AVERAGE(OFFSET($H$3,0,0,'Données projet'!$E$9+1,1))</f>
        <v>278.21846622758881</v>
      </c>
      <c r="T68" s="59">
        <f t="shared" si="34"/>
        <v>245.37578316242906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42.735822304134096</v>
      </c>
      <c r="AA68" s="21">
        <f>EXP(-LN(2)/25)*AA67+(1-EXP(-LN(2)/25))/(LN(2)/25)*Calculateur!V68*Calculateur!X68*VLOOKUP('Données projet'!$B$9,Paramètres!$A$1:$I$89,3,0)*0.475*44/12</f>
        <v>11.183136280030055</v>
      </c>
      <c r="AB68" s="21">
        <f>EXP(-LN(2)/2)*AB67+(1-EXP(-LN(2)/2))/(LN(2)/2)*V68*Y68*VLOOKUP('Données projet'!$B$9,Paramètres!$A$1:$I$89,3,0)*0.475*44/12</f>
        <v>0.2465782685173033</v>
      </c>
      <c r="AC68" s="22">
        <f t="shared" ref="AC68:AC131" si="57">SUM(Z68:AB68)</f>
        <v>54.165536852681456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-2.2737367544323206E-13</v>
      </c>
      <c r="AJ68" s="13">
        <f>AI68*VLOOKUP('Données projet'!$B$10,Paramètres!$A$1:$I$89,3,0)*VLOOKUP('Données projet'!$B$10,Paramètres!$A$1:$I$89,5,0)</f>
        <v>-1.3596945791505279E-13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261.13725557061468</v>
      </c>
      <c r="AO68" s="59">
        <f t="shared" si="36"/>
        <v>328.18986868293558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136.26192610858953</v>
      </c>
      <c r="AV68" s="21">
        <f>EXP(-LN(2)/25)*AV67+(1-EXP(-LN(2)/25))/(LN(2)/25)*Calculateur!AQ68*Calculateur!AS68*VLOOKUP('Données projet'!$B$10,Paramètres!$A$1:$I$89,3,0)*0.475*44/12</f>
        <v>34.43952446108743</v>
      </c>
      <c r="AW68" s="21">
        <f>EXP(-LN(2)/2)*AW67+(1-EXP(-LN(2)/2))/(LN(2)/2)*AQ68*AT68*VLOOKUP('Données projet'!$B$10,Paramètres!$A$1:$I$89,3,0)*0.475*44/12</f>
        <v>1.7857261810499798</v>
      </c>
      <c r="AX68" s="21">
        <f t="shared" ref="AX68:AX131" si="60">SUM(AU68:AW68)</f>
        <v>172.48717675072695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5.9431089743589762</v>
      </c>
      <c r="BD68" s="12">
        <f>IF('Données projet'!$A$88&gt;35,BD67+BC68-BL67,IF(A68&lt;'Données projet'!$A$88,$BA$205^A68,IF(A68='Données projet'!$A$88,'Données projet'!$B$88,BD67+BC68-BL67)))</f>
        <v>155.97275641025641</v>
      </c>
      <c r="BE68" s="13">
        <f>BD68*VLOOKUP('Données projet'!$B$11,Paramètres!$A$1:$I$89,3,0)*VLOOKUP('Données projet'!$B$11,Paramètres!$A$1:$I$89,5,0)</f>
        <v>158.15637500000003</v>
      </c>
      <c r="BF68" s="13">
        <f t="shared" si="37"/>
        <v>40.426400572135641</v>
      </c>
      <c r="BG68" s="20">
        <f t="shared" ref="BG68:BG131" si="61">(BE68+BF68)*0.475*44/12</f>
        <v>345.86500078813629</v>
      </c>
      <c r="BH68" s="59">
        <f t="shared" ref="BH68:BH131" si="62">BG68+(AY68+AZ68)*44/12</f>
        <v>639.19833412146954</v>
      </c>
      <c r="BI68" s="59">
        <f ca="1">AVERAGE(OFFSET($BH$3,0,0,'Données projet'!$E$11+1,1))-AVERAGE(OFFSET($H$3,0,0,'Données projet'!$E$11+1,1))</f>
        <v>250.31277422753283</v>
      </c>
      <c r="BJ68" s="59">
        <f t="shared" si="38"/>
        <v>159.20429420478047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232</v>
      </c>
      <c r="BW68" s="12">
        <f>VLOOKUP(A68,'Données projet'!$A$113:$I$133,9,0)</f>
        <v>5.6</v>
      </c>
      <c r="BX68" s="12">
        <f t="array" ref="BX68">INDEX(BW:BW,MIN(IF(ISNUMBER(BW68:BW264),ROW(BW68:BW264),"")))</f>
        <v>5.6</v>
      </c>
      <c r="BY68" s="12">
        <f>IF('Données projet'!$A$114&gt;35,BY67+BX68-CG67,IF(A68&lt;'Données projet'!$A$114,$BV$205^A68,IF(A68='Données projet'!$A$114,'Données projet'!$B$114,BY67+BX68-CG67)))</f>
        <v>232</v>
      </c>
      <c r="BZ68" s="13">
        <f>BY68*VLOOKUP('Données projet'!$B$12,Paramètres!$A$1:$I$89,3,0)*VLOOKUP('Données projet'!$B$12,Paramètres!$A$1:$I$89,5,0)</f>
        <v>242.4864</v>
      </c>
      <c r="CA68" s="13">
        <f t="shared" si="39"/>
        <v>58.974170235372419</v>
      </c>
      <c r="CB68" s="20">
        <f t="shared" ref="CB68:CB131" si="64">(BZ68+CA68)*0.475*44/12</f>
        <v>525.04382649327351</v>
      </c>
      <c r="CC68" s="59">
        <f t="shared" ref="CC68:CC131" si="65">CB68+(BT68+BU68)*44/12</f>
        <v>818.37715982660688</v>
      </c>
      <c r="CD68" s="59">
        <f ca="1">AVERAGE(OFFSET($CC$3,0,0,'Données projet'!$E$12+1,1))-AVERAGE(OFFSET($H$3,0,0,'Données projet'!$E$12+1,1))</f>
        <v>322.93502595881938</v>
      </c>
      <c r="CE68" s="59">
        <f t="shared" si="40"/>
        <v>302.67072119588164</v>
      </c>
      <c r="CF68" s="15">
        <f>IF(ISNA(VLOOKUP(A68,'Données projet'!$A$113:$I$133,3,0)),0,VLOOKUP(A68,'Données projet'!$A$113:$I$133,3,0))</f>
        <v>10</v>
      </c>
      <c r="CG68" s="15" t="str">
        <f>IF(ISNA(VLOOKUP(A68,'Données projet'!$A$113:$I$133,4,0)),0,VLOOKUP(A68,'Données projet'!$A$113:$I$133,4,0))</f>
        <v>20</v>
      </c>
      <c r="CH68" s="16">
        <f>IF(ISNA(VLOOKUP(A68,'Données projet'!$A$113:$I$133,5,0)),0%,VLOOKUP(A68,'Données projet'!$A$113:$I$133,5,0)*VLOOKUP('Données projet'!$B$12,Paramètres!$A$1:$I$89,7,0))</f>
        <v>0.215</v>
      </c>
      <c r="CI68" s="16">
        <f>IF(ISNA(VLOOKUP(A68,'Données projet'!$A$113:$I$133,6,0)),0%,VLOOKUP(A68,'Données projet'!$A$113:$I$133,6,0)*VLOOKUP('Données projet'!$B$12,Paramètres!$A$1:$I$89,7,0))</f>
        <v>0.17200000000000001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20.46408783884371</v>
      </c>
      <c r="CL68" s="21">
        <f>EXP(-LN(2)/25)*CL67+(1-EXP(-LN(2)/25))/(LN(2)/25)*Calculateur!CG68*Calculateur!CI68*VLOOKUP('Données projet'!$B$12,Paramètres!$A$1:$I$89,3,0)*0.475*44/12</f>
        <v>23.367338938278124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43.831426777121834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488.65384615384613</v>
      </c>
      <c r="L69" s="12">
        <f>VLOOKUP(A69,'Données projet'!$A$35:$I$55,9,0)</f>
        <v>12.05461538461538</v>
      </c>
      <c r="M69" s="12">
        <f t="array" ref="M69">INDEX(L:L,MIN(IF(ISNUMBER(L69:L265),ROW(L69:L265),"")))</f>
        <v>12.05461538461538</v>
      </c>
      <c r="N69" s="13">
        <f>IF('Données projet'!$A$36&gt;35,N68+M69-V68,IF(A69&lt;'Données projet'!$A$36,$K$205^A69,IF(A69='Données projet'!$A$36,'Données projet'!$B$36,N68+M69-V68)))</f>
        <v>488.65384615384613</v>
      </c>
      <c r="O69" s="13">
        <f>N69*VLOOKUP('Données projet'!$B$9,Paramètres!$A$1:$I$89,3,0)*VLOOKUP('Données projet'!$B$9,Paramètres!$A$1:$I$89,5,0)</f>
        <v>292.21500000000003</v>
      </c>
      <c r="P69" s="13">
        <f t="shared" ref="P69:P132" si="87">EXP(-1.0587+0.8836*LN(O69)+0.284)</f>
        <v>69.541939469490984</v>
      </c>
      <c r="Q69" s="20">
        <f t="shared" si="54"/>
        <v>630.06000290936356</v>
      </c>
      <c r="R69" s="59">
        <f t="shared" si="55"/>
        <v>923.39333624269693</v>
      </c>
      <c r="S69" s="59">
        <f ca="1">AVERAGE(OFFSET($R$3,0,0,'Données projet'!$E$9+1,1))-AVERAGE(OFFSET($H$3,0,0,'Données projet'!$E$9+1,1))</f>
        <v>278.21846622758881</v>
      </c>
      <c r="T69" s="59">
        <f t="shared" ref="T69:T132" si="88">$T$3</f>
        <v>245.37578316242906</v>
      </c>
      <c r="U69" s="15">
        <f>IF(ISNA(VLOOKUP(A69,'Données projet'!$A$35:$I$55,3,0)),0,VLOOKUP(A69,'Données projet'!$A$35:$I$55,3,0))</f>
        <v>7</v>
      </c>
      <c r="V69" s="15">
        <f>IF(ISNA(VLOOKUP(A69,'Données projet'!$A$35:$I$55,4,0)),0,VLOOKUP(A69,'Données projet'!$A$35:$I$55,4,0))</f>
        <v>68.146153846153851</v>
      </c>
      <c r="W69" s="16">
        <f>IF(ISNA(VLOOKUP(A69,'Données projet'!$A$35:$I$55,5,0)),0%,VLOOKUP(A69,'Données projet'!$A$35:$I$55,5,0)*VLOOKUP('Données projet'!$B$9,Paramètres!$A$1:$I$89,7,0))</f>
        <v>0.315</v>
      </c>
      <c r="X69" s="16">
        <f>IF(ISNA(VLOOKUP(A69,'Données projet'!$A$35:$I$55,6,0)),0%,VLOOKUP(A69,'Données projet'!$A$35:$I$55,6,0)*VLOOKUP('Données projet'!$B$9,Paramètres!$A$1:$I$89,7,0))</f>
        <v>7.5600000000000001E-2</v>
      </c>
      <c r="Y69" s="16">
        <f>IF(ISNA(VLOOKUP(A69,'Données projet'!$A$35:$I$55,7,0)),0%,VLOOKUP(A69,'Données projet'!$A$35:$I$55,7,0))</f>
        <v>0.13200000000000001</v>
      </c>
      <c r="Z69" s="21">
        <f>EXP(-LN(2)/35)*Z68+(1-EXP(-LN(2)/35))/(LN(2)/35)*V69*W69*VLOOKUP('Données projet'!$B$9,Paramètres!$A$1:$I$89,3,0)*0.475*44/12</f>
        <v>58.926496901088441</v>
      </c>
      <c r="AA69" s="21">
        <f>EXP(-LN(2)/25)*AA68+(1-EXP(-LN(2)/25))/(LN(2)/25)*Calculateur!V69*Calculateur!X69*VLOOKUP('Données projet'!$B$9,Paramètres!$A$1:$I$89,3,0)*0.475*44/12</f>
        <v>14.948128718413415</v>
      </c>
      <c r="AB69" s="21">
        <f>EXP(-LN(2)/2)*AB68+(1-EXP(-LN(2)/2))/(LN(2)/2)*V69*Y69*VLOOKUP('Données projet'!$B$9,Paramètres!$A$1:$I$89,3,0)*0.475*44/12</f>
        <v>6.2648439306852666</v>
      </c>
      <c r="AC69" s="22">
        <f t="shared" si="57"/>
        <v>80.13946955018713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-2.2737367544323206E-13</v>
      </c>
      <c r="AJ69" s="13">
        <f>AI69*VLOOKUP('Données projet'!$B$10,Paramètres!$A$1:$I$89,3,0)*VLOOKUP('Données projet'!$B$10,Paramètres!$A$1:$I$89,5,0)</f>
        <v>-1.3596945791505279E-13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261.13725557061468</v>
      </c>
      <c r="AO69" s="59">
        <f t="shared" ref="AO69:AO132" si="90">$AO$3</f>
        <v>328.18986868293558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133.58991284916843</v>
      </c>
      <c r="AV69" s="21">
        <f>EXP(-LN(2)/25)*AV68+(1-EXP(-LN(2)/25))/(LN(2)/25)*Calculateur!AQ69*Calculateur!AS69*VLOOKUP('Données projet'!$B$10,Paramètres!$A$1:$I$89,3,0)*0.475*44/12</f>
        <v>33.497773853603114</v>
      </c>
      <c r="AW69" s="21">
        <f>EXP(-LN(2)/2)*AW68+(1-EXP(-LN(2)/2))/(LN(2)/2)*AQ69*AT69*VLOOKUP('Données projet'!$B$10,Paramètres!$A$1:$I$89,3,0)*0.475*44/12</f>
        <v>1.2626990919627974</v>
      </c>
      <c r="AX69" s="21">
        <f t="shared" si="60"/>
        <v>168.35038579473434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5.9431089743589762</v>
      </c>
      <c r="BD69" s="12">
        <f>IF('Données projet'!$A$88&gt;35,BD68+BC69-BL68,IF(A69&lt;'Données projet'!$A$88,$BA$205^A69,IF(A69='Données projet'!$A$88,'Données projet'!$B$88,BD68+BC69-BL68)))</f>
        <v>161.91586538461539</v>
      </c>
      <c r="BE69" s="13">
        <f>BD69*VLOOKUP('Données projet'!$B$11,Paramètres!$A$1:$I$89,3,0)*VLOOKUP('Données projet'!$B$11,Paramètres!$A$1:$I$89,5,0)</f>
        <v>164.18268750000001</v>
      </c>
      <c r="BF69" s="13">
        <f t="shared" ref="BF69:BF132" si="91">EXP(-1.0587+0.8836*LN(BE69)+0.284)</f>
        <v>41.784510657121224</v>
      </c>
      <c r="BG69" s="20">
        <f t="shared" si="61"/>
        <v>358.72620345698607</v>
      </c>
      <c r="BH69" s="59">
        <f t="shared" si="62"/>
        <v>652.05953679031938</v>
      </c>
      <c r="BI69" s="59">
        <f ca="1">AVERAGE(OFFSET($BH$3,0,0,'Données projet'!$E$11+1,1))-AVERAGE(OFFSET($H$3,0,0,'Données projet'!$E$11+1,1))</f>
        <v>250.31277422753283</v>
      </c>
      <c r="BJ69" s="59">
        <f t="shared" ref="BJ69:BJ132" si="92">$BJ$3</f>
        <v>159.20429420478047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</v>
      </c>
      <c r="BY69" s="12">
        <f>IF('Données projet'!$A$114&gt;35,BY68+BX69-CG68,IF(A69&lt;'Données projet'!$A$114,$BV$205^A69,IF(A69='Données projet'!$A$114,'Données projet'!$B$114,BY68+BX69-CG68)))</f>
        <v>217</v>
      </c>
      <c r="BZ69" s="13">
        <f>BY69*VLOOKUP('Données projet'!$B$12,Paramètres!$A$1:$I$89,3,0)*VLOOKUP('Données projet'!$B$12,Paramètres!$A$1:$I$89,5,0)</f>
        <v>226.80840000000003</v>
      </c>
      <c r="CA69" s="13">
        <f t="shared" ref="CA69:CA132" si="93">EXP(-1.0587+0.8836*LN(BZ69)+0.284)</f>
        <v>55.592022759242575</v>
      </c>
      <c r="CB69" s="20">
        <f t="shared" si="64"/>
        <v>491.84740297234742</v>
      </c>
      <c r="CC69" s="59">
        <f t="shared" si="65"/>
        <v>785.18073630568074</v>
      </c>
      <c r="CD69" s="59">
        <f ca="1">AVERAGE(OFFSET($CC$3,0,0,'Données projet'!$E$12+1,1))-AVERAGE(OFFSET($H$3,0,0,'Données projet'!$E$12+1,1))</f>
        <v>322.93502595881938</v>
      </c>
      <c r="CE69" s="59">
        <f t="shared" ref="CE69:CE132" si="94">$CE$3</f>
        <v>302.67072119588164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20.062799558185084</v>
      </c>
      <c r="CL69" s="21">
        <f>EXP(-LN(2)/25)*CL68+(1-EXP(-LN(2)/25))/(LN(2)/25)*Calculateur!CG69*Calculateur!CI69*VLOOKUP('Données projet'!$B$12,Paramètres!$A$1:$I$89,3,0)*0.475*44/12</f>
        <v>22.728357826175962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42.791157384361043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9.9715384615384544</v>
      </c>
      <c r="N70" s="13">
        <f>IF('Données projet'!$A$36&gt;35,N69+M70-V69,IF(A70&lt;'Données projet'!$A$36,$K$205^A70,IF(A70='Données projet'!$A$36,'Données projet'!$B$36,N69+M70-V69)))</f>
        <v>430.47923076923075</v>
      </c>
      <c r="O70" s="13">
        <f>N70*VLOOKUP('Données projet'!$B$9,Paramètres!$A$1:$I$89,3,0)*VLOOKUP('Données projet'!$B$9,Paramètres!$A$1:$I$89,5,0)</f>
        <v>257.42658</v>
      </c>
      <c r="P70" s="13">
        <f t="shared" si="87"/>
        <v>62.173511644566837</v>
      </c>
      <c r="Q70" s="20">
        <f t="shared" si="54"/>
        <v>556.63682628095387</v>
      </c>
      <c r="R70" s="59">
        <f t="shared" si="55"/>
        <v>849.97015961428724</v>
      </c>
      <c r="S70" s="59">
        <f ca="1">AVERAGE(OFFSET($R$3,0,0,'Données projet'!$E$9+1,1))-AVERAGE(OFFSET($H$3,0,0,'Données projet'!$E$9+1,1))</f>
        <v>278.21846622758881</v>
      </c>
      <c r="T70" s="59">
        <f t="shared" si="88"/>
        <v>245.37578316242906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57.770984238472266</v>
      </c>
      <c r="AA70" s="21">
        <f>EXP(-LN(2)/25)*AA69+(1-EXP(-LN(2)/25))/(LN(2)/25)*Calculateur!V70*Calculateur!X70*VLOOKUP('Données projet'!$B$9,Paramètres!$A$1:$I$89,3,0)*0.475*44/12</f>
        <v>14.539371352520474</v>
      </c>
      <c r="AB70" s="21">
        <f>EXP(-LN(2)/2)*AB69+(1-EXP(-LN(2)/2))/(LN(2)/2)*V70*Y70*VLOOKUP('Données projet'!$B$9,Paramètres!$A$1:$I$89,3,0)*0.475*44/12</f>
        <v>4.4299136264629375</v>
      </c>
      <c r="AC70" s="22">
        <f t="shared" si="57"/>
        <v>76.740269217455676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-2.2737367544323206E-13</v>
      </c>
      <c r="AJ70" s="13">
        <f>AI70*VLOOKUP('Données projet'!$B$10,Paramètres!$A$1:$I$89,3,0)*VLOOKUP('Données projet'!$B$10,Paramètres!$A$1:$I$89,5,0)</f>
        <v>-1.3596945791505279E-13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261.13725557061468</v>
      </c>
      <c r="AO70" s="59">
        <f t="shared" si="90"/>
        <v>328.18986868293558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130.9702961399974</v>
      </c>
      <c r="AV70" s="21">
        <f>EXP(-LN(2)/25)*AV69+(1-EXP(-LN(2)/25))/(LN(2)/25)*Calculateur!AQ70*Calculateur!AS70*VLOOKUP('Données projet'!$B$10,Paramètres!$A$1:$I$89,3,0)*0.475*44/12</f>
        <v>32.58177546600497</v>
      </c>
      <c r="AW70" s="21">
        <f>EXP(-LN(2)/2)*AW69+(1-EXP(-LN(2)/2))/(LN(2)/2)*AQ70*AT70*VLOOKUP('Données projet'!$B$10,Paramètres!$A$1:$I$89,3,0)*0.475*44/12</f>
        <v>0.89286309052499013</v>
      </c>
      <c r="AX70" s="21">
        <f t="shared" si="60"/>
        <v>164.44493469652735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167.85897435897436</v>
      </c>
      <c r="BB70" s="12">
        <f>VLOOKUP(A70,'Données projet'!$A$87:$I$107,9,0)</f>
        <v>5.9431089743589762</v>
      </c>
      <c r="BC70" s="12">
        <f t="array" ref="BC70">INDEX(BB:BB,MIN(IF(ISNUMBER(BB70:BB266),ROW(BB70:BB266),"")))</f>
        <v>5.9431089743589762</v>
      </c>
      <c r="BD70" s="12">
        <f>IF('Données projet'!$A$88&gt;35,BD69+BC70-BL69,IF(A70&lt;'Données projet'!$A$88,$BA$205^A70,IF(A70='Données projet'!$A$88,'Données projet'!$B$88,BD69+BC70-BL69)))</f>
        <v>167.85897435897436</v>
      </c>
      <c r="BE70" s="13">
        <f>BD70*VLOOKUP('Données projet'!$B$11,Paramètres!$A$1:$I$89,3,0)*VLOOKUP('Données projet'!$B$11,Paramètres!$A$1:$I$89,5,0)</f>
        <v>170.209</v>
      </c>
      <c r="BF70" s="13">
        <f t="shared" si="91"/>
        <v>43.136829285053246</v>
      </c>
      <c r="BG70" s="20">
        <f t="shared" si="61"/>
        <v>371.57731933813437</v>
      </c>
      <c r="BH70" s="59">
        <f t="shared" si="62"/>
        <v>664.91065267146769</v>
      </c>
      <c r="BI70" s="59">
        <f ca="1">AVERAGE(OFFSET($BH$3,0,0,'Données projet'!$E$11+1,1))-AVERAGE(OFFSET($H$3,0,0,'Données projet'!$E$11+1,1))</f>
        <v>250.31277422753283</v>
      </c>
      <c r="BJ70" s="59">
        <f t="shared" si="92"/>
        <v>159.20429420478047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31.993589743589741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</v>
      </c>
      <c r="BY70" s="12">
        <f>IF('Données projet'!$A$114&gt;35,BY69+BX70-CG69,IF(A70&lt;'Données projet'!$A$114,$BV$205^A70,IF(A70='Données projet'!$A$114,'Données projet'!$B$114,BY69+BX70-CG69)))</f>
        <v>222</v>
      </c>
      <c r="BZ70" s="13">
        <f>BY70*VLOOKUP('Données projet'!$B$12,Paramètres!$A$1:$I$89,3,0)*VLOOKUP('Données projet'!$B$12,Paramètres!$A$1:$I$89,5,0)</f>
        <v>232.03440000000003</v>
      </c>
      <c r="CA70" s="13">
        <f t="shared" si="93"/>
        <v>56.722340668285831</v>
      </c>
      <c r="CB70" s="20">
        <f t="shared" si="64"/>
        <v>502.91798999726456</v>
      </c>
      <c r="CC70" s="59">
        <f t="shared" si="65"/>
        <v>796.25132333059787</v>
      </c>
      <c r="CD70" s="59">
        <f ca="1">AVERAGE(OFFSET($CC$3,0,0,'Données projet'!$E$12+1,1))-AVERAGE(OFFSET($H$3,0,0,'Données projet'!$E$12+1,1))</f>
        <v>322.93502595881938</v>
      </c>
      <c r="CE70" s="59">
        <f t="shared" si="94"/>
        <v>302.67072119588164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19.669380295948493</v>
      </c>
      <c r="CL70" s="21">
        <f>EXP(-LN(2)/25)*CL69+(1-EXP(-LN(2)/25))/(LN(2)/25)*Calculateur!CG70*Calculateur!CI70*VLOOKUP('Données projet'!$B$12,Paramètres!$A$1:$I$89,3,0)*0.475*44/12</f>
        <v>22.106849686186788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41.776229982135277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9.9715384615384544</v>
      </c>
      <c r="N71" s="13">
        <f>IF('Données projet'!$A$36&gt;35,N70+M71-V70,IF(A71&lt;'Données projet'!$A$36,$K$205^A71,IF(A71='Données projet'!$A$36,'Données projet'!$B$36,N70+M71-V70)))</f>
        <v>440.4507692307692</v>
      </c>
      <c r="O71" s="13">
        <f>N71*VLOOKUP('Données projet'!$B$9,Paramètres!$A$1:$I$89,3,0)*VLOOKUP('Données projet'!$B$9,Paramètres!$A$1:$I$89,5,0)</f>
        <v>263.38956000000002</v>
      </c>
      <c r="P71" s="13">
        <f t="shared" si="87"/>
        <v>63.444349611612601</v>
      </c>
      <c r="Q71" s="20">
        <f t="shared" si="54"/>
        <v>569.23572590689196</v>
      </c>
      <c r="R71" s="59">
        <f t="shared" si="55"/>
        <v>862.56905924022522</v>
      </c>
      <c r="S71" s="59">
        <f ca="1">AVERAGE(OFFSET($R$3,0,0,'Données projet'!$E$9+1,1))-AVERAGE(OFFSET($H$3,0,0,'Données projet'!$E$9+1,1))</f>
        <v>278.21846622758881</v>
      </c>
      <c r="T71" s="59">
        <f t="shared" si="88"/>
        <v>245.37578316242906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56.638130474376865</v>
      </c>
      <c r="AA71" s="21">
        <f>EXP(-LN(2)/25)*AA70+(1-EXP(-LN(2)/25))/(LN(2)/25)*Calculateur!V71*Calculateur!X71*VLOOKUP('Données projet'!$B$9,Paramètres!$A$1:$I$89,3,0)*0.475*44/12</f>
        <v>14.141791478293493</v>
      </c>
      <c r="AB71" s="21">
        <f>EXP(-LN(2)/2)*AB70+(1-EXP(-LN(2)/2))/(LN(2)/2)*V71*Y71*VLOOKUP('Données projet'!$B$9,Paramètres!$A$1:$I$89,3,0)*0.475*44/12</f>
        <v>3.1324219653426337</v>
      </c>
      <c r="AC71" s="22">
        <f t="shared" si="57"/>
        <v>73.912343918012994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-2.2737367544323206E-13</v>
      </c>
      <c r="AJ71" s="13">
        <f>AI71*VLOOKUP('Données projet'!$B$10,Paramètres!$A$1:$I$89,3,0)*VLOOKUP('Données projet'!$B$10,Paramètres!$A$1:$I$89,5,0)</f>
        <v>-1.3596945791505279E-13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261.13725557061468</v>
      </c>
      <c r="AO71" s="59">
        <f t="shared" si="90"/>
        <v>328.18986868293558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128.4020485166848</v>
      </c>
      <c r="AV71" s="21">
        <f>EXP(-LN(2)/25)*AV70+(1-EXP(-LN(2)/25))/(LN(2)/25)*Calculateur!AQ71*Calculateur!AS71*VLOOKUP('Données projet'!$B$10,Paramètres!$A$1:$I$89,3,0)*0.475*44/12</f>
        <v>31.69082510248596</v>
      </c>
      <c r="AW71" s="21">
        <f>EXP(-LN(2)/2)*AW70+(1-EXP(-LN(2)/2))/(LN(2)/2)*AQ71*AT71*VLOOKUP('Données projet'!$B$10,Paramètres!$A$1:$I$89,3,0)*0.475*44/12</f>
        <v>0.63134954598139881</v>
      </c>
      <c r="AX71" s="21">
        <f t="shared" si="60"/>
        <v>160.72422316515215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5.6899038461538431</v>
      </c>
      <c r="BD71" s="12">
        <f>IF('Données projet'!$A$88&gt;35,BD70+BC71-BL70,IF(A71&lt;'Données projet'!$A$88,$BA$205^A71,IF(A71='Données projet'!$A$88,'Données projet'!$B$88,BD70+BC71-BL70)))</f>
        <v>141.55528846153845</v>
      </c>
      <c r="BE71" s="13">
        <f>BD71*VLOOKUP('Données projet'!$B$11,Paramètres!$A$1:$I$89,3,0)*VLOOKUP('Données projet'!$B$11,Paramètres!$A$1:$I$89,5,0)</f>
        <v>143.53706249999999</v>
      </c>
      <c r="BF71" s="13">
        <f t="shared" si="91"/>
        <v>37.106116440776098</v>
      </c>
      <c r="BG71" s="20">
        <f t="shared" si="61"/>
        <v>314.62020332185165</v>
      </c>
      <c r="BH71" s="59">
        <f t="shared" si="62"/>
        <v>607.95353665518496</v>
      </c>
      <c r="BI71" s="59">
        <f ca="1">AVERAGE(OFFSET($BH$3,0,0,'Données projet'!$E$11+1,1))-AVERAGE(OFFSET($H$3,0,0,'Données projet'!$E$11+1,1))</f>
        <v>250.31277422753283</v>
      </c>
      <c r="BJ71" s="59">
        <f t="shared" si="92"/>
        <v>159.20429420478047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</v>
      </c>
      <c r="BY71" s="12">
        <f>IF('Données projet'!$A$114&gt;35,BY70+BX71-CG70,IF(A71&lt;'Données projet'!$A$114,$BV$205^A71,IF(A71='Données projet'!$A$114,'Données projet'!$B$114,BY70+BX71-CG70)))</f>
        <v>227</v>
      </c>
      <c r="BZ71" s="13">
        <f>BY71*VLOOKUP('Données projet'!$B$12,Paramètres!$A$1:$I$89,3,0)*VLOOKUP('Données projet'!$B$12,Paramètres!$A$1:$I$89,5,0)</f>
        <v>237.2604</v>
      </c>
      <c r="CA71" s="13">
        <f t="shared" si="93"/>
        <v>57.849698927879167</v>
      </c>
      <c r="CB71" s="20">
        <f t="shared" si="64"/>
        <v>513.98342229938953</v>
      </c>
      <c r="CC71" s="59">
        <f t="shared" si="65"/>
        <v>807.31675563272279</v>
      </c>
      <c r="CD71" s="59">
        <f ca="1">AVERAGE(OFFSET($CC$3,0,0,'Données projet'!$E$12+1,1))-AVERAGE(OFFSET($H$3,0,0,'Données projet'!$E$12+1,1))</f>
        <v>322.93502595881938</v>
      </c>
      <c r="CE71" s="59">
        <f t="shared" si="94"/>
        <v>302.67072119588164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19.283675745482306</v>
      </c>
      <c r="CL71" s="21">
        <f>EXP(-LN(2)/25)*CL70+(1-EXP(-LN(2)/25))/(LN(2)/25)*Calculateur!CG71*Calculateur!CI71*VLOOKUP('Données projet'!$B$12,Paramètres!$A$1:$I$89,3,0)*0.475*44/12</f>
        <v>21.50233671896931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40.786012464451616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9.9715384615384544</v>
      </c>
      <c r="N72" s="13">
        <f>IF('Données projet'!$A$36&gt;35,N71+M72-V71,IF(A72&lt;'Données projet'!$A$36,$K$205^A72,IF(A72='Données projet'!$A$36,'Données projet'!$B$36,N71+M72-V71)))</f>
        <v>450.42230769230764</v>
      </c>
      <c r="O72" s="13">
        <f>N72*VLOOKUP('Données projet'!$B$9,Paramètres!$A$1:$I$89,3,0)*VLOOKUP('Données projet'!$B$9,Paramètres!$A$1:$I$89,5,0)</f>
        <v>269.35253999999998</v>
      </c>
      <c r="P72" s="13">
        <f t="shared" si="87"/>
        <v>64.711842740845071</v>
      </c>
      <c r="Q72" s="20">
        <f t="shared" si="54"/>
        <v>581.8287999403052</v>
      </c>
      <c r="R72" s="59">
        <f t="shared" si="55"/>
        <v>875.16213327363857</v>
      </c>
      <c r="S72" s="59">
        <f ca="1">AVERAGE(OFFSET($R$3,0,0,'Données projet'!$E$9+1,1))-AVERAGE(OFFSET($H$3,0,0,'Données projet'!$E$9+1,1))</f>
        <v>278.21846622758881</v>
      </c>
      <c r="T72" s="59">
        <f t="shared" si="88"/>
        <v>245.37578316242906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55.527491281622808</v>
      </c>
      <c r="AA72" s="21">
        <f>EXP(-LN(2)/25)*AA71+(1-EXP(-LN(2)/25))/(LN(2)/25)*Calculateur!V72*Calculateur!X72*VLOOKUP('Données projet'!$B$9,Paramètres!$A$1:$I$89,3,0)*0.475*44/12</f>
        <v>13.755083446635066</v>
      </c>
      <c r="AB72" s="21">
        <f>EXP(-LN(2)/2)*AB71+(1-EXP(-LN(2)/2))/(LN(2)/2)*V72*Y72*VLOOKUP('Données projet'!$B$9,Paramètres!$A$1:$I$89,3,0)*0.475*44/12</f>
        <v>2.2149568132314692</v>
      </c>
      <c r="AC72" s="22">
        <f t="shared" si="57"/>
        <v>71.497531541489337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-2.2737367544323206E-13</v>
      </c>
      <c r="AJ72" s="13">
        <f>AI72*VLOOKUP('Données projet'!$B$10,Paramètres!$A$1:$I$89,3,0)*VLOOKUP('Données projet'!$B$10,Paramètres!$A$1:$I$89,5,0)</f>
        <v>-1.3596945791505279E-13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261.13725557061468</v>
      </c>
      <c r="AO72" s="59">
        <f t="shared" si="90"/>
        <v>328.18986868293558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125.884162662789</v>
      </c>
      <c r="AV72" s="21">
        <f>EXP(-LN(2)/25)*AV71+(1-EXP(-LN(2)/25))/(LN(2)/25)*Calculateur!AQ72*Calculateur!AS72*VLOOKUP('Données projet'!$B$10,Paramètres!$A$1:$I$89,3,0)*0.475*44/12</f>
        <v>30.824237823510419</v>
      </c>
      <c r="AW72" s="21">
        <f>EXP(-LN(2)/2)*AW71+(1-EXP(-LN(2)/2))/(LN(2)/2)*AQ72*AT72*VLOOKUP('Données projet'!$B$10,Paramètres!$A$1:$I$89,3,0)*0.475*44/12</f>
        <v>0.44643154526249512</v>
      </c>
      <c r="AX72" s="21">
        <f t="shared" si="60"/>
        <v>157.15483203156191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5.6899038461538431</v>
      </c>
      <c r="BD72" s="12">
        <f>IF('Données projet'!$A$88&gt;35,BD71+BC72-BL71,IF(A72&lt;'Données projet'!$A$88,$BA$205^A72,IF(A72='Données projet'!$A$88,'Données projet'!$B$88,BD71+BC72-BL71)))</f>
        <v>147.24519230769229</v>
      </c>
      <c r="BE72" s="13">
        <f>BD72*VLOOKUP('Données projet'!$B$11,Paramètres!$A$1:$I$89,3,0)*VLOOKUP('Données projet'!$B$11,Paramètres!$A$1:$I$89,5,0)</f>
        <v>149.306625</v>
      </c>
      <c r="BF72" s="13">
        <f t="shared" si="91"/>
        <v>38.420971199416954</v>
      </c>
      <c r="BG72" s="20">
        <f t="shared" si="61"/>
        <v>326.95889671398453</v>
      </c>
      <c r="BH72" s="59">
        <f t="shared" si="62"/>
        <v>620.29223004731784</v>
      </c>
      <c r="BI72" s="59">
        <f ca="1">AVERAGE(OFFSET($BH$3,0,0,'Données projet'!$E$11+1,1))-AVERAGE(OFFSET($H$3,0,0,'Données projet'!$E$11+1,1))</f>
        <v>250.31277422753283</v>
      </c>
      <c r="BJ72" s="59">
        <f t="shared" si="92"/>
        <v>159.20429420478047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</v>
      </c>
      <c r="BY72" s="12">
        <f>IF('Données projet'!$A$114&gt;35,BY71+BX72-CG71,IF(A72&lt;'Données projet'!$A$114,$BV$205^A72,IF(A72='Données projet'!$A$114,'Données projet'!$B$114,BY71+BX72-CG71)))</f>
        <v>232</v>
      </c>
      <c r="BZ72" s="13">
        <f>BY72*VLOOKUP('Données projet'!$B$12,Paramètres!$A$1:$I$89,3,0)*VLOOKUP('Données projet'!$B$12,Paramètres!$A$1:$I$89,5,0)</f>
        <v>242.4864</v>
      </c>
      <c r="CA72" s="13">
        <f t="shared" si="93"/>
        <v>58.974170235372419</v>
      </c>
      <c r="CB72" s="20">
        <f t="shared" si="64"/>
        <v>525.04382649327351</v>
      </c>
      <c r="CC72" s="59">
        <f t="shared" si="65"/>
        <v>818.37715982660688</v>
      </c>
      <c r="CD72" s="59">
        <f ca="1">AVERAGE(OFFSET($CC$3,0,0,'Données projet'!$E$12+1,1))-AVERAGE(OFFSET($H$3,0,0,'Données projet'!$E$12+1,1))</f>
        <v>322.93502595881938</v>
      </c>
      <c r="CE72" s="59">
        <f t="shared" si="94"/>
        <v>302.67072119588164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18.905534625994214</v>
      </c>
      <c r="CL72" s="21">
        <f>EXP(-LN(2)/25)*CL71+(1-EXP(-LN(2)/25))/(LN(2)/25)*Calculateur!CG72*Calculateur!CI72*VLOOKUP('Données projet'!$B$12,Paramètres!$A$1:$I$89,3,0)*0.475*44/12</f>
        <v>20.914354190630352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39.819888816624569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9.9715384615384544</v>
      </c>
      <c r="N73" s="13">
        <f>IF('Données projet'!$A$36&gt;35,N72+M73-V72,IF(A73&lt;'Données projet'!$A$36,$K$205^A73,IF(A73='Données projet'!$A$36,'Données projet'!$B$36,N72+M73-V72)))</f>
        <v>460.39384615384608</v>
      </c>
      <c r="O73" s="13">
        <f>N73*VLOOKUP('Données projet'!$B$9,Paramètres!$A$1:$I$89,3,0)*VLOOKUP('Données projet'!$B$9,Paramètres!$A$1:$I$89,5,0)</f>
        <v>275.31551999999994</v>
      </c>
      <c r="P73" s="13">
        <f t="shared" si="87"/>
        <v>65.976073607419792</v>
      </c>
      <c r="Q73" s="20">
        <f t="shared" si="54"/>
        <v>594.41619219958932</v>
      </c>
      <c r="R73" s="59">
        <f t="shared" si="55"/>
        <v>887.74952553292269</v>
      </c>
      <c r="S73" s="59">
        <f ca="1">AVERAGE(OFFSET($R$3,0,0,'Données projet'!$E$9+1,1))-AVERAGE(OFFSET($H$3,0,0,'Données projet'!$E$9+1,1))</f>
        <v>278.21846622758881</v>
      </c>
      <c r="T73" s="59">
        <f t="shared" si="88"/>
        <v>245.37578316242906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54.438631046015637</v>
      </c>
      <c r="AA73" s="21">
        <f>EXP(-LN(2)/25)*AA72+(1-EXP(-LN(2)/25))/(LN(2)/25)*Calculateur!V73*Calculateur!X73*VLOOKUP('Données projet'!$B$9,Paramètres!$A$1:$I$89,3,0)*0.475*44/12</f>
        <v>13.378949966438428</v>
      </c>
      <c r="AB73" s="21">
        <f>EXP(-LN(2)/2)*AB72+(1-EXP(-LN(2)/2))/(LN(2)/2)*V73*Y73*VLOOKUP('Données projet'!$B$9,Paramètres!$A$1:$I$89,3,0)*0.475*44/12</f>
        <v>1.5662109826713173</v>
      </c>
      <c r="AC73" s="22">
        <f t="shared" si="57"/>
        <v>69.383791995125392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-2.2737367544323206E-13</v>
      </c>
      <c r="AJ73" s="13">
        <f>AI73*VLOOKUP('Données projet'!$B$10,Paramètres!$A$1:$I$89,3,0)*VLOOKUP('Données projet'!$B$10,Paramètres!$A$1:$I$89,5,0)</f>
        <v>-1.3596945791505279E-13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261.13725557061468</v>
      </c>
      <c r="AO73" s="59">
        <f t="shared" si="90"/>
        <v>328.18986868293558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123.41565101472936</v>
      </c>
      <c r="AV73" s="21">
        <f>EXP(-LN(2)/25)*AV72+(1-EXP(-LN(2)/25))/(LN(2)/25)*Calculateur!AQ73*Calculateur!AS73*VLOOKUP('Données projet'!$B$10,Paramètres!$A$1:$I$89,3,0)*0.475*44/12</f>
        <v>29.981347419250309</v>
      </c>
      <c r="AW73" s="21">
        <f>EXP(-LN(2)/2)*AW72+(1-EXP(-LN(2)/2))/(LN(2)/2)*AQ73*AT73*VLOOKUP('Données projet'!$B$10,Paramètres!$A$1:$I$89,3,0)*0.475*44/12</f>
        <v>0.31567477299069946</v>
      </c>
      <c r="AX73" s="21">
        <f t="shared" si="60"/>
        <v>153.71267320697035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5.6899038461538431</v>
      </c>
      <c r="BD73" s="12">
        <f>IF('Données projet'!$A$88&gt;35,BD72+BC73-BL72,IF(A73&lt;'Données projet'!$A$88,$BA$205^A73,IF(A73='Données projet'!$A$88,'Données projet'!$B$88,BD72+BC73-BL72)))</f>
        <v>152.93509615384613</v>
      </c>
      <c r="BE73" s="13">
        <f>BD73*VLOOKUP('Données projet'!$B$11,Paramètres!$A$1:$I$89,3,0)*VLOOKUP('Données projet'!$B$11,Paramètres!$A$1:$I$89,5,0)</f>
        <v>155.0761875</v>
      </c>
      <c r="BF73" s="13">
        <f t="shared" si="91"/>
        <v>39.729923507145784</v>
      </c>
      <c r="BG73" s="20">
        <f t="shared" si="61"/>
        <v>339.28731000411216</v>
      </c>
      <c r="BH73" s="59">
        <f t="shared" si="62"/>
        <v>632.62064333744547</v>
      </c>
      <c r="BI73" s="59">
        <f ca="1">AVERAGE(OFFSET($BH$3,0,0,'Données projet'!$E$11+1,1))-AVERAGE(OFFSET($H$3,0,0,'Données projet'!$E$11+1,1))</f>
        <v>250.31277422753283</v>
      </c>
      <c r="BJ73" s="59">
        <f t="shared" si="92"/>
        <v>159.20429420478047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237</v>
      </c>
      <c r="BW73" s="12">
        <f>VLOOKUP(A73,'Données projet'!$A$113:$I$133,9,0)</f>
        <v>5</v>
      </c>
      <c r="BX73" s="12">
        <f t="array" ref="BX73">INDEX(BW:BW,MIN(IF(ISNUMBER(BW73:BW269),ROW(BW73:BW269),"")))</f>
        <v>5</v>
      </c>
      <c r="BY73" s="12">
        <f>IF('Données projet'!$A$114&gt;35,BY72+BX73-CG72,IF(A73&lt;'Données projet'!$A$114,$BV$205^A73,IF(A73='Données projet'!$A$114,'Données projet'!$B$114,BY72+BX73-CG72)))</f>
        <v>237</v>
      </c>
      <c r="BZ73" s="13">
        <f>BY73*VLOOKUP('Données projet'!$B$12,Paramètres!$A$1:$I$89,3,0)*VLOOKUP('Données projet'!$B$12,Paramètres!$A$1:$I$89,5,0)</f>
        <v>247.71240000000003</v>
      </c>
      <c r="CA73" s="13">
        <f t="shared" si="93"/>
        <v>60.095823975624157</v>
      </c>
      <c r="CB73" s="20">
        <f t="shared" si="64"/>
        <v>536.099323424212</v>
      </c>
      <c r="CC73" s="59">
        <f t="shared" si="65"/>
        <v>829.43265675754537</v>
      </c>
      <c r="CD73" s="59">
        <f ca="1">AVERAGE(OFFSET($CC$3,0,0,'Données projet'!$E$12+1,1))-AVERAGE(OFFSET($H$3,0,0,'Données projet'!$E$12+1,1))</f>
        <v>322.93502595881938</v>
      </c>
      <c r="CE73" s="59">
        <f t="shared" si="94"/>
        <v>302.67072119588164</v>
      </c>
      <c r="CF73" s="15">
        <f>IF(ISNA(VLOOKUP(A73,'Données projet'!$A$113:$I$133,3,0)),0,VLOOKUP(A73,'Données projet'!$A$113:$I$133,3,0))</f>
        <v>11</v>
      </c>
      <c r="CG73" s="15" t="str">
        <f>IF(ISNA(VLOOKUP(A73,'Données projet'!$A$113:$I$133,4,0)),0,VLOOKUP(A73,'Données projet'!$A$113:$I$133,4,0))</f>
        <v>18</v>
      </c>
      <c r="CH73" s="16">
        <f>IF(ISNA(VLOOKUP(A73,'Données projet'!$A$113:$I$133,5,0)),0%,VLOOKUP(A73,'Données projet'!$A$113:$I$133,5,0)*VLOOKUP('Données projet'!$B$12,Paramètres!$A$1:$I$89,7,0))</f>
        <v>0.215</v>
      </c>
      <c r="CI73" s="16">
        <f>IF(ISNA(VLOOKUP(A73,'Données projet'!$A$113:$I$133,6,0)),0%,VLOOKUP(A73,'Données projet'!$A$113:$I$133,6,0)*VLOOKUP('Données projet'!$B$12,Paramètres!$A$1:$I$89,7,0))</f>
        <v>0.17200000000000001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23.00635229267791</v>
      </c>
      <c r="CL73" s="21">
        <f>EXP(-LN(2)/25)*CL72+(1-EXP(-LN(2)/25))/(LN(2)/25)*Calculateur!CG73*Calculateur!CI73*VLOOKUP('Données projet'!$B$12,Paramètres!$A$1:$I$89,3,0)*0.475*44/12</f>
        <v>23.905600074044322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46.911952366722232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9.9715384615384544</v>
      </c>
      <c r="N74" s="13">
        <f>IF('Données projet'!$A$36&gt;35,N73+M74-V73,IF(A74&lt;'Données projet'!$A$36,$K$205^A74,IF(A74='Données projet'!$A$36,'Données projet'!$B$36,N73+M74-V73)))</f>
        <v>470.36538461538453</v>
      </c>
      <c r="O74" s="13">
        <f>N74*VLOOKUP('Données projet'!$B$9,Paramètres!$A$1:$I$89,3,0)*VLOOKUP('Données projet'!$B$9,Paramètres!$A$1:$I$89,5,0)</f>
        <v>281.27849999999995</v>
      </c>
      <c r="P74" s="13">
        <f t="shared" si="87"/>
        <v>67.23712100524989</v>
      </c>
      <c r="Q74" s="20">
        <f t="shared" si="54"/>
        <v>606.99803991747683</v>
      </c>
      <c r="R74" s="59">
        <f t="shared" si="55"/>
        <v>900.3313732508102</v>
      </c>
      <c r="S74" s="59">
        <f ca="1">AVERAGE(OFFSET($R$3,0,0,'Données projet'!$E$9+1,1))-AVERAGE(OFFSET($H$3,0,0,'Données projet'!$E$9+1,1))</f>
        <v>278.21846622758881</v>
      </c>
      <c r="T74" s="59">
        <f t="shared" si="88"/>
        <v>245.37578316242906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53.371122695489554</v>
      </c>
      <c r="AA74" s="21">
        <f>EXP(-LN(2)/25)*AA73+(1-EXP(-LN(2)/25))/(LN(2)/25)*Calculateur!V74*Calculateur!X74*VLOOKUP('Données projet'!$B$9,Paramètres!$A$1:$I$89,3,0)*0.475*44/12</f>
        <v>13.013101876037769</v>
      </c>
      <c r="AB74" s="21">
        <f>EXP(-LN(2)/2)*AB73+(1-EXP(-LN(2)/2))/(LN(2)/2)*V74*Y74*VLOOKUP('Données projet'!$B$9,Paramètres!$A$1:$I$89,3,0)*0.475*44/12</f>
        <v>1.1074784066157348</v>
      </c>
      <c r="AC74" s="22">
        <f t="shared" si="57"/>
        <v>67.491702978143067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-2.2737367544323206E-13</v>
      </c>
      <c r="AJ74" s="13">
        <f>AI74*VLOOKUP('Données projet'!$B$10,Paramètres!$A$1:$I$89,3,0)*VLOOKUP('Données projet'!$B$10,Paramètres!$A$1:$I$89,5,0)</f>
        <v>-1.3596945791505279E-13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261.13725557061468</v>
      </c>
      <c r="AO74" s="59">
        <f t="shared" si="90"/>
        <v>328.18986868293558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120.99554537444475</v>
      </c>
      <c r="AV74" s="21">
        <f>EXP(-LN(2)/25)*AV73+(1-EXP(-LN(2)/25))/(LN(2)/25)*Calculateur!AQ74*Calculateur!AS74*VLOOKUP('Données projet'!$B$10,Paramètres!$A$1:$I$89,3,0)*0.475*44/12</f>
        <v>29.161505897420373</v>
      </c>
      <c r="AW74" s="21">
        <f>EXP(-LN(2)/2)*AW73+(1-EXP(-LN(2)/2))/(LN(2)/2)*AQ74*AT74*VLOOKUP('Données projet'!$B$10,Paramètres!$A$1:$I$89,3,0)*0.475*44/12</f>
        <v>0.22321577263124759</v>
      </c>
      <c r="AX74" s="21">
        <f t="shared" si="60"/>
        <v>150.38026704449638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5.6899038461538431</v>
      </c>
      <c r="BD74" s="12">
        <f>IF('Données projet'!$A$88&gt;35,BD73+BC74-BL73,IF(A74&lt;'Données projet'!$A$88,$BA$205^A74,IF(A74='Données projet'!$A$88,'Données projet'!$B$88,BD73+BC74-BL73)))</f>
        <v>158.62499999999997</v>
      </c>
      <c r="BE74" s="13">
        <f>BD74*VLOOKUP('Données projet'!$B$11,Paramètres!$A$1:$I$89,3,0)*VLOOKUP('Données projet'!$B$11,Paramètres!$A$1:$I$89,5,0)</f>
        <v>160.84574999999998</v>
      </c>
      <c r="BF74" s="13">
        <f t="shared" si="91"/>
        <v>41.033218108988017</v>
      </c>
      <c r="BG74" s="20">
        <f t="shared" si="61"/>
        <v>351.60586945648743</v>
      </c>
      <c r="BH74" s="59">
        <f t="shared" si="62"/>
        <v>644.93920278982068</v>
      </c>
      <c r="BI74" s="59">
        <f ca="1">AVERAGE(OFFSET($BH$3,0,0,'Données projet'!$E$11+1,1))-AVERAGE(OFFSET($H$3,0,0,'Données projet'!$E$11+1,1))</f>
        <v>250.31277422753283</v>
      </c>
      <c r="BJ74" s="59">
        <f t="shared" si="92"/>
        <v>159.20429420478047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4.4000000000000004</v>
      </c>
      <c r="BY74" s="12">
        <f>IF('Données projet'!$A$114&gt;35,BY73+BX74-CG73,IF(A74&lt;'Données projet'!$A$114,$BV$205^A74,IF(A74='Données projet'!$A$114,'Données projet'!$B$114,BY73+BX74-CG73)))</f>
        <v>223.4</v>
      </c>
      <c r="BZ74" s="13">
        <f>BY74*VLOOKUP('Données projet'!$B$12,Paramètres!$A$1:$I$89,3,0)*VLOOKUP('Données projet'!$B$12,Paramètres!$A$1:$I$89,5,0)</f>
        <v>233.49768000000006</v>
      </c>
      <c r="CA74" s="13">
        <f t="shared" si="93"/>
        <v>57.038296123496387</v>
      </c>
      <c r="CB74" s="20">
        <f t="shared" si="64"/>
        <v>506.01682508175622</v>
      </c>
      <c r="CC74" s="59">
        <f t="shared" si="65"/>
        <v>799.35015841508948</v>
      </c>
      <c r="CD74" s="59">
        <f ca="1">AVERAGE(OFFSET($CC$3,0,0,'Données projet'!$E$12+1,1))-AVERAGE(OFFSET($H$3,0,0,'Données projet'!$E$12+1,1))</f>
        <v>322.93502595881938</v>
      </c>
      <c r="CE74" s="59">
        <f t="shared" si="94"/>
        <v>302.67072119588164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22.555211756707802</v>
      </c>
      <c r="CL74" s="21">
        <f>EXP(-LN(2)/25)*CL73+(1-EXP(-LN(2)/25))/(LN(2)/25)*Calculateur!CG74*Calculateur!CI74*VLOOKUP('Données projet'!$B$12,Paramètres!$A$1:$I$89,3,0)*0.475*44/12</f>
        <v>23.25190018287871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45.807111939586513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9.9715384615384544</v>
      </c>
      <c r="N75" s="13">
        <f>IF('Données projet'!$A$36&gt;35,N74+M75-V74,IF(A75&lt;'Données projet'!$A$36,$K$205^A75,IF(A75='Données projet'!$A$36,'Données projet'!$B$36,N74+M75-V74)))</f>
        <v>480.33692307692297</v>
      </c>
      <c r="O75" s="13">
        <f>N75*VLOOKUP('Données projet'!$B$9,Paramètres!$A$1:$I$89,3,0)*VLOOKUP('Données projet'!$B$9,Paramètres!$A$1:$I$89,5,0)</f>
        <v>287.24147999999997</v>
      </c>
      <c r="P75" s="13">
        <f t="shared" si="87"/>
        <v>68.495060196585953</v>
      </c>
      <c r="Q75" s="20">
        <f t="shared" si="54"/>
        <v>619.57447417572041</v>
      </c>
      <c r="R75" s="59">
        <f t="shared" si="55"/>
        <v>912.90780750905378</v>
      </c>
      <c r="S75" s="59">
        <f ca="1">AVERAGE(OFFSET($R$3,0,0,'Données projet'!$E$9+1,1))-AVERAGE(OFFSET($H$3,0,0,'Données projet'!$E$9+1,1))</f>
        <v>278.21846622758881</v>
      </c>
      <c r="T75" s="59">
        <f t="shared" si="88"/>
        <v>245.37578316242906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52.324547532601493</v>
      </c>
      <c r="AA75" s="21">
        <f>EXP(-LN(2)/25)*AA74+(1-EXP(-LN(2)/25))/(LN(2)/25)*Calculateur!V75*Calculateur!X75*VLOOKUP('Données projet'!$B$9,Paramètres!$A$1:$I$89,3,0)*0.475*44/12</f>
        <v>12.657257920908231</v>
      </c>
      <c r="AB75" s="21">
        <f>EXP(-LN(2)/2)*AB74+(1-EXP(-LN(2)/2))/(LN(2)/2)*V75*Y75*VLOOKUP('Données projet'!$B$9,Paramètres!$A$1:$I$89,3,0)*0.475*44/12</f>
        <v>0.78310549133565877</v>
      </c>
      <c r="AC75" s="22">
        <f t="shared" si="57"/>
        <v>65.764910944845383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-2.2737367544323206E-13</v>
      </c>
      <c r="AJ75" s="13">
        <f>AI75*VLOOKUP('Données projet'!$B$10,Paramètres!$A$1:$I$89,3,0)*VLOOKUP('Données projet'!$B$10,Paramètres!$A$1:$I$89,5,0)</f>
        <v>-1.3596945791505279E-13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261.13725557061468</v>
      </c>
      <c r="AO75" s="59">
        <f t="shared" si="90"/>
        <v>328.18986868293558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118.62289652964742</v>
      </c>
      <c r="AV75" s="21">
        <f>EXP(-LN(2)/25)*AV74+(1-EXP(-LN(2)/25))/(LN(2)/25)*Calculateur!AQ75*Calculateur!AS75*VLOOKUP('Données projet'!$B$10,Paramètres!$A$1:$I$89,3,0)*0.475*44/12</f>
        <v>28.364082985118468</v>
      </c>
      <c r="AW75" s="21">
        <f>EXP(-LN(2)/2)*AW74+(1-EXP(-LN(2)/2))/(LN(2)/2)*AQ75*AT75*VLOOKUP('Données projet'!$B$10,Paramètres!$A$1:$I$89,3,0)*0.475*44/12</f>
        <v>0.15783738649534973</v>
      </c>
      <c r="AX75" s="21">
        <f t="shared" si="60"/>
        <v>147.14481690126124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5.6899038461538431</v>
      </c>
      <c r="BD75" s="12">
        <f>IF('Données projet'!$A$88&gt;35,BD74+BC75-BL74,IF(A75&lt;'Données projet'!$A$88,$BA$205^A75,IF(A75='Données projet'!$A$88,'Données projet'!$B$88,BD74+BC75-BL74)))</f>
        <v>164.31490384615381</v>
      </c>
      <c r="BE75" s="13">
        <f>BD75*VLOOKUP('Données projet'!$B$11,Paramètres!$A$1:$I$89,3,0)*VLOOKUP('Données projet'!$B$11,Paramètres!$A$1:$I$89,5,0)</f>
        <v>166.61531249999999</v>
      </c>
      <c r="BF75" s="13">
        <f t="shared" si="91"/>
        <v>42.331081196606618</v>
      </c>
      <c r="BG75" s="20">
        <f t="shared" si="61"/>
        <v>363.9149690215898</v>
      </c>
      <c r="BH75" s="59">
        <f t="shared" si="62"/>
        <v>657.24830235492311</v>
      </c>
      <c r="BI75" s="59">
        <f ca="1">AVERAGE(OFFSET($BH$3,0,0,'Données projet'!$E$11+1,1))-AVERAGE(OFFSET($H$3,0,0,'Données projet'!$E$11+1,1))</f>
        <v>250.31277422753283</v>
      </c>
      <c r="BJ75" s="59">
        <f t="shared" si="92"/>
        <v>159.20429420478047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4.4000000000000004</v>
      </c>
      <c r="BY75" s="12">
        <f>IF('Données projet'!$A$114&gt;35,BY74+BX75-CG74,IF(A75&lt;'Données projet'!$A$114,$BV$205^A75,IF(A75='Données projet'!$A$114,'Données projet'!$B$114,BY74+BX75-CG74)))</f>
        <v>227.8</v>
      </c>
      <c r="BZ75" s="13">
        <f>BY75*VLOOKUP('Données projet'!$B$12,Paramètres!$A$1:$I$89,3,0)*VLOOKUP('Données projet'!$B$12,Paramètres!$A$1:$I$89,5,0)</f>
        <v>238.09656000000001</v>
      </c>
      <c r="CA75" s="13">
        <f t="shared" si="93"/>
        <v>58.029806498941532</v>
      </c>
      <c r="CB75" s="20">
        <f t="shared" si="64"/>
        <v>515.75342165232314</v>
      </c>
      <c r="CC75" s="59">
        <f t="shared" si="65"/>
        <v>809.0867549856564</v>
      </c>
      <c r="CD75" s="59">
        <f ca="1">AVERAGE(OFFSET($CC$3,0,0,'Données projet'!$E$12+1,1))-AVERAGE(OFFSET($H$3,0,0,'Données projet'!$E$12+1,1))</f>
        <v>322.93502595881938</v>
      </c>
      <c r="CE75" s="59">
        <f t="shared" si="94"/>
        <v>302.67072119588164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22.112917811479512</v>
      </c>
      <c r="CL75" s="21">
        <f>EXP(-LN(2)/25)*CL74+(1-EXP(-LN(2)/25))/(LN(2)/25)*Calculateur!CG75*Calculateur!CI75*VLOOKUP('Données projet'!$B$12,Paramètres!$A$1:$I$89,3,0)*0.475*44/12</f>
        <v>22.616075749613604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44.72899356109312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9.9715384615384544</v>
      </c>
      <c r="N76" s="13">
        <f>IF('Données projet'!$A$36&gt;35,N75+M76-V75,IF(A76&lt;'Données projet'!$A$36,$K$205^A76,IF(A76='Données projet'!$A$36,'Données projet'!$B$36,N75+M76-V75)))</f>
        <v>490.30846153846142</v>
      </c>
      <c r="O76" s="13">
        <f>N76*VLOOKUP('Données projet'!$B$9,Paramètres!$A$1:$I$89,3,0)*VLOOKUP('Données projet'!$B$9,Paramètres!$A$1:$I$89,5,0)</f>
        <v>293.20445999999993</v>
      </c>
      <c r="P76" s="13">
        <f t="shared" si="87"/>
        <v>69.749963140285985</v>
      </c>
      <c r="Q76" s="20">
        <f t="shared" si="54"/>
        <v>632.14562030266472</v>
      </c>
      <c r="R76" s="59">
        <f t="shared" si="55"/>
        <v>925.4789536359981</v>
      </c>
      <c r="S76" s="59">
        <f ca="1">AVERAGE(OFFSET($R$3,0,0,'Données projet'!$E$9+1,1))-AVERAGE(OFFSET($H$3,0,0,'Données projet'!$E$9+1,1))</f>
        <v>278.21846622758881</v>
      </c>
      <c r="T76" s="59">
        <f t="shared" si="88"/>
        <v>245.37578316242906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51.298495070309848</v>
      </c>
      <c r="AA76" s="21">
        <f>EXP(-LN(2)/25)*AA75+(1-EXP(-LN(2)/25))/(LN(2)/25)*Calculateur!V76*Calculateur!X76*VLOOKUP('Données projet'!$B$9,Paramètres!$A$1:$I$89,3,0)*0.475*44/12</f>
        <v>12.311144537444729</v>
      </c>
      <c r="AB76" s="21">
        <f>EXP(-LN(2)/2)*AB75+(1-EXP(-LN(2)/2))/(LN(2)/2)*V76*Y76*VLOOKUP('Données projet'!$B$9,Paramètres!$A$1:$I$89,3,0)*0.475*44/12</f>
        <v>0.55373920330786752</v>
      </c>
      <c r="AC76" s="22">
        <f t="shared" si="57"/>
        <v>64.163378811062444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-2.2737367544323206E-13</v>
      </c>
      <c r="AJ76" s="13">
        <f>AI76*VLOOKUP('Données projet'!$B$10,Paramètres!$A$1:$I$89,3,0)*VLOOKUP('Données projet'!$B$10,Paramètres!$A$1:$I$89,5,0)</f>
        <v>-1.3596945791505279E-13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261.13725557061468</v>
      </c>
      <c r="AO76" s="59">
        <f t="shared" si="90"/>
        <v>328.18986868293558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116.29677388152366</v>
      </c>
      <c r="AV76" s="21">
        <f>EXP(-LN(2)/25)*AV75+(1-EXP(-LN(2)/25))/(LN(2)/25)*Calculateur!AQ76*Calculateur!AS76*VLOOKUP('Données projet'!$B$10,Paramètres!$A$1:$I$89,3,0)*0.475*44/12</f>
        <v>27.588465644288107</v>
      </c>
      <c r="AW76" s="21">
        <f>EXP(-LN(2)/2)*AW75+(1-EXP(-LN(2)/2))/(LN(2)/2)*AQ76*AT76*VLOOKUP('Données projet'!$B$10,Paramètres!$A$1:$I$89,3,0)*0.475*44/12</f>
        <v>0.11160788631562379</v>
      </c>
      <c r="AX76" s="21">
        <f t="shared" si="60"/>
        <v>143.99684741212738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5.6899038461538431</v>
      </c>
      <c r="BD76" s="12">
        <f>IF('Données projet'!$A$88&gt;35,BD75+BC76-BL75,IF(A76&lt;'Données projet'!$A$88,$BA$205^A76,IF(A76='Données projet'!$A$88,'Données projet'!$B$88,BD75+BC76-BL75)))</f>
        <v>170.00480769230765</v>
      </c>
      <c r="BE76" s="13">
        <f>BD76*VLOOKUP('Données projet'!$B$11,Paramètres!$A$1:$I$89,3,0)*VLOOKUP('Données projet'!$B$11,Paramètres!$A$1:$I$89,5,0)</f>
        <v>172.38487499999997</v>
      </c>
      <c r="BF76" s="13">
        <f t="shared" si="91"/>
        <v>43.623722408092668</v>
      </c>
      <c r="BG76" s="20">
        <f t="shared" si="61"/>
        <v>376.21497381909467</v>
      </c>
      <c r="BH76" s="59">
        <f t="shared" si="62"/>
        <v>669.54830715242792</v>
      </c>
      <c r="BI76" s="59">
        <f ca="1">AVERAGE(OFFSET($BH$3,0,0,'Données projet'!$E$11+1,1))-AVERAGE(OFFSET($H$3,0,0,'Données projet'!$E$11+1,1))</f>
        <v>250.31277422753283</v>
      </c>
      <c r="BJ76" s="59">
        <f t="shared" si="92"/>
        <v>159.20429420478047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4.4000000000000004</v>
      </c>
      <c r="BY76" s="12">
        <f>IF('Données projet'!$A$114&gt;35,BY75+BX76-CG75,IF(A76&lt;'Données projet'!$A$114,$BV$205^A76,IF(A76='Données projet'!$A$114,'Données projet'!$B$114,BY75+BX76-CG75)))</f>
        <v>232.20000000000002</v>
      </c>
      <c r="BZ76" s="13">
        <f>BY76*VLOOKUP('Données projet'!$B$12,Paramètres!$A$1:$I$89,3,0)*VLOOKUP('Données projet'!$B$12,Paramètres!$A$1:$I$89,5,0)</f>
        <v>242.69544000000002</v>
      </c>
      <c r="CA76" s="13">
        <f t="shared" si="93"/>
        <v>59.019090031230249</v>
      </c>
      <c r="CB76" s="20">
        <f t="shared" si="64"/>
        <v>525.48613980439268</v>
      </c>
      <c r="CC76" s="59">
        <f t="shared" si="65"/>
        <v>818.81947313772594</v>
      </c>
      <c r="CD76" s="59">
        <f ca="1">AVERAGE(OFFSET($CC$3,0,0,'Données projet'!$E$12+1,1))-AVERAGE(OFFSET($H$3,0,0,'Données projet'!$E$12+1,1))</f>
        <v>322.93502595881938</v>
      </c>
      <c r="CE76" s="59">
        <f t="shared" si="94"/>
        <v>302.67072119588164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21.679296980744478</v>
      </c>
      <c r="CL76" s="21">
        <f>EXP(-LN(2)/25)*CL75+(1-EXP(-LN(2)/25))/(LN(2)/25)*Calculateur!CG76*Calculateur!CI76*VLOOKUP('Données projet'!$B$12,Paramètres!$A$1:$I$89,3,0)*0.475*44/12</f>
        <v>21.997637968912684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43.676934949657166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9.9715384615384544</v>
      </c>
      <c r="N77" s="13">
        <f>IF('Données projet'!$A$36&gt;35,N76+M77-V76,IF(A77&lt;'Données projet'!$A$36,$K$205^A77,IF(A77='Données projet'!$A$36,'Données projet'!$B$36,N76+M77-V76)))</f>
        <v>500.27999999999986</v>
      </c>
      <c r="O77" s="13">
        <f>N77*VLOOKUP('Données projet'!$B$9,Paramètres!$A$1:$I$89,3,0)*VLOOKUP('Données projet'!$B$9,Paramètres!$A$1:$I$89,5,0)</f>
        <v>299.16743999999994</v>
      </c>
      <c r="P77" s="13">
        <f t="shared" si="87"/>
        <v>71.001898700991546</v>
      </c>
      <c r="Q77" s="20">
        <f t="shared" si="54"/>
        <v>644.71159823756022</v>
      </c>
      <c r="R77" s="59">
        <f t="shared" si="55"/>
        <v>938.0449315708936</v>
      </c>
      <c r="S77" s="59">
        <f ca="1">AVERAGE(OFFSET($R$3,0,0,'Données projet'!$E$9+1,1))-AVERAGE(OFFSET($H$3,0,0,'Données projet'!$E$9+1,1))</f>
        <v>278.21846622758881</v>
      </c>
      <c r="T77" s="59">
        <f t="shared" si="88"/>
        <v>245.37578316242906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50.292562870973534</v>
      </c>
      <c r="AA77" s="21">
        <f>EXP(-LN(2)/25)*AA76+(1-EXP(-LN(2)/25))/(LN(2)/25)*Calculateur!V77*Calculateur!X77*VLOOKUP('Données projet'!$B$9,Paramètres!$A$1:$I$89,3,0)*0.475*44/12</f>
        <v>11.97449564265335</v>
      </c>
      <c r="AB77" s="21">
        <f>EXP(-LN(2)/2)*AB76+(1-EXP(-LN(2)/2))/(LN(2)/2)*V77*Y77*VLOOKUP('Données projet'!$B$9,Paramètres!$A$1:$I$89,3,0)*0.475*44/12</f>
        <v>0.39155274566782944</v>
      </c>
      <c r="AC77" s="22">
        <f t="shared" si="57"/>
        <v>62.658611259294716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-2.2737367544323206E-13</v>
      </c>
      <c r="AJ77" s="13">
        <f>AI77*VLOOKUP('Données projet'!$B$10,Paramètres!$A$1:$I$89,3,0)*VLOOKUP('Données projet'!$B$10,Paramètres!$A$1:$I$89,5,0)</f>
        <v>-1.3596945791505279E-13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261.13725557061468</v>
      </c>
      <c r="AO77" s="59">
        <f t="shared" si="90"/>
        <v>328.18986868293558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114.01626507973489</v>
      </c>
      <c r="AV77" s="21">
        <f>EXP(-LN(2)/25)*AV76+(1-EXP(-LN(2)/25))/(LN(2)/25)*Calculateur!AQ77*Calculateur!AS77*VLOOKUP('Données projet'!$B$10,Paramètres!$A$1:$I$89,3,0)*0.475*44/12</f>
        <v>26.834057600430693</v>
      </c>
      <c r="AW77" s="21">
        <f>EXP(-LN(2)/2)*AW76+(1-EXP(-LN(2)/2))/(LN(2)/2)*AQ77*AT77*VLOOKUP('Données projet'!$B$10,Paramètres!$A$1:$I$89,3,0)*0.475*44/12</f>
        <v>7.8918693247674865E-2</v>
      </c>
      <c r="AX77" s="21">
        <f t="shared" si="60"/>
        <v>140.92924137341328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5.6899038461538431</v>
      </c>
      <c r="BD77" s="12">
        <f>IF('Données projet'!$A$88&gt;35,BD76+BC77-BL76,IF(A77&lt;'Données projet'!$A$88,$BA$205^A77,IF(A77='Données projet'!$A$88,'Données projet'!$B$88,BD76+BC77-BL76)))</f>
        <v>175.69471153846149</v>
      </c>
      <c r="BE77" s="13">
        <f>BD77*VLOOKUP('Données projet'!$B$11,Paramètres!$A$1:$I$89,3,0)*VLOOKUP('Données projet'!$B$11,Paramètres!$A$1:$I$89,5,0)</f>
        <v>178.15443749999994</v>
      </c>
      <c r="BF77" s="13">
        <f t="shared" si="91"/>
        <v>44.911336552510832</v>
      </c>
      <c r="BG77" s="20">
        <f t="shared" si="61"/>
        <v>388.50622314145625</v>
      </c>
      <c r="BH77" s="59">
        <f t="shared" si="62"/>
        <v>681.83955647478956</v>
      </c>
      <c r="BI77" s="59">
        <f ca="1">AVERAGE(OFFSET($BH$3,0,0,'Données projet'!$E$11+1,1))-AVERAGE(OFFSET($H$3,0,0,'Données projet'!$E$11+1,1))</f>
        <v>250.31277422753283</v>
      </c>
      <c r="BJ77" s="59">
        <f t="shared" si="92"/>
        <v>159.20429420478047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4.4000000000000004</v>
      </c>
      <c r="BY77" s="12">
        <f>IF('Données projet'!$A$114&gt;35,BY76+BX77-CG76,IF(A77&lt;'Données projet'!$A$114,$BV$205^A77,IF(A77='Données projet'!$A$114,'Données projet'!$B$114,BY76+BX77-CG76)))</f>
        <v>236.60000000000002</v>
      </c>
      <c r="BZ77" s="13">
        <f>BY77*VLOOKUP('Données projet'!$B$12,Paramètres!$A$1:$I$89,3,0)*VLOOKUP('Données projet'!$B$12,Paramètres!$A$1:$I$89,5,0)</f>
        <v>247.29432000000003</v>
      </c>
      <c r="CA77" s="13">
        <f t="shared" si="93"/>
        <v>60.006193782698659</v>
      </c>
      <c r="CB77" s="20">
        <f t="shared" si="64"/>
        <v>535.21506150486687</v>
      </c>
      <c r="CC77" s="59">
        <f t="shared" si="65"/>
        <v>828.54839483820024</v>
      </c>
      <c r="CD77" s="59">
        <f ca="1">AVERAGE(OFFSET($CC$3,0,0,'Données projet'!$E$12+1,1))-AVERAGE(OFFSET($H$3,0,0,'Données projet'!$E$12+1,1))</f>
        <v>322.93502595881938</v>
      </c>
      <c r="CE77" s="59">
        <f t="shared" si="94"/>
        <v>302.67072119588164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21.254179190017567</v>
      </c>
      <c r="CL77" s="21">
        <f>EXP(-LN(2)/25)*CL76+(1-EXP(-LN(2)/25))/(LN(2)/25)*Calculateur!CG77*Calculateur!CI77*VLOOKUP('Données projet'!$B$12,Paramètres!$A$1:$I$89,3,0)*0.475*44/12</f>
        <v>21.396111401847264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42.650290591864831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9.9715384615384544</v>
      </c>
      <c r="N78" s="13">
        <f>IF('Données projet'!$A$36&gt;35,N77+M78-V77,IF(A78&lt;'Données projet'!$A$36,$K$205^A78,IF(A78='Données projet'!$A$36,'Données projet'!$B$36,N77+M78-V77)))</f>
        <v>510.2515384615383</v>
      </c>
      <c r="O78" s="13">
        <f>N78*VLOOKUP('Données projet'!$B$9,Paramètres!$A$1:$I$89,3,0)*VLOOKUP('Données projet'!$B$9,Paramètres!$A$1:$I$89,5,0)</f>
        <v>305.13041999999996</v>
      </c>
      <c r="P78" s="13">
        <f t="shared" si="87"/>
        <v>72.250932841155517</v>
      </c>
      <c r="Q78" s="20">
        <f t="shared" si="54"/>
        <v>657.27252286501243</v>
      </c>
      <c r="R78" s="59">
        <f t="shared" si="55"/>
        <v>950.60585619834569</v>
      </c>
      <c r="S78" s="59">
        <f ca="1">AVERAGE(OFFSET($R$3,0,0,'Données projet'!$E$9+1,1))-AVERAGE(OFFSET($H$3,0,0,'Données projet'!$E$9+1,1))</f>
        <v>278.21846622758881</v>
      </c>
      <c r="T78" s="59">
        <f t="shared" si="88"/>
        <v>245.37578316242906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49.306356388508149</v>
      </c>
      <c r="AA78" s="21">
        <f>EXP(-LN(2)/25)*AA77+(1-EXP(-LN(2)/25))/(LN(2)/25)*Calculateur!V78*Calculateur!X78*VLOOKUP('Données projet'!$B$9,Paramètres!$A$1:$I$89,3,0)*0.475*44/12</f>
        <v>11.647052429593636</v>
      </c>
      <c r="AB78" s="21">
        <f>EXP(-LN(2)/2)*AB77+(1-EXP(-LN(2)/2))/(LN(2)/2)*V78*Y78*VLOOKUP('Données projet'!$B$9,Paramètres!$A$1:$I$89,3,0)*0.475*44/12</f>
        <v>0.27686960165393376</v>
      </c>
      <c r="AC78" s="22">
        <f t="shared" si="57"/>
        <v>61.23027841975572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-2.2737367544323206E-13</v>
      </c>
      <c r="AJ78" s="13">
        <f>AI78*VLOOKUP('Données projet'!$B$10,Paramètres!$A$1:$I$89,3,0)*VLOOKUP('Données projet'!$B$10,Paramètres!$A$1:$I$89,5,0)</f>
        <v>-1.3596945791505279E-13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261.13725557061468</v>
      </c>
      <c r="AO78" s="59">
        <f t="shared" si="90"/>
        <v>328.18986868293558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111.78047566457619</v>
      </c>
      <c r="AV78" s="21">
        <f>EXP(-LN(2)/25)*AV77+(1-EXP(-LN(2)/25))/(LN(2)/25)*Calculateur!AQ78*Calculateur!AS78*VLOOKUP('Données projet'!$B$10,Paramètres!$A$1:$I$89,3,0)*0.475*44/12</f>
        <v>26.100278884205157</v>
      </c>
      <c r="AW78" s="21">
        <f>EXP(-LN(2)/2)*AW77+(1-EXP(-LN(2)/2))/(LN(2)/2)*AQ78*AT78*VLOOKUP('Données projet'!$B$10,Paramètres!$A$1:$I$89,3,0)*0.475*44/12</f>
        <v>5.5803943157811897E-2</v>
      </c>
      <c r="AX78" s="21">
        <f t="shared" si="60"/>
        <v>137.93655849193914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181.38461538461536</v>
      </c>
      <c r="BB78" s="12">
        <f>VLOOKUP(A78,'Données projet'!$A$87:$I$107,9,0)</f>
        <v>5.6899038461538431</v>
      </c>
      <c r="BC78" s="12">
        <f t="array" ref="BC78">INDEX(BB:BB,MIN(IF(ISNUMBER(BB78:BB274),ROW(BB78:BB274),"")))</f>
        <v>5.6899038461538431</v>
      </c>
      <c r="BD78" s="12">
        <f>IF('Données projet'!$A$88&gt;35,BD77+BC78-BL77,IF(A78&lt;'Données projet'!$A$88,$BA$205^A78,IF(A78='Données projet'!$A$88,'Données projet'!$B$88,BD77+BC78-BL77)))</f>
        <v>181.38461538461533</v>
      </c>
      <c r="BE78" s="13">
        <f>BD78*VLOOKUP('Données projet'!$B$11,Paramètres!$A$1:$I$89,3,0)*VLOOKUP('Données projet'!$B$11,Paramètres!$A$1:$I$89,5,0)</f>
        <v>183.92399999999995</v>
      </c>
      <c r="BF78" s="13">
        <f t="shared" si="91"/>
        <v>46.194105104770117</v>
      </c>
      <c r="BG78" s="20">
        <f t="shared" si="61"/>
        <v>400.78903305747446</v>
      </c>
      <c r="BH78" s="59">
        <f t="shared" si="62"/>
        <v>694.12236639080777</v>
      </c>
      <c r="BI78" s="59">
        <f ca="1">AVERAGE(OFFSET($BH$3,0,0,'Données projet'!$E$11+1,1))-AVERAGE(OFFSET($H$3,0,0,'Données projet'!$E$11+1,1))</f>
        <v>250.31277422753283</v>
      </c>
      <c r="BJ78" s="59">
        <f t="shared" si="92"/>
        <v>159.20429420478047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30.916666666666664</v>
      </c>
      <c r="BM78" s="16">
        <f>IF(ISNA(VLOOKUP(A78,'Données projet'!$A$87:$I$107,5,0)),0%,VLOOKUP(A78,'Données projet'!$A$87:$I$107,5,0)*VLOOKUP('Données projet'!$B$11,Paramètres!$A$1:$I$89,7,0))</f>
        <v>0.30099999999999999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10.431439042613633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10.431439042613633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241</v>
      </c>
      <c r="BW78" s="12">
        <f>VLOOKUP(A78,'Données projet'!$A$113:$I$133,9,0)</f>
        <v>4.4000000000000004</v>
      </c>
      <c r="BX78" s="12">
        <f t="array" ref="BX78">INDEX(BW:BW,MIN(IF(ISNUMBER(BW78:BW274),ROW(BW78:BW274),"")))</f>
        <v>4.4000000000000004</v>
      </c>
      <c r="BY78" s="12">
        <f>IF('Données projet'!$A$114&gt;35,BY77+BX78-CG77,IF(A78&lt;'Données projet'!$A$114,$BV$205^A78,IF(A78='Données projet'!$A$114,'Données projet'!$B$114,BY77+BX78-CG77)))</f>
        <v>241.00000000000003</v>
      </c>
      <c r="BZ78" s="13">
        <f>BY78*VLOOKUP('Données projet'!$B$12,Paramètres!$A$1:$I$89,3,0)*VLOOKUP('Données projet'!$B$12,Paramètres!$A$1:$I$89,5,0)</f>
        <v>251.89320000000006</v>
      </c>
      <c r="CA78" s="13">
        <f t="shared" si="93"/>
        <v>60.991162965075887</v>
      </c>
      <c r="CB78" s="20">
        <f t="shared" si="64"/>
        <v>544.94026549750731</v>
      </c>
      <c r="CC78" s="59">
        <f t="shared" si="65"/>
        <v>838.27359883084068</v>
      </c>
      <c r="CD78" s="59">
        <f ca="1">AVERAGE(OFFSET($CC$3,0,0,'Données projet'!$E$12+1,1))-AVERAGE(OFFSET($H$3,0,0,'Données projet'!$E$12+1,1))</f>
        <v>322.93502595881938</v>
      </c>
      <c r="CE78" s="59">
        <f t="shared" si="94"/>
        <v>302.67072119588164</v>
      </c>
      <c r="CF78" s="15">
        <f>IF(ISNA(VLOOKUP(A78,'Données projet'!$A$113:$I$133,3,0)),0,VLOOKUP(A78,'Données projet'!$A$113:$I$133,3,0))</f>
        <v>12</v>
      </c>
      <c r="CG78" s="15" t="str">
        <f>IF(ISNA(VLOOKUP(A78,'Données projet'!$A$113:$I$133,4,0)),0,VLOOKUP(A78,'Données projet'!$A$113:$I$133,4,0))</f>
        <v>16</v>
      </c>
      <c r="CH78" s="16">
        <f>IF(ISNA(VLOOKUP(A78,'Données projet'!$A$113:$I$133,5,0)),0%,VLOOKUP(A78,'Données projet'!$A$113:$I$133,5,0)*VLOOKUP('Données projet'!$B$12,Paramètres!$A$1:$I$89,7,0))</f>
        <v>0.25800000000000001</v>
      </c>
      <c r="CI78" s="16">
        <f>IF(ISNA(VLOOKUP(A78,'Données projet'!$A$113:$I$133,6,0)),0%,VLOOKUP(A78,'Données projet'!$A$113:$I$133,6,0)*VLOOKUP('Données projet'!$B$12,Paramètres!$A$1:$I$89,7,0))</f>
        <v>0.129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25.607044280629964</v>
      </c>
      <c r="CL78" s="21">
        <f>EXP(-LN(2)/25)*CL77+(1-EXP(-LN(2)/25))/(LN(2)/25)*Calculateur!CG78*Calculateur!CI78*VLOOKUP('Données projet'!$B$12,Paramètres!$A$1:$I$89,3,0)*0.475*44/12</f>
        <v>23.186466942787717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48.793511223417681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>
        <f>VLOOKUP(A79,'Données projet'!$A$35:$I$55,2,0)</f>
        <v>520.22307692307686</v>
      </c>
      <c r="L79" s="12">
        <f>VLOOKUP(A79,'Données projet'!$A$35:$I$55,9,0)</f>
        <v>9.9715384615384544</v>
      </c>
      <c r="M79" s="12">
        <f t="array" ref="M79">INDEX(L:L,MIN(IF(ISNUMBER(L79:L275),ROW(L79:L275),"")))</f>
        <v>9.9715384615384544</v>
      </c>
      <c r="N79" s="13">
        <f>IF('Données projet'!$A$36&gt;35,N78+M79-V78,IF(A79&lt;'Données projet'!$A$36,$K$205^A79,IF(A79='Données projet'!$A$36,'Données projet'!$B$36,N78+M79-V78)))</f>
        <v>520.22307692307675</v>
      </c>
      <c r="O79" s="13">
        <f>N79*VLOOKUP('Données projet'!$B$9,Paramètres!$A$1:$I$89,3,0)*VLOOKUP('Données projet'!$B$9,Paramètres!$A$1:$I$89,5,0)</f>
        <v>311.09339999999992</v>
      </c>
      <c r="P79" s="13">
        <f t="shared" si="87"/>
        <v>73.497128797635312</v>
      </c>
      <c r="Q79" s="20">
        <f t="shared" si="54"/>
        <v>669.82850432254793</v>
      </c>
      <c r="R79" s="59">
        <f t="shared" si="55"/>
        <v>963.1618376558813</v>
      </c>
      <c r="S79" s="59">
        <f ca="1">AVERAGE(OFFSET($R$3,0,0,'Données projet'!$E$9+1,1))-AVERAGE(OFFSET($H$3,0,0,'Données projet'!$E$9+1,1))</f>
        <v>278.21846622758881</v>
      </c>
      <c r="T79" s="59">
        <f t="shared" si="88"/>
        <v>245.37578316242906</v>
      </c>
      <c r="U79" s="15">
        <f>IF(ISNA(VLOOKUP(A79,'Données projet'!$A$35:$I$55,3,0)),0,VLOOKUP(A79,'Données projet'!$A$35:$I$55,3,0))</f>
        <v>8</v>
      </c>
      <c r="V79" s="15">
        <f>IF(ISNA(VLOOKUP(A79,'Données projet'!$A$35:$I$55,4,0)),0,VLOOKUP(A79,'Données projet'!$A$35:$I$55,4,0))</f>
        <v>520.22307692307686</v>
      </c>
      <c r="W79" s="16">
        <f>IF(ISNA(VLOOKUP(A79,'Données projet'!$A$35:$I$55,5,0)),0%,VLOOKUP(A79,'Données projet'!$A$35:$I$55,5,0)*VLOOKUP('Données projet'!$B$9,Paramètres!$A$1:$I$89,7,0))</f>
        <v>0.315</v>
      </c>
      <c r="X79" s="16">
        <f>IF(ISNA(VLOOKUP(A79,'Données projet'!$A$35:$I$55,6,0)),0%,VLOOKUP(A79,'Données projet'!$A$35:$I$55,6,0)*VLOOKUP('Données projet'!$B$9,Paramètres!$A$1:$I$89,7,0))</f>
        <v>7.5600000000000001E-2</v>
      </c>
      <c r="Y79" s="16">
        <f>IF(ISNA(VLOOKUP(A79,'Données projet'!$A$35:$I$55,7,0)),0%,VLOOKUP(A79,'Données projet'!$A$35:$I$55,7,0))</f>
        <v>0.13200000000000001</v>
      </c>
      <c r="Z79" s="21">
        <f>EXP(-LN(2)/35)*Z78+(1-EXP(-LN(2)/35))/(LN(2)/35)*V79*W79*VLOOKUP('Données projet'!$B$9,Paramètres!$A$1:$I$89,3,0)*0.475*44/12</f>
        <v>178.3354045436154</v>
      </c>
      <c r="AA79" s="21">
        <f>EXP(-LN(2)/25)*AA78+(1-EXP(-LN(2)/25))/(LN(2)/25)*Calculateur!V79*Calculateur!X79*VLOOKUP('Données projet'!$B$9,Paramètres!$A$1:$I$89,3,0)*0.475*44/12</f>
        <v>42.404740514995794</v>
      </c>
      <c r="AB79" s="21">
        <f>EXP(-LN(2)/2)*AB78+(1-EXP(-LN(2)/2))/(LN(2)/2)*V79*Y79*VLOOKUP('Données projet'!$B$9,Paramètres!$A$1:$I$89,3,0)*0.475*44/12</f>
        <v>46.690135716440125</v>
      </c>
      <c r="AC79" s="22">
        <f t="shared" si="57"/>
        <v>267.4302807750513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-2.2737367544323206E-13</v>
      </c>
      <c r="AJ79" s="13">
        <f>AI79*VLOOKUP('Données projet'!$B$10,Paramètres!$A$1:$I$89,3,0)*VLOOKUP('Données projet'!$B$10,Paramètres!$A$1:$I$89,5,0)</f>
        <v>-1.3596945791505279E-13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261.13725557061468</v>
      </c>
      <c r="AO79" s="59">
        <f t="shared" si="90"/>
        <v>328.18986868293558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109.58852871615186</v>
      </c>
      <c r="AV79" s="21">
        <f>EXP(-LN(2)/25)*AV78+(1-EXP(-LN(2)/25))/(LN(2)/25)*Calculateur!AQ79*Calculateur!AS79*VLOOKUP('Données projet'!$B$10,Paramètres!$A$1:$I$89,3,0)*0.475*44/12</f>
        <v>25.386565385562552</v>
      </c>
      <c r="AW79" s="21">
        <f>EXP(-LN(2)/2)*AW78+(1-EXP(-LN(2)/2))/(LN(2)/2)*AQ79*AT79*VLOOKUP('Données projet'!$B$10,Paramètres!$A$1:$I$89,3,0)*0.475*44/12</f>
        <v>3.9459346623837432E-2</v>
      </c>
      <c r="AX79" s="21">
        <f t="shared" si="60"/>
        <v>135.01455344833823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5.5042735042735051</v>
      </c>
      <c r="BD79" s="12">
        <f>IF('Données projet'!$A$88&gt;35,BD78+BC79-BL78,IF(A79&lt;'Données projet'!$A$88,$BA$205^A79,IF(A79='Données projet'!$A$88,'Données projet'!$B$88,BD78+BC79-BL78)))</f>
        <v>155.97222222222217</v>
      </c>
      <c r="BE79" s="13">
        <f>BD79*VLOOKUP('Données projet'!$B$11,Paramètres!$A$1:$I$89,3,0)*VLOOKUP('Données projet'!$B$11,Paramètres!$A$1:$I$89,5,0)</f>
        <v>158.15583333333331</v>
      </c>
      <c r="BF79" s="13">
        <f t="shared" si="91"/>
        <v>40.426278232755124</v>
      </c>
      <c r="BG79" s="20">
        <f t="shared" si="61"/>
        <v>345.86384431093734</v>
      </c>
      <c r="BH79" s="59">
        <f t="shared" si="62"/>
        <v>639.1971776442706</v>
      </c>
      <c r="BI79" s="59">
        <f ca="1">AVERAGE(OFFSET($BH$3,0,0,'Données projet'!$E$11+1,1))-AVERAGE(OFFSET($H$3,0,0,'Données projet'!$E$11+1,1))</f>
        <v>250.31277422753283</v>
      </c>
      <c r="BJ79" s="59">
        <f t="shared" si="92"/>
        <v>159.20429420478047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10.226884885537546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10.226884885537546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</v>
      </c>
      <c r="BY79" s="12">
        <f>IF('Données projet'!$A$114&gt;35,BY78+BX79-CG78,IF(A79&lt;'Données projet'!$A$114,$BV$205^A79,IF(A79='Données projet'!$A$114,'Données projet'!$B$114,BY78+BX79-CG78)))</f>
        <v>229.00000000000003</v>
      </c>
      <c r="BZ79" s="13">
        <f>BY79*VLOOKUP('Données projet'!$B$12,Paramètres!$A$1:$I$89,3,0)*VLOOKUP('Données projet'!$B$12,Paramètres!$A$1:$I$89,5,0)</f>
        <v>239.35080000000005</v>
      </c>
      <c r="CA79" s="13">
        <f t="shared" si="93"/>
        <v>58.299829927807131</v>
      </c>
      <c r="CB79" s="20">
        <f t="shared" si="64"/>
        <v>518.4081804575975</v>
      </c>
      <c r="CC79" s="59">
        <f t="shared" si="65"/>
        <v>811.74151379093087</v>
      </c>
      <c r="CD79" s="59">
        <f ca="1">AVERAGE(OFFSET($CC$3,0,0,'Données projet'!$E$12+1,1))-AVERAGE(OFFSET($H$3,0,0,'Données projet'!$E$12+1,1))</f>
        <v>322.93502595881938</v>
      </c>
      <c r="CE79" s="59">
        <f t="shared" si="94"/>
        <v>302.67072119588164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25.104905761041596</v>
      </c>
      <c r="CL79" s="21">
        <f>EXP(-LN(2)/25)*CL78+(1-EXP(-LN(2)/25))/(LN(2)/25)*Calculateur!CG79*Calculateur!CI79*VLOOKUP('Données projet'!$B$12,Paramètres!$A$1:$I$89,3,0)*0.475*44/12</f>
        <v>22.552431784913885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47.657337545955485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278.21846622758881</v>
      </c>
      <c r="T80" s="59">
        <f t="shared" si="88"/>
        <v>245.37578316242906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174.83835603437134</v>
      </c>
      <c r="AA80" s="21">
        <f>EXP(-LN(2)/25)*AA79+(1-EXP(-LN(2)/25))/(LN(2)/25)*Calculateur!V80*Calculateur!X80*VLOOKUP('Données projet'!$B$9,Paramètres!$A$1:$I$89,3,0)*0.475*44/12</f>
        <v>41.245180655644845</v>
      </c>
      <c r="AB80" s="21">
        <f>EXP(-LN(2)/2)*AB79+(1-EXP(-LN(2)/2))/(LN(2)/2)*V80*Y80*VLOOKUP('Données projet'!$B$9,Paramètres!$A$1:$I$89,3,0)*0.475*44/12</f>
        <v>33.014911579615038</v>
      </c>
      <c r="AC80" s="22">
        <f t="shared" si="57"/>
        <v>249.09844826963123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-2.2737367544323206E-13</v>
      </c>
      <c r="AJ80" s="13">
        <f>AI80*VLOOKUP('Données projet'!$B$10,Paramètres!$A$1:$I$89,3,0)*VLOOKUP('Données projet'!$B$10,Paramètres!$A$1:$I$89,5,0)</f>
        <v>-1.3596945791505279E-13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261.13725557061468</v>
      </c>
      <c r="AO80" s="59">
        <f t="shared" si="90"/>
        <v>328.18986868293558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107.4395645104305</v>
      </c>
      <c r="AV80" s="21">
        <f>EXP(-LN(2)/25)*AV79+(1-EXP(-LN(2)/25))/(LN(2)/25)*Calculateur!AQ80*Calculateur!AS80*VLOOKUP('Données projet'!$B$10,Paramètres!$A$1:$I$89,3,0)*0.475*44/12</f>
        <v>24.692368420072892</v>
      </c>
      <c r="AW80" s="21">
        <f>EXP(-LN(2)/2)*AW79+(1-EXP(-LN(2)/2))/(LN(2)/2)*AQ80*AT80*VLOOKUP('Données projet'!$B$10,Paramètres!$A$1:$I$89,3,0)*0.475*44/12</f>
        <v>2.7901971578905949E-2</v>
      </c>
      <c r="AX80" s="21">
        <f t="shared" si="60"/>
        <v>132.15983490208228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5.5042735042735051</v>
      </c>
      <c r="BD80" s="12">
        <f>IF('Données projet'!$A$88&gt;35,BD79+BC80-BL79,IF(A80&lt;'Données projet'!$A$88,$BA$205^A80,IF(A80='Données projet'!$A$88,'Données projet'!$B$88,BD79+BC80-BL79)))</f>
        <v>161.47649572649567</v>
      </c>
      <c r="BE80" s="13">
        <f>BD80*VLOOKUP('Données projet'!$B$11,Paramètres!$A$1:$I$89,3,0)*VLOOKUP('Données projet'!$B$11,Paramètres!$A$1:$I$89,5,0)</f>
        <v>163.73716666666661</v>
      </c>
      <c r="BF80" s="13">
        <f t="shared" si="91"/>
        <v>41.68430774657778</v>
      </c>
      <c r="BG80" s="20">
        <f t="shared" si="61"/>
        <v>357.77573460306729</v>
      </c>
      <c r="BH80" s="59">
        <f t="shared" si="62"/>
        <v>651.10906793640061</v>
      </c>
      <c r="BI80" s="59">
        <f ca="1">AVERAGE(OFFSET($BH$3,0,0,'Données projet'!$E$11+1,1))-AVERAGE(OFFSET($H$3,0,0,'Données projet'!$E$11+1,1))</f>
        <v>250.31277422753283</v>
      </c>
      <c r="BJ80" s="59">
        <f t="shared" si="92"/>
        <v>159.20429420478047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10.026341910716004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10.026341910716004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</v>
      </c>
      <c r="BY80" s="12">
        <f>IF('Données projet'!$A$114&gt;35,BY79+BX80-CG79,IF(A80&lt;'Données projet'!$A$114,$BV$205^A80,IF(A80='Données projet'!$A$114,'Données projet'!$B$114,BY79+BX80-CG79)))</f>
        <v>233.00000000000003</v>
      </c>
      <c r="BZ80" s="13">
        <f>BY80*VLOOKUP('Données projet'!$B$12,Paramètres!$A$1:$I$89,3,0)*VLOOKUP('Données projet'!$B$12,Paramètres!$A$1:$I$89,5,0)</f>
        <v>243.53160000000008</v>
      </c>
      <c r="CA80" s="13">
        <f t="shared" si="93"/>
        <v>59.198724224270414</v>
      </c>
      <c r="CB80" s="20">
        <f t="shared" si="64"/>
        <v>527.25531469060445</v>
      </c>
      <c r="CC80" s="59">
        <f t="shared" si="65"/>
        <v>820.58864802393782</v>
      </c>
      <c r="CD80" s="59">
        <f ca="1">AVERAGE(OFFSET($CC$3,0,0,'Données projet'!$E$12+1,1))-AVERAGE(OFFSET($H$3,0,0,'Données projet'!$E$12+1,1))</f>
        <v>322.93502595881938</v>
      </c>
      <c r="CE80" s="59">
        <f t="shared" si="94"/>
        <v>302.67072119588164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24.612613871548103</v>
      </c>
      <c r="CL80" s="21">
        <f>EXP(-LN(2)/25)*CL79+(1-EXP(-LN(2)/25))/(LN(2)/25)*Calculateur!CG80*Calculateur!CI80*VLOOKUP('Données projet'!$B$12,Paramètres!$A$1:$I$89,3,0)*0.475*44/12</f>
        <v>21.93573435177457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46.548348223322677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278.21846622758881</v>
      </c>
      <c r="T81" s="59">
        <f t="shared" si="88"/>
        <v>245.37578316242906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171.4098825134046</v>
      </c>
      <c r="AA81" s="21">
        <f>EXP(-LN(2)/25)*AA80+(1-EXP(-LN(2)/25))/(LN(2)/25)*Calculateur!V81*Calculateur!X81*VLOOKUP('Données projet'!$B$9,Paramètres!$A$1:$I$89,3,0)*0.475*44/12</f>
        <v>40.117329021626453</v>
      </c>
      <c r="AB81" s="21">
        <f>EXP(-LN(2)/2)*AB80+(1-EXP(-LN(2)/2))/(LN(2)/2)*V81*Y81*VLOOKUP('Données projet'!$B$9,Paramètres!$A$1:$I$89,3,0)*0.475*44/12</f>
        <v>23.345067858220066</v>
      </c>
      <c r="AC81" s="22">
        <f t="shared" si="57"/>
        <v>234.87227939325112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-2.2737367544323206E-13</v>
      </c>
      <c r="AJ81" s="13">
        <f>AI81*VLOOKUP('Données projet'!$B$10,Paramètres!$A$1:$I$89,3,0)*VLOOKUP('Données projet'!$B$10,Paramètres!$A$1:$I$89,5,0)</f>
        <v>-1.3596945791505279E-13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261.13725557061468</v>
      </c>
      <c r="AO81" s="59">
        <f t="shared" si="90"/>
        <v>328.18986868293558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105.33274018204459</v>
      </c>
      <c r="AV81" s="21">
        <f>EXP(-LN(2)/25)*AV80+(1-EXP(-LN(2)/25))/(LN(2)/25)*Calculateur!AQ81*Calculateur!AS81*VLOOKUP('Données projet'!$B$10,Paramètres!$A$1:$I$89,3,0)*0.475*44/12</f>
        <v>24.017154307110779</v>
      </c>
      <c r="AW81" s="21">
        <f>EXP(-LN(2)/2)*AW80+(1-EXP(-LN(2)/2))/(LN(2)/2)*AQ81*AT81*VLOOKUP('Données projet'!$B$10,Paramètres!$A$1:$I$89,3,0)*0.475*44/12</f>
        <v>1.9729673311918716E-2</v>
      </c>
      <c r="AX81" s="21">
        <f t="shared" si="60"/>
        <v>129.36962416246729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5.5042735042735051</v>
      </c>
      <c r="BD81" s="12">
        <f>IF('Données projet'!$A$88&gt;35,BD80+BC81-BL80,IF(A81&lt;'Données projet'!$A$88,$BA$205^A81,IF(A81='Données projet'!$A$88,'Données projet'!$B$88,BD80+BC81-BL80)))</f>
        <v>166.98076923076917</v>
      </c>
      <c r="BE81" s="13">
        <f>BD81*VLOOKUP('Données projet'!$B$11,Paramètres!$A$1:$I$89,3,0)*VLOOKUP('Données projet'!$B$11,Paramètres!$A$1:$I$89,5,0)</f>
        <v>169.31849999999994</v>
      </c>
      <c r="BF81" s="13">
        <f t="shared" si="91"/>
        <v>42.93735459119118</v>
      </c>
      <c r="BG81" s="20">
        <f t="shared" si="61"/>
        <v>369.67894674632447</v>
      </c>
      <c r="BH81" s="59">
        <f t="shared" si="62"/>
        <v>663.01228007965778</v>
      </c>
      <c r="BI81" s="59">
        <f ca="1">AVERAGE(OFFSET($BH$3,0,0,'Données projet'!$E$11+1,1))-AVERAGE(OFFSET($H$3,0,0,'Données projet'!$E$11+1,1))</f>
        <v>250.31277422753283</v>
      </c>
      <c r="BJ81" s="59">
        <f t="shared" si="92"/>
        <v>159.20429420478047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9.8297314613115763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9.8297314613115763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</v>
      </c>
      <c r="BY81" s="12">
        <f>IF('Données projet'!$A$114&gt;35,BY80+BX81-CG80,IF(A81&lt;'Données projet'!$A$114,$BV$205^A81,IF(A81='Données projet'!$A$114,'Données projet'!$B$114,BY80+BX81-CG80)))</f>
        <v>237.00000000000003</v>
      </c>
      <c r="BZ81" s="13">
        <f>BY81*VLOOKUP('Données projet'!$B$12,Paramètres!$A$1:$I$89,3,0)*VLOOKUP('Données projet'!$B$12,Paramètres!$A$1:$I$89,5,0)</f>
        <v>247.71240000000003</v>
      </c>
      <c r="CA81" s="13">
        <f t="shared" si="93"/>
        <v>60.095823975624157</v>
      </c>
      <c r="CB81" s="20">
        <f t="shared" si="64"/>
        <v>536.099323424212</v>
      </c>
      <c r="CC81" s="59">
        <f t="shared" si="65"/>
        <v>829.43265675754537</v>
      </c>
      <c r="CD81" s="59">
        <f ca="1">AVERAGE(OFFSET($CC$3,0,0,'Données projet'!$E$12+1,1))-AVERAGE(OFFSET($H$3,0,0,'Données projet'!$E$12+1,1))</f>
        <v>322.93502595881938</v>
      </c>
      <c r="CE81" s="59">
        <f t="shared" si="94"/>
        <v>302.67072119588164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24.129975525739173</v>
      </c>
      <c r="CL81" s="21">
        <f>EXP(-LN(2)/25)*CL80+(1-EXP(-LN(2)/25))/(LN(2)/25)*Calculateur!CG81*Calculateur!CI81*VLOOKUP('Données projet'!$B$12,Paramètres!$A$1:$I$89,3,0)*0.475*44/12</f>
        <v>21.33590054237516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45.465876068114333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278.21846622758881</v>
      </c>
      <c r="T82" s="59">
        <f t="shared" si="88"/>
        <v>245.37578316242906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168.04863926702163</v>
      </c>
      <c r="AA82" s="21">
        <f>EXP(-LN(2)/25)*AA81+(1-EXP(-LN(2)/25))/(LN(2)/25)*Calculateur!V82*Calculateur!X82*VLOOKUP('Données projet'!$B$9,Paramètres!$A$1:$I$89,3,0)*0.475*44/12</f>
        <v>39.020318549851432</v>
      </c>
      <c r="AB82" s="21">
        <f>EXP(-LN(2)/2)*AB81+(1-EXP(-LN(2)/2))/(LN(2)/2)*V82*Y82*VLOOKUP('Données projet'!$B$9,Paramètres!$A$1:$I$89,3,0)*0.475*44/12</f>
        <v>16.507455789807523</v>
      </c>
      <c r="AC82" s="22">
        <f t="shared" si="57"/>
        <v>223.57641360668057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-2.2737367544323206E-13</v>
      </c>
      <c r="AJ82" s="13">
        <f>AI82*VLOOKUP('Données projet'!$B$10,Paramètres!$A$1:$I$89,3,0)*VLOOKUP('Données projet'!$B$10,Paramètres!$A$1:$I$89,5,0)</f>
        <v>-1.3596945791505279E-13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261.13725557061468</v>
      </c>
      <c r="AO82" s="59">
        <f t="shared" si="90"/>
        <v>328.18986868293558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103.26722939370238</v>
      </c>
      <c r="AV82" s="21">
        <f>EXP(-LN(2)/25)*AV81+(1-EXP(-LN(2)/25))/(LN(2)/25)*Calculateur!AQ82*Calculateur!AS82*VLOOKUP('Données projet'!$B$10,Paramètres!$A$1:$I$89,3,0)*0.475*44/12</f>
        <v>23.360403959575581</v>
      </c>
      <c r="AW82" s="21">
        <f>EXP(-LN(2)/2)*AW81+(1-EXP(-LN(2)/2))/(LN(2)/2)*AQ82*AT82*VLOOKUP('Données projet'!$B$10,Paramètres!$A$1:$I$89,3,0)*0.475*44/12</f>
        <v>1.3950985789452974E-2</v>
      </c>
      <c r="AX82" s="21">
        <f t="shared" si="60"/>
        <v>126.64158433906741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5.5042735042735051</v>
      </c>
      <c r="BD82" s="12">
        <f>IF('Données projet'!$A$88&gt;35,BD81+BC82-BL81,IF(A82&lt;'Données projet'!$A$88,$BA$205^A82,IF(A82='Données projet'!$A$88,'Données projet'!$B$88,BD81+BC82-BL81)))</f>
        <v>172.48504273504267</v>
      </c>
      <c r="BE82" s="13">
        <f>BD82*VLOOKUP('Données projet'!$B$11,Paramètres!$A$1:$I$89,3,0)*VLOOKUP('Données projet'!$B$11,Paramètres!$A$1:$I$89,5,0)</f>
        <v>174.89983333333328</v>
      </c>
      <c r="BF82" s="13">
        <f t="shared" si="91"/>
        <v>44.185601847169707</v>
      </c>
      <c r="BG82" s="20">
        <f t="shared" si="61"/>
        <v>381.57379960604271</v>
      </c>
      <c r="BH82" s="59">
        <f t="shared" si="62"/>
        <v>674.90713293937597</v>
      </c>
      <c r="BI82" s="59">
        <f ca="1">AVERAGE(OFFSET($BH$3,0,0,'Données projet'!$E$11+1,1))-AVERAGE(OFFSET($H$3,0,0,'Données projet'!$E$11+1,1))</f>
        <v>250.31277422753283</v>
      </c>
      <c r="BJ82" s="59">
        <f t="shared" si="92"/>
        <v>159.20429420478047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9.636976422899437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9.636976422899437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</v>
      </c>
      <c r="BY82" s="12">
        <f>IF('Données projet'!$A$114&gt;35,BY81+BX82-CG81,IF(A82&lt;'Données projet'!$A$114,$BV$205^A82,IF(A82='Données projet'!$A$114,'Données projet'!$B$114,BY81+BX82-CG81)))</f>
        <v>241.00000000000003</v>
      </c>
      <c r="BZ82" s="13">
        <f>BY82*VLOOKUP('Données projet'!$B$12,Paramètres!$A$1:$I$89,3,0)*VLOOKUP('Données projet'!$B$12,Paramètres!$A$1:$I$89,5,0)</f>
        <v>251.89320000000006</v>
      </c>
      <c r="CA82" s="13">
        <f t="shared" si="93"/>
        <v>60.991162965075887</v>
      </c>
      <c r="CB82" s="20">
        <f t="shared" si="64"/>
        <v>544.94026549750731</v>
      </c>
      <c r="CC82" s="59">
        <f t="shared" si="65"/>
        <v>838.27359883084068</v>
      </c>
      <c r="CD82" s="59">
        <f ca="1">AVERAGE(OFFSET($CC$3,0,0,'Données projet'!$E$12+1,1))-AVERAGE(OFFSET($H$3,0,0,'Données projet'!$E$12+1,1))</f>
        <v>322.93502595881938</v>
      </c>
      <c r="CE82" s="59">
        <f t="shared" si="94"/>
        <v>302.67072119588164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23.656801423511233</v>
      </c>
      <c r="CL82" s="21">
        <f>EXP(-LN(2)/25)*CL81+(1-EXP(-LN(2)/25))/(LN(2)/25)*Calculateur!CG82*Calculateur!CI82*VLOOKUP('Données projet'!$B$12,Paramètres!$A$1:$I$89,3,0)*0.475*44/12</f>
        <v>20.752469220037668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44.409270643548901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278.21846622758881</v>
      </c>
      <c r="T83" s="59">
        <f t="shared" si="88"/>
        <v>245.37578316242906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164.7533079505443</v>
      </c>
      <c r="AA83" s="21">
        <f>EXP(-LN(2)/25)*AA82+(1-EXP(-LN(2)/25))/(LN(2)/25)*Calculateur!V83*Calculateur!X83*VLOOKUP('Données projet'!$B$9,Paramètres!$A$1:$I$89,3,0)*0.475*44/12</f>
        <v>37.953305887116372</v>
      </c>
      <c r="AB83" s="21">
        <f>EXP(-LN(2)/2)*AB82+(1-EXP(-LN(2)/2))/(LN(2)/2)*V83*Y83*VLOOKUP('Données projet'!$B$9,Paramètres!$A$1:$I$89,3,0)*0.475*44/12</f>
        <v>11.672533929110037</v>
      </c>
      <c r="AC83" s="22">
        <f t="shared" si="57"/>
        <v>214.3791477667707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-2.2737367544323206E-13</v>
      </c>
      <c r="AJ83" s="13">
        <f>AI83*VLOOKUP('Données projet'!$B$10,Paramètres!$A$1:$I$89,3,0)*VLOOKUP('Données projet'!$B$10,Paramètres!$A$1:$I$89,5,0)</f>
        <v>-1.3596945791505279E-13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261.13725557061468</v>
      </c>
      <c r="AO83" s="59">
        <f t="shared" si="90"/>
        <v>328.18986868293558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101.24222201208238</v>
      </c>
      <c r="AV83" s="21">
        <f>EXP(-LN(2)/25)*AV82+(1-EXP(-LN(2)/25))/(LN(2)/25)*Calculateur!AQ83*Calculateur!AS83*VLOOKUP('Données projet'!$B$10,Paramètres!$A$1:$I$89,3,0)*0.475*44/12</f>
        <v>22.721612484830732</v>
      </c>
      <c r="AW83" s="21">
        <f>EXP(-LN(2)/2)*AW82+(1-EXP(-LN(2)/2))/(LN(2)/2)*AQ83*AT83*VLOOKUP('Données projet'!$B$10,Paramètres!$A$1:$I$89,3,0)*0.475*44/12</f>
        <v>9.8648366559593581E-3</v>
      </c>
      <c r="AX83" s="21">
        <f t="shared" si="60"/>
        <v>123.97369933356907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5.5042735042735051</v>
      </c>
      <c r="BD83" s="12">
        <f>IF('Données projet'!$A$88&gt;35,BD82+BC83-BL82,IF(A83&lt;'Données projet'!$A$88,$BA$205^A83,IF(A83='Données projet'!$A$88,'Données projet'!$B$88,BD82+BC83-BL82)))</f>
        <v>177.98931623931617</v>
      </c>
      <c r="BE83" s="13">
        <f>BD83*VLOOKUP('Données projet'!$B$11,Paramètres!$A$1:$I$89,3,0)*VLOOKUP('Données projet'!$B$11,Paramètres!$A$1:$I$89,5,0)</f>
        <v>180.48116666666661</v>
      </c>
      <c r="BF83" s="13">
        <f t="shared" si="91"/>
        <v>45.429220246818225</v>
      </c>
      <c r="BG83" s="20">
        <f t="shared" si="61"/>
        <v>393.46059054098606</v>
      </c>
      <c r="BH83" s="59">
        <f t="shared" si="62"/>
        <v>686.79392387431938</v>
      </c>
      <c r="BI83" s="59">
        <f ca="1">AVERAGE(OFFSET($BH$3,0,0,'Données projet'!$E$11+1,1))-AVERAGE(OFFSET($H$3,0,0,'Données projet'!$E$11+1,1))</f>
        <v>250.31277422753283</v>
      </c>
      <c r="BJ83" s="59">
        <f t="shared" si="92"/>
        <v>159.20429420478047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9.4480011932215948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9.4480011932215948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245</v>
      </c>
      <c r="BW83" s="12">
        <f>VLOOKUP(A83,'Données projet'!$A$113:$I$133,9,0)</f>
        <v>4</v>
      </c>
      <c r="BX83" s="12">
        <f t="array" ref="BX83">INDEX(BW:BW,MIN(IF(ISNUMBER(BW83:BW279),ROW(BW83:BW279),"")))</f>
        <v>4</v>
      </c>
      <c r="BY83" s="12">
        <f>IF('Données projet'!$A$114&gt;35,BY82+BX83-CG82,IF(A83&lt;'Données projet'!$A$114,$BV$205^A83,IF(A83='Données projet'!$A$114,'Données projet'!$B$114,BY82+BX83-CG82)))</f>
        <v>245.00000000000003</v>
      </c>
      <c r="BZ83" s="13">
        <f>BY83*VLOOKUP('Données projet'!$B$12,Paramètres!$A$1:$I$89,3,0)*VLOOKUP('Données projet'!$B$12,Paramètres!$A$1:$I$89,5,0)</f>
        <v>256.07400000000007</v>
      </c>
      <c r="CA83" s="13">
        <f t="shared" si="93"/>
        <v>61.884773790113961</v>
      </c>
      <c r="CB83" s="20">
        <f t="shared" si="64"/>
        <v>553.77819768444851</v>
      </c>
      <c r="CC83" s="59">
        <f t="shared" si="65"/>
        <v>847.11153101778177</v>
      </c>
      <c r="CD83" s="59">
        <f ca="1">AVERAGE(OFFSET($CC$3,0,0,'Données projet'!$E$12+1,1))-AVERAGE(OFFSET($H$3,0,0,'Données projet'!$E$12+1,1))</f>
        <v>322.93502595881938</v>
      </c>
      <c r="CE83" s="59">
        <f t="shared" si="94"/>
        <v>302.67072119588164</v>
      </c>
      <c r="CF83" s="15">
        <f>IF(ISNA(VLOOKUP(A83,'Données projet'!$A$113:$I$133,3,0)),0,VLOOKUP(A83,'Données projet'!$A$113:$I$133,3,0))</f>
        <v>13</v>
      </c>
      <c r="CG83" s="15" t="str">
        <f>IF(ISNA(VLOOKUP(A83,'Données projet'!$A$113:$I$133,4,0)),0,VLOOKUP(A83,'Données projet'!$A$113:$I$133,4,0))</f>
        <v>15</v>
      </c>
      <c r="CH83" s="16">
        <f>IF(ISNA(VLOOKUP(A83,'Données projet'!$A$113:$I$133,5,0)),0%,VLOOKUP(A83,'Données projet'!$A$113:$I$133,5,0)*VLOOKUP('Données projet'!$B$12,Paramètres!$A$1:$I$89,7,0))</f>
        <v>0.25800000000000001</v>
      </c>
      <c r="CI83" s="16">
        <f>IF(ISNA(VLOOKUP(A83,'Données projet'!$A$113:$I$133,6,0)),0%,VLOOKUP(A83,'Données projet'!$A$113:$I$133,6,0)*VLOOKUP('Données projet'!$B$12,Paramètres!$A$1:$I$89,7,0))</f>
        <v>0.129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27.664449646282215</v>
      </c>
      <c r="CL83" s="21">
        <f>EXP(-LN(2)/25)*CL82+(1-EXP(-LN(2)/25))/(LN(2)/25)*Calculateur!CG83*Calculateur!CI83*VLOOKUP('Données projet'!$B$12,Paramètres!$A$1:$I$89,3,0)*0.475*44/12</f>
        <v>22.411960607012588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50.076410253294803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278.21846622758881</v>
      </c>
      <c r="T84" s="59">
        <f t="shared" si="88"/>
        <v>245.37578316242906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161.52259607122946</v>
      </c>
      <c r="AA84" s="21">
        <f>EXP(-LN(2)/25)*AA83+(1-EXP(-LN(2)/25))/(LN(2)/25)*Calculateur!V84*Calculateur!X84*VLOOKUP('Données projet'!$B$9,Paramètres!$A$1:$I$89,3,0)*0.475*44/12</f>
        <v>36.915470741755563</v>
      </c>
      <c r="AB84" s="21">
        <f>EXP(-LN(2)/2)*AB83+(1-EXP(-LN(2)/2))/(LN(2)/2)*V84*Y84*VLOOKUP('Données projet'!$B$9,Paramètres!$A$1:$I$89,3,0)*0.475*44/12</f>
        <v>8.2537278949037631</v>
      </c>
      <c r="AC84" s="22">
        <f t="shared" si="57"/>
        <v>206.69179470788879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-2.2737367544323206E-13</v>
      </c>
      <c r="AJ84" s="13">
        <f>AI84*VLOOKUP('Données projet'!$B$10,Paramètres!$A$1:$I$89,3,0)*VLOOKUP('Données projet'!$B$10,Paramètres!$A$1:$I$89,5,0)</f>
        <v>-1.3596945791505279E-13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261.13725557061468</v>
      </c>
      <c r="AO84" s="59">
        <f t="shared" si="90"/>
        <v>328.18986868293558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99.256923790083405</v>
      </c>
      <c r="AV84" s="21">
        <f>EXP(-LN(2)/25)*AV83+(1-EXP(-LN(2)/25))/(LN(2)/25)*Calculateur!AQ84*Calculateur!AS84*VLOOKUP('Données projet'!$B$10,Paramètres!$A$1:$I$89,3,0)*0.475*44/12</f>
        <v>22.100288796555365</v>
      </c>
      <c r="AW84" s="21">
        <f>EXP(-LN(2)/2)*AW83+(1-EXP(-LN(2)/2))/(LN(2)/2)*AQ84*AT84*VLOOKUP('Données projet'!$B$10,Paramètres!$A$1:$I$89,3,0)*0.475*44/12</f>
        <v>6.9754928947264871E-3</v>
      </c>
      <c r="AX84" s="21">
        <f t="shared" si="60"/>
        <v>121.36418807953349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5.5042735042735051</v>
      </c>
      <c r="BD84" s="12">
        <f>IF('Données projet'!$A$88&gt;35,BD83+BC84-BL83,IF(A84&lt;'Données projet'!$A$88,$BA$205^A84,IF(A84='Données projet'!$A$88,'Données projet'!$B$88,BD83+BC84-BL83)))</f>
        <v>183.49358974358967</v>
      </c>
      <c r="BE84" s="13">
        <f>BD84*VLOOKUP('Données projet'!$B$11,Paramètres!$A$1:$I$89,3,0)*VLOOKUP('Données projet'!$B$11,Paramètres!$A$1:$I$89,5,0)</f>
        <v>186.06249999999994</v>
      </c>
      <c r="BF84" s="13">
        <f t="shared" si="91"/>
        <v>46.668369362854641</v>
      </c>
      <c r="BG84" s="20">
        <f t="shared" si="61"/>
        <v>405.33959747363838</v>
      </c>
      <c r="BH84" s="59">
        <f t="shared" si="62"/>
        <v>698.67293080697164</v>
      </c>
      <c r="BI84" s="59">
        <f ca="1">AVERAGE(OFFSET($BH$3,0,0,'Données projet'!$E$11+1,1))-AVERAGE(OFFSET($H$3,0,0,'Données projet'!$E$11+1,1))</f>
        <v>250.31277422753283</v>
      </c>
      <c r="BJ84" s="59">
        <f t="shared" si="92"/>
        <v>159.20429420478047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9.2627316525342263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9.2627316525342263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3.6</v>
      </c>
      <c r="BY84" s="12">
        <f>IF('Données projet'!$A$114&gt;35,BY83+BX84-CG83,IF(A84&lt;'Données projet'!$A$114,$BV$205^A84,IF(A84='Données projet'!$A$114,'Données projet'!$B$114,BY83+BX84-CG83)))</f>
        <v>233.60000000000002</v>
      </c>
      <c r="BZ84" s="13">
        <f>BY84*VLOOKUP('Données projet'!$B$12,Paramètres!$A$1:$I$89,3,0)*VLOOKUP('Données projet'!$B$12,Paramètres!$A$1:$I$89,5,0)</f>
        <v>244.15872000000005</v>
      </c>
      <c r="CA84" s="13">
        <f t="shared" si="93"/>
        <v>59.333402749839792</v>
      </c>
      <c r="CB84" s="20">
        <f t="shared" si="64"/>
        <v>528.58211378930434</v>
      </c>
      <c r="CC84" s="59">
        <f t="shared" si="65"/>
        <v>821.91544712263772</v>
      </c>
      <c r="CD84" s="59">
        <f ca="1">AVERAGE(OFFSET($CC$3,0,0,'Données projet'!$E$12+1,1))-AVERAGE(OFFSET($H$3,0,0,'Données projet'!$E$12+1,1))</f>
        <v>322.93502595881938</v>
      </c>
      <c r="CE84" s="59">
        <f t="shared" si="94"/>
        <v>302.67072119588164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27.12196666236677</v>
      </c>
      <c r="CL84" s="21">
        <f>EXP(-LN(2)/25)*CL83+(1-EXP(-LN(2)/25))/(LN(2)/25)*Calculateur!CG84*Calculateur!CI84*VLOOKUP('Données projet'!$B$12,Paramètres!$A$1:$I$89,3,0)*0.475*44/12</f>
        <v>21.799104365620043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48.921071027986812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278.21846622758881</v>
      </c>
      <c r="T85" s="59">
        <f t="shared" si="88"/>
        <v>245.37578316242906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158.35523648132829</v>
      </c>
      <c r="AA85" s="21">
        <f>EXP(-LN(2)/25)*AA84+(1-EXP(-LN(2)/25))/(LN(2)/25)*Calculateur!V85*Calculateur!X85*VLOOKUP('Données projet'!$B$9,Paramètres!$A$1:$I$89,3,0)*0.475*44/12</f>
        <v>35.906015253022019</v>
      </c>
      <c r="AB85" s="21">
        <f>EXP(-LN(2)/2)*AB84+(1-EXP(-LN(2)/2))/(LN(2)/2)*V85*Y85*VLOOKUP('Données projet'!$B$9,Paramètres!$A$1:$I$89,3,0)*0.475*44/12</f>
        <v>5.8362669645550191</v>
      </c>
      <c r="AC85" s="22">
        <f t="shared" si="57"/>
        <v>200.09751869890533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-2.2737367544323206E-13</v>
      </c>
      <c r="AJ85" s="13">
        <f>AI85*VLOOKUP('Données projet'!$B$10,Paramètres!$A$1:$I$89,3,0)*VLOOKUP('Données projet'!$B$10,Paramètres!$A$1:$I$89,5,0)</f>
        <v>-1.3596945791505279E-13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261.13725557061468</v>
      </c>
      <c r="AO85" s="59">
        <f t="shared" si="90"/>
        <v>328.18986868293558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97.310556055305483</v>
      </c>
      <c r="AV85" s="21">
        <f>EXP(-LN(2)/25)*AV84+(1-EXP(-LN(2)/25))/(LN(2)/25)*Calculateur!AQ85*Calculateur!AS85*VLOOKUP('Données projet'!$B$10,Paramètres!$A$1:$I$89,3,0)*0.475*44/12</f>
        <v>21.495955237209881</v>
      </c>
      <c r="AW85" s="21">
        <f>EXP(-LN(2)/2)*AW84+(1-EXP(-LN(2)/2))/(LN(2)/2)*AQ85*AT85*VLOOKUP('Données projet'!$B$10,Paramètres!$A$1:$I$89,3,0)*0.475*44/12</f>
        <v>4.9324183279796791E-3</v>
      </c>
      <c r="AX85" s="21">
        <f t="shared" si="60"/>
        <v>118.81144371084335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5.5042735042735051</v>
      </c>
      <c r="BD85" s="12">
        <f>IF('Données projet'!$A$88&gt;35,BD84+BC85-BL84,IF(A85&lt;'Données projet'!$A$88,$BA$205^A85,IF(A85='Données projet'!$A$88,'Données projet'!$B$88,BD84+BC85-BL84)))</f>
        <v>188.99786324786317</v>
      </c>
      <c r="BE85" s="13">
        <f>BD85*VLOOKUP('Données projet'!$B$11,Paramètres!$A$1:$I$89,3,0)*VLOOKUP('Données projet'!$B$11,Paramètres!$A$1:$I$89,5,0)</f>
        <v>191.64383333333325</v>
      </c>
      <c r="BF85" s="13">
        <f t="shared" si="91"/>
        <v>47.903198650456822</v>
      </c>
      <c r="BG85" s="20">
        <f t="shared" si="61"/>
        <v>417.21108070510104</v>
      </c>
      <c r="BH85" s="59">
        <f t="shared" si="62"/>
        <v>710.5444140384343</v>
      </c>
      <c r="BI85" s="59">
        <f ca="1">AVERAGE(OFFSET($BH$3,0,0,'Données projet'!$E$11+1,1))-AVERAGE(OFFSET($H$3,0,0,'Données projet'!$E$11+1,1))</f>
        <v>250.31277422753283</v>
      </c>
      <c r="BJ85" s="59">
        <f t="shared" si="92"/>
        <v>159.20429420478047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9.0810951345364757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9.0810951345364757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3.6</v>
      </c>
      <c r="BY85" s="12">
        <f>IF('Données projet'!$A$114&gt;35,BY84+BX85-CG84,IF(A85&lt;'Données projet'!$A$114,$BV$205^A85,IF(A85='Données projet'!$A$114,'Données projet'!$B$114,BY84+BX85-CG84)))</f>
        <v>237.20000000000002</v>
      </c>
      <c r="BZ85" s="13">
        <f>BY85*VLOOKUP('Données projet'!$B$12,Paramètres!$A$1:$I$89,3,0)*VLOOKUP('Données projet'!$B$12,Paramètres!$A$1:$I$89,5,0)</f>
        <v>247.92144000000008</v>
      </c>
      <c r="CA85" s="13">
        <f t="shared" si="93"/>
        <v>60.140632467523915</v>
      </c>
      <c r="CB85" s="20">
        <f t="shared" si="64"/>
        <v>536.54144288093755</v>
      </c>
      <c r="CC85" s="59">
        <f t="shared" si="65"/>
        <v>829.87477621427092</v>
      </c>
      <c r="CD85" s="59">
        <f ca="1">AVERAGE(OFFSET($CC$3,0,0,'Données projet'!$E$12+1,1))-AVERAGE(OFFSET($H$3,0,0,'Données projet'!$E$12+1,1))</f>
        <v>322.93502595881938</v>
      </c>
      <c r="CE85" s="59">
        <f t="shared" si="94"/>
        <v>302.67072119588164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26.590121438883958</v>
      </c>
      <c r="CL85" s="21">
        <f>EXP(-LN(2)/25)*CL84+(1-EXP(-LN(2)/25))/(LN(2)/25)*Calculateur!CG85*Calculateur!CI85*VLOOKUP('Données projet'!$B$12,Paramètres!$A$1:$I$89,3,0)*0.475*44/12</f>
        <v>21.203006710377085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47.793128149261044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278.21846622758881</v>
      </c>
      <c r="T86" s="59">
        <f t="shared" si="88"/>
        <v>245.37578316242906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155.2499868810865</v>
      </c>
      <c r="AA86" s="21">
        <f>EXP(-LN(2)/25)*AA85+(1-EXP(-LN(2)/25))/(LN(2)/25)*Calculateur!V86*Calculateur!X86*VLOOKUP('Données projet'!$B$9,Paramètres!$A$1:$I$89,3,0)*0.475*44/12</f>
        <v>34.924163377712851</v>
      </c>
      <c r="AB86" s="21">
        <f>EXP(-LN(2)/2)*AB85+(1-EXP(-LN(2)/2))/(LN(2)/2)*V86*Y86*VLOOKUP('Données projet'!$B$9,Paramètres!$A$1:$I$89,3,0)*0.475*44/12</f>
        <v>4.1268639474518825</v>
      </c>
      <c r="AC86" s="22">
        <f t="shared" si="57"/>
        <v>194.30101420625124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-2.2737367544323206E-13</v>
      </c>
      <c r="AJ86" s="13">
        <f>AI86*VLOOKUP('Données projet'!$B$10,Paramètres!$A$1:$I$89,3,0)*VLOOKUP('Données projet'!$B$10,Paramètres!$A$1:$I$89,5,0)</f>
        <v>-1.3596945791505279E-13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261.13725557061468</v>
      </c>
      <c r="AO86" s="59">
        <f t="shared" si="90"/>
        <v>328.18986868293558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95.402355404639451</v>
      </c>
      <c r="AV86" s="21">
        <f>EXP(-LN(2)/25)*AV85+(1-EXP(-LN(2)/25))/(LN(2)/25)*Calculateur!AQ86*Calculateur!AS86*VLOOKUP('Données projet'!$B$10,Paramètres!$A$1:$I$89,3,0)*0.475*44/12</f>
        <v>20.90814721082522</v>
      </c>
      <c r="AW86" s="21">
        <f>EXP(-LN(2)/2)*AW85+(1-EXP(-LN(2)/2))/(LN(2)/2)*AQ86*AT86*VLOOKUP('Données projet'!$B$10,Paramètres!$A$1:$I$89,3,0)*0.475*44/12</f>
        <v>3.4877464473632436E-3</v>
      </c>
      <c r="AX86" s="21">
        <f t="shared" si="60"/>
        <v>116.31399036191203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5.5042735042735051</v>
      </c>
      <c r="BD86" s="12">
        <f>IF('Données projet'!$A$88&gt;35,BD85+BC86-BL85,IF(A86&lt;'Données projet'!$A$88,$BA$205^A86,IF(A86='Données projet'!$A$88,'Données projet'!$B$88,BD85+BC86-BL85)))</f>
        <v>194.50213675213666</v>
      </c>
      <c r="BE86" s="13">
        <f>BD86*VLOOKUP('Données projet'!$B$11,Paramètres!$A$1:$I$89,3,0)*VLOOKUP('Données projet'!$B$11,Paramètres!$A$1:$I$89,5,0)</f>
        <v>197.22516666666658</v>
      </c>
      <c r="BF86" s="13">
        <f t="shared" si="91"/>
        <v>49.133848364506264</v>
      </c>
      <c r="BG86" s="20">
        <f t="shared" si="61"/>
        <v>429.07528451262601</v>
      </c>
      <c r="BH86" s="59">
        <f t="shared" si="62"/>
        <v>722.40861784595927</v>
      </c>
      <c r="BI86" s="59">
        <f ca="1">AVERAGE(OFFSET($BH$3,0,0,'Données projet'!$E$11+1,1))-AVERAGE(OFFSET($H$3,0,0,'Données projet'!$E$11+1,1))</f>
        <v>250.31277422753283</v>
      </c>
      <c r="BJ86" s="59">
        <f t="shared" si="92"/>
        <v>159.20429420478047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8.9030203978693248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8.9030203978693248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3.6</v>
      </c>
      <c r="BY86" s="12">
        <f>IF('Données projet'!$A$114&gt;35,BY85+BX86-CG85,IF(A86&lt;'Données projet'!$A$114,$BV$205^A86,IF(A86='Données projet'!$A$114,'Données projet'!$B$114,BY85+BX86-CG85)))</f>
        <v>240.8</v>
      </c>
      <c r="BZ86" s="13">
        <f>BY86*VLOOKUP('Données projet'!$B$12,Paramètres!$A$1:$I$89,3,0)*VLOOKUP('Données projet'!$B$12,Paramètres!$A$1:$I$89,5,0)</f>
        <v>251.68416000000002</v>
      </c>
      <c r="CA86" s="13">
        <f t="shared" si="93"/>
        <v>60.946437325817293</v>
      </c>
      <c r="CB86" s="20">
        <f t="shared" si="64"/>
        <v>544.49829034246511</v>
      </c>
      <c r="CC86" s="59">
        <f t="shared" si="65"/>
        <v>837.83162367579848</v>
      </c>
      <c r="CD86" s="59">
        <f ca="1">AVERAGE(OFFSET($CC$3,0,0,'Données projet'!$E$12+1,1))-AVERAGE(OFFSET($H$3,0,0,'Données projet'!$E$12+1,1))</f>
        <v>322.93502595881938</v>
      </c>
      <c r="CE86" s="59">
        <f t="shared" si="94"/>
        <v>302.67072119588164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26.068705375840089</v>
      </c>
      <c r="CL86" s="21">
        <f>EXP(-LN(2)/25)*CL85+(1-EXP(-LN(2)/25))/(LN(2)/25)*Calculateur!CG86*Calculateur!CI86*VLOOKUP('Données projet'!$B$12,Paramètres!$A$1:$I$89,3,0)*0.475*44/12</f>
        <v>20.62320937686416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46.69191475270425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278.21846622758881</v>
      </c>
      <c r="T87" s="59">
        <f t="shared" si="88"/>
        <v>245.37578316242906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152.20562933149023</v>
      </c>
      <c r="AA87" s="21">
        <f>EXP(-LN(2)/25)*AA86+(1-EXP(-LN(2)/25))/(LN(2)/25)*Calculateur!V87*Calculateur!X87*VLOOKUP('Données projet'!$B$9,Paramètres!$A$1:$I$89,3,0)*0.475*44/12</f>
        <v>33.969160293567363</v>
      </c>
      <c r="AB87" s="21">
        <f>EXP(-LN(2)/2)*AB86+(1-EXP(-LN(2)/2))/(LN(2)/2)*V87*Y87*VLOOKUP('Données projet'!$B$9,Paramètres!$A$1:$I$89,3,0)*0.475*44/12</f>
        <v>2.91813348227751</v>
      </c>
      <c r="AC87" s="22">
        <f t="shared" si="57"/>
        <v>189.09292310733511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-2.2737367544323206E-13</v>
      </c>
      <c r="AJ87" s="13">
        <f>AI87*VLOOKUP('Données projet'!$B$10,Paramètres!$A$1:$I$89,3,0)*VLOOKUP('Données projet'!$B$10,Paramètres!$A$1:$I$89,5,0)</f>
        <v>-1.3596945791505279E-13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261.13725557061468</v>
      </c>
      <c r="AO87" s="59">
        <f t="shared" si="90"/>
        <v>328.18986868293558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93.531573404845517</v>
      </c>
      <c r="AV87" s="21">
        <f>EXP(-LN(2)/25)*AV86+(1-EXP(-LN(2)/25))/(LN(2)/25)*Calculateur!AQ87*Calculateur!AS87*VLOOKUP('Données projet'!$B$10,Paramètres!$A$1:$I$89,3,0)*0.475*44/12</f>
        <v>20.336412825833527</v>
      </c>
      <c r="AW87" s="21">
        <f>EXP(-LN(2)/2)*AW86+(1-EXP(-LN(2)/2))/(LN(2)/2)*AQ87*AT87*VLOOKUP('Données projet'!$B$10,Paramètres!$A$1:$I$89,3,0)*0.475*44/12</f>
        <v>2.4662091639898395E-3</v>
      </c>
      <c r="AX87" s="21">
        <f t="shared" si="60"/>
        <v>113.87045243984302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200.00641025641025</v>
      </c>
      <c r="BB87" s="12">
        <f>VLOOKUP(A87,'Données projet'!$A$87:$I$107,9,0)</f>
        <v>5.5042735042735051</v>
      </c>
      <c r="BC87" s="12">
        <f t="array" ref="BC87">INDEX(BB:BB,MIN(IF(ISNUMBER(BB87:BB283),ROW(BB87:BB283),"")))</f>
        <v>5.5042735042735051</v>
      </c>
      <c r="BD87" s="12">
        <f>IF('Données projet'!$A$88&gt;35,BD86+BC87-BL86,IF(A87&lt;'Données projet'!$A$88,$BA$205^A87,IF(A87='Données projet'!$A$88,'Données projet'!$B$88,BD86+BC87-BL86)))</f>
        <v>200.00641025641016</v>
      </c>
      <c r="BE87" s="13">
        <f>BD87*VLOOKUP('Données projet'!$B$11,Paramètres!$A$1:$I$89,3,0)*VLOOKUP('Données projet'!$B$11,Paramètres!$A$1:$I$89,5,0)</f>
        <v>202.80649999999991</v>
      </c>
      <c r="BF87" s="13">
        <f t="shared" si="91"/>
        <v>50.360450370083477</v>
      </c>
      <c r="BG87" s="20">
        <f t="shared" si="61"/>
        <v>440.93243856122854</v>
      </c>
      <c r="BH87" s="59">
        <f t="shared" si="62"/>
        <v>734.26577189456179</v>
      </c>
      <c r="BI87" s="59">
        <f ca="1">AVERAGE(OFFSET($BH$3,0,0,'Données projet'!$E$11+1,1))-AVERAGE(OFFSET($H$3,0,0,'Données projet'!$E$11+1,1))</f>
        <v>250.31277422753283</v>
      </c>
      <c r="BJ87" s="59">
        <f t="shared" si="92"/>
        <v>159.20429420478047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35.083333333333329</v>
      </c>
      <c r="BM87" s="16">
        <f>IF(ISNA(VLOOKUP(A87,'Données projet'!$A$87:$I$107,5,0)),0%,VLOOKUP(A87,'Données projet'!$A$87:$I$107,5,0)*VLOOKUP('Données projet'!$B$11,Paramètres!$A$1:$I$89,7,0))</f>
        <v>0.30099999999999999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20.565730959198525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20.565730959198525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3.6</v>
      </c>
      <c r="BY87" s="12">
        <f>IF('Données projet'!$A$114&gt;35,BY86+BX87-CG86,IF(A87&lt;'Données projet'!$A$114,$BV$205^A87,IF(A87='Données projet'!$A$114,'Données projet'!$B$114,BY86+BX87-CG86)))</f>
        <v>244.4</v>
      </c>
      <c r="BZ87" s="13">
        <f>BY87*VLOOKUP('Données projet'!$B$12,Paramètres!$A$1:$I$89,3,0)*VLOOKUP('Données projet'!$B$12,Paramètres!$A$1:$I$89,5,0)</f>
        <v>255.44688000000005</v>
      </c>
      <c r="CA87" s="13">
        <f t="shared" si="93"/>
        <v>61.750841087245945</v>
      </c>
      <c r="CB87" s="20">
        <f t="shared" si="64"/>
        <v>552.45269756028677</v>
      </c>
      <c r="CC87" s="59">
        <f t="shared" si="65"/>
        <v>845.78603089362014</v>
      </c>
      <c r="CD87" s="59">
        <f ca="1">AVERAGE(OFFSET($CC$3,0,0,'Données projet'!$E$12+1,1))-AVERAGE(OFFSET($H$3,0,0,'Données projet'!$E$12+1,1))</f>
        <v>322.93502595881938</v>
      </c>
      <c r="CE87" s="59">
        <f t="shared" si="94"/>
        <v>302.67072119588164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25.557513963760115</v>
      </c>
      <c r="CL87" s="21">
        <f>EXP(-LN(2)/25)*CL86+(1-EXP(-LN(2)/25))/(LN(2)/25)*Calculateur!CG87*Calculateur!CI87*VLOOKUP('Données projet'!$B$12,Paramètres!$A$1:$I$89,3,0)*0.475*44/12</f>
        <v>20.059266631926363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45.616780595686478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278.21846622758881</v>
      </c>
      <c r="T88" s="59">
        <f t="shared" si="88"/>
        <v>245.37578316242906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149.22096977656679</v>
      </c>
      <c r="AA88" s="21">
        <f>EXP(-LN(2)/25)*AA87+(1-EXP(-LN(2)/25))/(LN(2)/25)*Calculateur!V88*Calculateur!X88*VLOOKUP('Données projet'!$B$9,Paramètres!$A$1:$I$89,3,0)*0.475*44/12</f>
        <v>33.040271818979264</v>
      </c>
      <c r="AB88" s="21">
        <f>EXP(-LN(2)/2)*AB87+(1-EXP(-LN(2)/2))/(LN(2)/2)*V88*Y88*VLOOKUP('Données projet'!$B$9,Paramètres!$A$1:$I$89,3,0)*0.475*44/12</f>
        <v>2.0634319737259412</v>
      </c>
      <c r="AC88" s="22">
        <f t="shared" si="57"/>
        <v>184.32467356927199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-2.2737367544323206E-13</v>
      </c>
      <c r="AJ88" s="13">
        <f>AI88*VLOOKUP('Données projet'!$B$10,Paramètres!$A$1:$I$89,3,0)*VLOOKUP('Données projet'!$B$10,Paramètres!$A$1:$I$89,5,0)</f>
        <v>-1.3596945791505279E-13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261.13725557061468</v>
      </c>
      <c r="AO88" s="59">
        <f t="shared" si="90"/>
        <v>328.18986868293558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91.697476299003185</v>
      </c>
      <c r="AV88" s="21">
        <f>EXP(-LN(2)/25)*AV87+(1-EXP(-LN(2)/25))/(LN(2)/25)*Calculateur!AQ88*Calculateur!AS88*VLOOKUP('Données projet'!$B$10,Paramètres!$A$1:$I$89,3,0)*0.475*44/12</f>
        <v>19.780312547665638</v>
      </c>
      <c r="AW88" s="21">
        <f>EXP(-LN(2)/2)*AW87+(1-EXP(-LN(2)/2))/(LN(2)/2)*AQ88*AT88*VLOOKUP('Données projet'!$B$10,Paramètres!$A$1:$I$89,3,0)*0.475*44/12</f>
        <v>1.7438732236816218E-3</v>
      </c>
      <c r="AX88" s="21">
        <f t="shared" si="60"/>
        <v>111.47953271989252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5.2606837606837598</v>
      </c>
      <c r="BD88" s="12">
        <f>IF('Données projet'!$A$88&gt;35,BD87+BC88-BL87,IF(A88&lt;'Données projet'!$A$88,$BA$205^A88,IF(A88='Données projet'!$A$88,'Données projet'!$B$88,BD87+BC88-BL87)))</f>
        <v>170.18376068376057</v>
      </c>
      <c r="BE88" s="13">
        <f>BD88*VLOOKUP('Données projet'!$B$11,Paramètres!$A$1:$I$89,3,0)*VLOOKUP('Données projet'!$B$11,Paramètres!$A$1:$I$89,5,0)</f>
        <v>172.56633333333323</v>
      </c>
      <c r="BF88" s="13">
        <f t="shared" si="91"/>
        <v>43.664294704622499</v>
      </c>
      <c r="BG88" s="20">
        <f t="shared" si="61"/>
        <v>376.60167716610619</v>
      </c>
      <c r="BH88" s="59">
        <f t="shared" si="62"/>
        <v>669.9350104994395</v>
      </c>
      <c r="BI88" s="59">
        <f ca="1">AVERAGE(OFFSET($BH$3,0,0,'Données projet'!$E$11+1,1))-AVERAGE(OFFSET($H$3,0,0,'Données projet'!$E$11+1,1))</f>
        <v>250.31277422753283</v>
      </c>
      <c r="BJ88" s="59">
        <f t="shared" si="92"/>
        <v>159.20429420478047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20.162449518945923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20.162449518945923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248</v>
      </c>
      <c r="BW88" s="12">
        <f>VLOOKUP(A88,'Données projet'!$A$113:$I$133,9,0)</f>
        <v>3.6</v>
      </c>
      <c r="BX88" s="12">
        <f t="array" ref="BX88">INDEX(BW:BW,MIN(IF(ISNUMBER(BW88:BW284),ROW(BW88:BW284),"")))</f>
        <v>3.6</v>
      </c>
      <c r="BY88" s="12">
        <f>IF('Données projet'!$A$114&gt;35,BY87+BX88-CG87,IF(A88&lt;'Données projet'!$A$114,$BV$205^A88,IF(A88='Données projet'!$A$114,'Données projet'!$B$114,BY87+BX88-CG87)))</f>
        <v>248</v>
      </c>
      <c r="BZ88" s="13">
        <f>BY88*VLOOKUP('Données projet'!$B$12,Paramètres!$A$1:$I$89,3,0)*VLOOKUP('Données projet'!$B$12,Paramètres!$A$1:$I$89,5,0)</f>
        <v>259.20960000000002</v>
      </c>
      <c r="CA88" s="13">
        <f t="shared" si="93"/>
        <v>62.553866774106702</v>
      </c>
      <c r="CB88" s="20">
        <f t="shared" si="64"/>
        <v>560.40470463156919</v>
      </c>
      <c r="CC88" s="59">
        <f t="shared" si="65"/>
        <v>853.73803796490256</v>
      </c>
      <c r="CD88" s="59">
        <f ca="1">AVERAGE(OFFSET($CC$3,0,0,'Données projet'!$E$12+1,1))-AVERAGE(OFFSET($H$3,0,0,'Données projet'!$E$12+1,1))</f>
        <v>322.93502595881938</v>
      </c>
      <c r="CE88" s="59">
        <f t="shared" si="94"/>
        <v>302.67072119588164</v>
      </c>
      <c r="CF88" s="15">
        <f>IF(ISNA(VLOOKUP(A88,'Données projet'!$A$113:$I$133,3,0)),0,VLOOKUP(A88,'Données projet'!$A$113:$I$133,3,0))</f>
        <v>14</v>
      </c>
      <c r="CG88" s="15" t="str">
        <f>IF(ISNA(VLOOKUP(A88,'Données projet'!$A$113:$I$133,4,0)),0,VLOOKUP(A88,'Données projet'!$A$113:$I$133,4,0))</f>
        <v>14</v>
      </c>
      <c r="CH88" s="16">
        <f>IF(ISNA(VLOOKUP(A88,'Données projet'!$A$113:$I$133,5,0)),0%,VLOOKUP(A88,'Données projet'!$A$113:$I$133,5,0)*VLOOKUP('Données projet'!$B$12,Paramètres!$A$1:$I$89,7,0))</f>
        <v>0.25800000000000001</v>
      </c>
      <c r="CI88" s="16">
        <f>IF(ISNA(VLOOKUP(A88,'Données projet'!$A$113:$I$133,6,0)),0%,VLOOKUP(A88,'Données projet'!$A$113:$I$133,6,0)*VLOOKUP('Données projet'!$B$12,Paramètres!$A$1:$I$89,7,0))</f>
        <v>0.129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29.229787461639532</v>
      </c>
      <c r="CL88" s="21">
        <f>EXP(-LN(2)/25)*CL87+(1-EXP(-LN(2)/25))/(LN(2)/25)*Calculateur!CG88*Calculateur!CI88*VLOOKUP('Données projet'!$B$12,Paramètres!$A$1:$I$89,3,0)*0.475*44/12</f>
        <v>21.589249096852345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50.819036558491874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278.21846622758881</v>
      </c>
      <c r="T89" s="59">
        <f t="shared" si="88"/>
        <v>245.37578316242906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146.29483757505281</v>
      </c>
      <c r="AA89" s="21">
        <f>EXP(-LN(2)/25)*AA88+(1-EXP(-LN(2)/25))/(LN(2)/25)*Calculateur!V89*Calculateur!X89*VLOOKUP('Données projet'!$B$9,Paramètres!$A$1:$I$89,3,0)*0.475*44/12</f>
        <v>32.136783848576897</v>
      </c>
      <c r="AB89" s="21">
        <f>EXP(-LN(2)/2)*AB88+(1-EXP(-LN(2)/2))/(LN(2)/2)*V89*Y89*VLOOKUP('Données projet'!$B$9,Paramètres!$A$1:$I$89,3,0)*0.475*44/12</f>
        <v>1.459066741138755</v>
      </c>
      <c r="AC89" s="22">
        <f t="shared" si="57"/>
        <v>179.89068816476845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-2.2737367544323206E-13</v>
      </c>
      <c r="AJ89" s="13">
        <f>AI89*VLOOKUP('Données projet'!$B$10,Paramètres!$A$1:$I$89,3,0)*VLOOKUP('Données projet'!$B$10,Paramètres!$A$1:$I$89,5,0)</f>
        <v>-1.3596945791505279E-13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261.13725557061468</v>
      </c>
      <c r="AO89" s="59">
        <f t="shared" si="90"/>
        <v>328.18986868293558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89.899344718717657</v>
      </c>
      <c r="AV89" s="21">
        <f>EXP(-LN(2)/25)*AV88+(1-EXP(-LN(2)/25))/(LN(2)/25)*Calculateur!AQ89*Calculateur!AS89*VLOOKUP('Données projet'!$B$10,Paramètres!$A$1:$I$89,3,0)*0.475*44/12</f>
        <v>19.239418860848293</v>
      </c>
      <c r="AW89" s="21">
        <f>EXP(-LN(2)/2)*AW88+(1-EXP(-LN(2)/2))/(LN(2)/2)*AQ89*AT89*VLOOKUP('Données projet'!$B$10,Paramètres!$A$1:$I$89,3,0)*0.475*44/12</f>
        <v>1.2331045819949198E-3</v>
      </c>
      <c r="AX89" s="21">
        <f t="shared" si="60"/>
        <v>109.13999668414795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5.2606837606837598</v>
      </c>
      <c r="BD89" s="12">
        <f>IF('Données projet'!$A$88&gt;35,BD88+BC89-BL88,IF(A89&lt;'Données projet'!$A$88,$BA$205^A89,IF(A89='Données projet'!$A$88,'Données projet'!$B$88,BD88+BC89-BL88)))</f>
        <v>175.44444444444431</v>
      </c>
      <c r="BE89" s="13">
        <f>BD89*VLOOKUP('Données projet'!$B$11,Paramètres!$A$1:$I$89,3,0)*VLOOKUP('Données projet'!$B$11,Paramètres!$A$1:$I$89,5,0)</f>
        <v>177.90066666666655</v>
      </c>
      <c r="BF89" s="13">
        <f t="shared" si="91"/>
        <v>44.854804758185892</v>
      </c>
      <c r="BG89" s="20">
        <f t="shared" si="61"/>
        <v>387.96577939828467</v>
      </c>
      <c r="BH89" s="59">
        <f t="shared" si="62"/>
        <v>681.29911273161792</v>
      </c>
      <c r="BI89" s="59">
        <f ca="1">AVERAGE(OFFSET($BH$3,0,0,'Données projet'!$E$11+1,1))-AVERAGE(OFFSET($H$3,0,0,'Données projet'!$E$11+1,1))</f>
        <v>250.31277422753283</v>
      </c>
      <c r="BJ89" s="59">
        <f t="shared" si="92"/>
        <v>159.20429420478047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19.767076181759286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19.767076181759286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</v>
      </c>
      <c r="BY89" s="12">
        <f>IF('Données projet'!$A$114&gt;35,BY88+BX89-CG88,IF(A89&lt;'Données projet'!$A$114,$BV$205^A89,IF(A89='Données projet'!$A$114,'Données projet'!$B$114,BY88+BX89-CG88)))</f>
        <v>237</v>
      </c>
      <c r="BZ89" s="13">
        <f>BY89*VLOOKUP('Données projet'!$B$12,Paramètres!$A$1:$I$89,3,0)*VLOOKUP('Données projet'!$B$12,Paramètres!$A$1:$I$89,5,0)</f>
        <v>247.71240000000003</v>
      </c>
      <c r="CA89" s="13">
        <f t="shared" si="93"/>
        <v>60.095823975624157</v>
      </c>
      <c r="CB89" s="20">
        <f t="shared" si="64"/>
        <v>536.099323424212</v>
      </c>
      <c r="CC89" s="59">
        <f t="shared" si="65"/>
        <v>829.43265675754537</v>
      </c>
      <c r="CD89" s="59">
        <f ca="1">AVERAGE(OFFSET($CC$3,0,0,'Données projet'!$E$12+1,1))-AVERAGE(OFFSET($H$3,0,0,'Données projet'!$E$12+1,1))</f>
        <v>322.93502595881938</v>
      </c>
      <c r="CE89" s="59">
        <f t="shared" si="94"/>
        <v>302.67072119588164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28.656609157926724</v>
      </c>
      <c r="CL89" s="21">
        <f>EXP(-LN(2)/25)*CL88+(1-EXP(-LN(2)/25))/(LN(2)/25)*Calculateur!CG89*Calculateur!CI89*VLOOKUP('Données projet'!$B$12,Paramètres!$A$1:$I$89,3,0)*0.475*44/12</f>
        <v>20.998889944969651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49.655499102896371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278.21846622758881</v>
      </c>
      <c r="T90" s="59">
        <f t="shared" si="88"/>
        <v>245.37578316242906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143.42608504124613</v>
      </c>
      <c r="AA90" s="21">
        <f>EXP(-LN(2)/25)*AA89+(1-EXP(-LN(2)/25))/(LN(2)/25)*Calculateur!V90*Calculateur!X90*VLOOKUP('Données projet'!$B$9,Paramètres!$A$1:$I$89,3,0)*0.475*44/12</f>
        <v>31.258001804237548</v>
      </c>
      <c r="AB90" s="21">
        <f>EXP(-LN(2)/2)*AB89+(1-EXP(-LN(2)/2))/(LN(2)/2)*V90*Y90*VLOOKUP('Données projet'!$B$9,Paramètres!$A$1:$I$89,3,0)*0.475*44/12</f>
        <v>1.0317159868629706</v>
      </c>
      <c r="AC90" s="22">
        <f t="shared" si="57"/>
        <v>175.71580283234664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-2.2737367544323206E-13</v>
      </c>
      <c r="AJ90" s="13">
        <f>AI90*VLOOKUP('Données projet'!$B$10,Paramètres!$A$1:$I$89,3,0)*VLOOKUP('Données projet'!$B$10,Paramètres!$A$1:$I$89,5,0)</f>
        <v>-1.3596945791505279E-13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261.13725557061468</v>
      </c>
      <c r="AO90" s="59">
        <f t="shared" si="90"/>
        <v>328.18986868293558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88.136473401969553</v>
      </c>
      <c r="AV90" s="21">
        <f>EXP(-LN(2)/25)*AV89+(1-EXP(-LN(2)/25))/(LN(2)/25)*Calculateur!AQ90*Calculateur!AS90*VLOOKUP('Données projet'!$B$10,Paramètres!$A$1:$I$89,3,0)*0.475*44/12</f>
        <v>18.713315940341332</v>
      </c>
      <c r="AW90" s="21">
        <f>EXP(-LN(2)/2)*AW89+(1-EXP(-LN(2)/2))/(LN(2)/2)*AQ90*AT90*VLOOKUP('Données projet'!$B$10,Paramètres!$A$1:$I$89,3,0)*0.475*44/12</f>
        <v>8.7193661184081089E-4</v>
      </c>
      <c r="AX90" s="21">
        <f t="shared" si="60"/>
        <v>106.85066127892273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5.2606837606837598</v>
      </c>
      <c r="BD90" s="12">
        <f>IF('Données projet'!$A$88&gt;35,BD89+BC90-BL89,IF(A90&lt;'Données projet'!$A$88,$BA$205^A90,IF(A90='Données projet'!$A$88,'Données projet'!$B$88,BD89+BC90-BL89)))</f>
        <v>180.70512820512806</v>
      </c>
      <c r="BE90" s="13">
        <f>BD90*VLOOKUP('Données projet'!$B$11,Paramètres!$A$1:$I$89,3,0)*VLOOKUP('Données projet'!$B$11,Paramètres!$A$1:$I$89,5,0)</f>
        <v>183.23499999999987</v>
      </c>
      <c r="BF90" s="13">
        <f t="shared" si="91"/>
        <v>46.041166229421272</v>
      </c>
      <c r="BG90" s="20">
        <f t="shared" si="61"/>
        <v>399.32265618290847</v>
      </c>
      <c r="BH90" s="59">
        <f t="shared" si="62"/>
        <v>692.65598951624179</v>
      </c>
      <c r="BI90" s="59">
        <f ca="1">AVERAGE(OFFSET($BH$3,0,0,'Données projet'!$E$11+1,1))-AVERAGE(OFFSET($H$3,0,0,'Données projet'!$E$11+1,1))</f>
        <v>250.31277422753283</v>
      </c>
      <c r="BJ90" s="59">
        <f t="shared" si="92"/>
        <v>159.20429420478047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19.379455874560954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19.379455874560954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</v>
      </c>
      <c r="BY90" s="12">
        <f>IF('Données projet'!$A$114&gt;35,BY89+BX90-CG89,IF(A90&lt;'Données projet'!$A$114,$BV$205^A90,IF(A90='Données projet'!$A$114,'Données projet'!$B$114,BY89+BX90-CG89)))</f>
        <v>240</v>
      </c>
      <c r="BZ90" s="13">
        <f>BY90*VLOOKUP('Données projet'!$B$12,Paramètres!$A$1:$I$89,3,0)*VLOOKUP('Données projet'!$B$12,Paramètres!$A$1:$I$89,5,0)</f>
        <v>250.84800000000001</v>
      </c>
      <c r="CA90" s="13">
        <f t="shared" si="93"/>
        <v>60.767491486783541</v>
      </c>
      <c r="CB90" s="20">
        <f t="shared" si="64"/>
        <v>542.7303143394812</v>
      </c>
      <c r="CC90" s="59">
        <f t="shared" si="65"/>
        <v>836.06364767281457</v>
      </c>
      <c r="CD90" s="59">
        <f ca="1">AVERAGE(OFFSET($CC$3,0,0,'Données projet'!$E$12+1,1))-AVERAGE(OFFSET($H$3,0,0,'Données projet'!$E$12+1,1))</f>
        <v>322.93502595881938</v>
      </c>
      <c r="CE90" s="59">
        <f t="shared" si="94"/>
        <v>302.67072119588164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28.094670531145479</v>
      </c>
      <c r="CL90" s="21">
        <f>EXP(-LN(2)/25)*CL89+(1-EXP(-LN(2)/25))/(LN(2)/25)*Calculateur!CG90*Calculateur!CI90*VLOOKUP('Données projet'!$B$12,Paramètres!$A$1:$I$89,3,0)*0.475*44/12</f>
        <v>20.424674195140827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48.519344726286306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278.21846622758881</v>
      </c>
      <c r="T91" s="59">
        <f t="shared" si="88"/>
        <v>245.37578316242906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140.61358699486109</v>
      </c>
      <c r="AA91" s="21">
        <f>EXP(-LN(2)/25)*AA90+(1-EXP(-LN(2)/25))/(LN(2)/25)*Calculateur!V91*Calculateur!X91*VLOOKUP('Données projet'!$B$9,Paramètres!$A$1:$I$89,3,0)*0.475*44/12</f>
        <v>30.403250101113798</v>
      </c>
      <c r="AB91" s="21">
        <f>EXP(-LN(2)/2)*AB90+(1-EXP(-LN(2)/2))/(LN(2)/2)*V91*Y91*VLOOKUP('Données projet'!$B$9,Paramètres!$A$1:$I$89,3,0)*0.475*44/12</f>
        <v>0.7295333705693775</v>
      </c>
      <c r="AC91" s="22">
        <f t="shared" si="57"/>
        <v>171.74637046654428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-2.2737367544323206E-13</v>
      </c>
      <c r="AJ91" s="13">
        <f>AI91*VLOOKUP('Données projet'!$B$10,Paramètres!$A$1:$I$89,3,0)*VLOOKUP('Données projet'!$B$10,Paramètres!$A$1:$I$89,5,0)</f>
        <v>-1.3596945791505279E-13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261.13725557061468</v>
      </c>
      <c r="AO91" s="59">
        <f t="shared" si="90"/>
        <v>328.18986868293558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86.408170916497554</v>
      </c>
      <c r="AV91" s="21">
        <f>EXP(-LN(2)/25)*AV90+(1-EXP(-LN(2)/25))/(LN(2)/25)*Calculateur!AQ91*Calculateur!AS91*VLOOKUP('Données projet'!$B$10,Paramètres!$A$1:$I$89,3,0)*0.475*44/12</f>
        <v>18.201599331862184</v>
      </c>
      <c r="AW91" s="21">
        <f>EXP(-LN(2)/2)*AW90+(1-EXP(-LN(2)/2))/(LN(2)/2)*AQ91*AT91*VLOOKUP('Données projet'!$B$10,Paramètres!$A$1:$I$89,3,0)*0.475*44/12</f>
        <v>6.1655229099745988E-4</v>
      </c>
      <c r="AX91" s="21">
        <f t="shared" si="60"/>
        <v>104.61038680065073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5.2606837606837598</v>
      </c>
      <c r="BD91" s="12">
        <f>IF('Données projet'!$A$88&gt;35,BD90+BC91-BL90,IF(A91&lt;'Données projet'!$A$88,$BA$205^A91,IF(A91='Données projet'!$A$88,'Données projet'!$B$88,BD90+BC91-BL90)))</f>
        <v>185.96581196581181</v>
      </c>
      <c r="BE91" s="13">
        <f>BD91*VLOOKUP('Données projet'!$B$11,Paramètres!$A$1:$I$89,3,0)*VLOOKUP('Données projet'!$B$11,Paramètres!$A$1:$I$89,5,0)</f>
        <v>188.56933333333319</v>
      </c>
      <c r="BF91" s="13">
        <f t="shared" si="91"/>
        <v>47.223513760156187</v>
      </c>
      <c r="BG91" s="20">
        <f t="shared" si="61"/>
        <v>410.67254202116061</v>
      </c>
      <c r="BH91" s="59">
        <f t="shared" si="62"/>
        <v>704.00587535449392</v>
      </c>
      <c r="BI91" s="59">
        <f ca="1">AVERAGE(OFFSET($BH$3,0,0,'Données projet'!$E$11+1,1))-AVERAGE(OFFSET($H$3,0,0,'Données projet'!$E$11+1,1))</f>
        <v>250.31277422753283</v>
      </c>
      <c r="BJ91" s="59">
        <f t="shared" si="92"/>
        <v>159.20429420478047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18.999436565161737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18.999436565161737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</v>
      </c>
      <c r="BY91" s="12">
        <f>IF('Données projet'!$A$114&gt;35,BY90+BX91-CG90,IF(A91&lt;'Données projet'!$A$114,$BV$205^A91,IF(A91='Données projet'!$A$114,'Données projet'!$B$114,BY90+BX91-CG90)))</f>
        <v>243</v>
      </c>
      <c r="BZ91" s="13">
        <f>BY91*VLOOKUP('Données projet'!$B$12,Paramètres!$A$1:$I$89,3,0)*VLOOKUP('Données projet'!$B$12,Paramètres!$A$1:$I$89,5,0)</f>
        <v>253.98360000000002</v>
      </c>
      <c r="CA91" s="13">
        <f t="shared" si="93"/>
        <v>61.438182405444294</v>
      </c>
      <c r="CB91" s="20">
        <f t="shared" si="64"/>
        <v>549.35960435614891</v>
      </c>
      <c r="CC91" s="59">
        <f t="shared" si="65"/>
        <v>842.69293768948228</v>
      </c>
      <c r="CD91" s="59">
        <f ca="1">AVERAGE(OFFSET($CC$3,0,0,'Données projet'!$E$12+1,1))-AVERAGE(OFFSET($H$3,0,0,'Données projet'!$E$12+1,1))</f>
        <v>322.93502595881938</v>
      </c>
      <c r="CE91" s="59">
        <f t="shared" si="94"/>
        <v>302.67072119588164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27.543751178086694</v>
      </c>
      <c r="CL91" s="21">
        <f>EXP(-LN(2)/25)*CL90+(1-EXP(-LN(2)/25))/(LN(2)/25)*Calculateur!CG91*Calculateur!CI91*VLOOKUP('Données projet'!$B$12,Paramètres!$A$1:$I$89,3,0)*0.475*44/12</f>
        <v>19.866160405187767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47.409911583274464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278.21846622758881</v>
      </c>
      <c r="T92" s="59">
        <f t="shared" si="88"/>
        <v>245.37578316242906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137.85624031971128</v>
      </c>
      <c r="AA92" s="21">
        <f>EXP(-LN(2)/25)*AA91+(1-EXP(-LN(2)/25))/(LN(2)/25)*Calculateur!V92*Calculateur!X92*VLOOKUP('Données projet'!$B$9,Paramètres!$A$1:$I$89,3,0)*0.475*44/12</f>
        <v>29.571871628261405</v>
      </c>
      <c r="AB92" s="21">
        <f>EXP(-LN(2)/2)*AB91+(1-EXP(-LN(2)/2))/(LN(2)/2)*V92*Y92*VLOOKUP('Données projet'!$B$9,Paramètres!$A$1:$I$89,3,0)*0.475*44/12</f>
        <v>0.51585799343148531</v>
      </c>
      <c r="AC92" s="22">
        <f t="shared" si="57"/>
        <v>167.94396994140419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-2.2737367544323206E-13</v>
      </c>
      <c r="AJ92" s="13">
        <f>AI92*VLOOKUP('Données projet'!$B$10,Paramètres!$A$1:$I$89,3,0)*VLOOKUP('Données projet'!$B$10,Paramètres!$A$1:$I$89,5,0)</f>
        <v>-1.3596945791505279E-13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261.13725557061468</v>
      </c>
      <c r="AO92" s="59">
        <f t="shared" si="90"/>
        <v>328.18986868293558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84.713759388605226</v>
      </c>
      <c r="AV92" s="21">
        <f>EXP(-LN(2)/25)*AV91+(1-EXP(-LN(2)/25))/(LN(2)/25)*Calculateur!AQ92*Calculateur!AS92*VLOOKUP('Données projet'!$B$10,Paramètres!$A$1:$I$89,3,0)*0.475*44/12</f>
        <v>17.703875640951903</v>
      </c>
      <c r="AW92" s="21">
        <f>EXP(-LN(2)/2)*AW91+(1-EXP(-LN(2)/2))/(LN(2)/2)*AQ92*AT92*VLOOKUP('Données projet'!$B$10,Paramètres!$A$1:$I$89,3,0)*0.475*44/12</f>
        <v>4.3596830592040545E-4</v>
      </c>
      <c r="AX92" s="21">
        <f t="shared" si="60"/>
        <v>102.41807099786305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5.2606837606837598</v>
      </c>
      <c r="BD92" s="12">
        <f>IF('Données projet'!$A$88&gt;35,BD91+BC92-BL91,IF(A92&lt;'Données projet'!$A$88,$BA$205^A92,IF(A92='Données projet'!$A$88,'Données projet'!$B$88,BD91+BC92-BL91)))</f>
        <v>191.22649572649556</v>
      </c>
      <c r="BE92" s="13">
        <f>BD92*VLOOKUP('Données projet'!$B$11,Paramètres!$A$1:$I$89,3,0)*VLOOKUP('Données projet'!$B$11,Paramètres!$A$1:$I$89,5,0)</f>
        <v>193.90366666666651</v>
      </c>
      <c r="BF92" s="13">
        <f t="shared" si="91"/>
        <v>48.401973941265673</v>
      </c>
      <c r="BG92" s="20">
        <f t="shared" si="61"/>
        <v>422.01565739214857</v>
      </c>
      <c r="BH92" s="59">
        <f t="shared" si="62"/>
        <v>715.34899072548183</v>
      </c>
      <c r="BI92" s="59">
        <f ca="1">AVERAGE(OFFSET($BH$3,0,0,'Données projet'!$E$11+1,1))-AVERAGE(OFFSET($H$3,0,0,'Données projet'!$E$11+1,1))</f>
        <v>250.31277422753283</v>
      </c>
      <c r="BJ92" s="59">
        <f t="shared" si="92"/>
        <v>159.20429420478047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18.626869202630949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18.626869202630949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</v>
      </c>
      <c r="BY92" s="12">
        <f>IF('Données projet'!$A$114&gt;35,BY91+BX92-CG91,IF(A92&lt;'Données projet'!$A$114,$BV$205^A92,IF(A92='Données projet'!$A$114,'Données projet'!$B$114,BY91+BX92-CG91)))</f>
        <v>246</v>
      </c>
      <c r="BZ92" s="13">
        <f>BY92*VLOOKUP('Données projet'!$B$12,Paramètres!$A$1:$I$89,3,0)*VLOOKUP('Données projet'!$B$12,Paramètres!$A$1:$I$89,5,0)</f>
        <v>257.11920000000003</v>
      </c>
      <c r="CA92" s="13">
        <f t="shared" si="93"/>
        <v>62.107910182723955</v>
      </c>
      <c r="CB92" s="20">
        <f t="shared" si="64"/>
        <v>555.98721690157754</v>
      </c>
      <c r="CC92" s="59">
        <f t="shared" si="65"/>
        <v>849.3205502349108</v>
      </c>
      <c r="CD92" s="59">
        <f ca="1">AVERAGE(OFFSET($CC$3,0,0,'Données projet'!$E$12+1,1))-AVERAGE(OFFSET($H$3,0,0,'Données projet'!$E$12+1,1))</f>
        <v>322.93502595881938</v>
      </c>
      <c r="CE92" s="59">
        <f t="shared" si="94"/>
        <v>302.67072119588164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27.003635017513769</v>
      </c>
      <c r="CL92" s="21">
        <f>EXP(-LN(2)/25)*CL91+(1-EXP(-LN(2)/25))/(LN(2)/25)*Calculateur!CG92*Calculateur!CI92*VLOOKUP('Données projet'!$B$12,Paramètres!$A$1:$I$89,3,0)*0.475*44/12</f>
        <v>19.322919204191937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46.326554221705706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278.21846622758881</v>
      </c>
      <c r="T93" s="59">
        <f t="shared" si="88"/>
        <v>245.37578316242906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135.15296353104571</v>
      </c>
      <c r="AA93" s="21">
        <f>EXP(-LN(2)/25)*AA92+(1-EXP(-LN(2)/25))/(LN(2)/25)*Calculateur!V93*Calculateur!X93*VLOOKUP('Données projet'!$B$9,Paramètres!$A$1:$I$89,3,0)*0.475*44/12</f>
        <v>28.763227243469455</v>
      </c>
      <c r="AB93" s="21">
        <f>EXP(-LN(2)/2)*AB92+(1-EXP(-LN(2)/2))/(LN(2)/2)*V93*Y93*VLOOKUP('Données projet'!$B$9,Paramètres!$A$1:$I$89,3,0)*0.475*44/12</f>
        <v>0.36476668528468875</v>
      </c>
      <c r="AC93" s="22">
        <f t="shared" si="57"/>
        <v>164.28095745979985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-2.2737367544323206E-13</v>
      </c>
      <c r="AJ93" s="13">
        <f>AI93*VLOOKUP('Données projet'!$B$10,Paramètres!$A$1:$I$89,3,0)*VLOOKUP('Données projet'!$B$10,Paramètres!$A$1:$I$89,5,0)</f>
        <v>-1.3596945791505279E-13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261.13725557061468</v>
      </c>
      <c r="AO93" s="59">
        <f t="shared" si="90"/>
        <v>328.18986868293558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83.052574237285882</v>
      </c>
      <c r="AV93" s="21">
        <f>EXP(-LN(2)/25)*AV92+(1-EXP(-LN(2)/25))/(LN(2)/25)*Calculateur!AQ93*Calculateur!AS93*VLOOKUP('Données projet'!$B$10,Paramètres!$A$1:$I$89,3,0)*0.475*44/12</f>
        <v>17.219762230543715</v>
      </c>
      <c r="AW93" s="21">
        <f>EXP(-LN(2)/2)*AW92+(1-EXP(-LN(2)/2))/(LN(2)/2)*AQ93*AT93*VLOOKUP('Données projet'!$B$10,Paramètres!$A$1:$I$89,3,0)*0.475*44/12</f>
        <v>3.0827614549872994E-4</v>
      </c>
      <c r="AX93" s="21">
        <f t="shared" si="60"/>
        <v>100.27264474397511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5.2606837606837598</v>
      </c>
      <c r="BD93" s="12">
        <f>IF('Données projet'!$A$88&gt;35,BD92+BC93-BL92,IF(A93&lt;'Données projet'!$A$88,$BA$205^A93,IF(A93='Données projet'!$A$88,'Données projet'!$B$88,BD92+BC93-BL92)))</f>
        <v>196.4871794871793</v>
      </c>
      <c r="BE93" s="13">
        <f>BD93*VLOOKUP('Données projet'!$B$11,Paramètres!$A$1:$I$89,3,0)*VLOOKUP('Données projet'!$B$11,Paramètres!$A$1:$I$89,5,0)</f>
        <v>199.23799999999983</v>
      </c>
      <c r="BF93" s="13">
        <f t="shared" si="91"/>
        <v>49.576666002151768</v>
      </c>
      <c r="BG93" s="20">
        <f t="shared" si="61"/>
        <v>433.35220995374738</v>
      </c>
      <c r="BH93" s="59">
        <f t="shared" si="62"/>
        <v>726.68554328708069</v>
      </c>
      <c r="BI93" s="59">
        <f ca="1">AVERAGE(OFFSET($BH$3,0,0,'Données projet'!$E$11+1,1))-AVERAGE(OFFSET($H$3,0,0,'Données projet'!$E$11+1,1))</f>
        <v>250.31277422753283</v>
      </c>
      <c r="BJ93" s="59">
        <f t="shared" si="92"/>
        <v>159.20429420478047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18.261607658835739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18.261607658835739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249</v>
      </c>
      <c r="BW93" s="12">
        <f>VLOOKUP(A93,'Données projet'!$A$113:$I$133,9,0)</f>
        <v>3</v>
      </c>
      <c r="BX93" s="12">
        <f t="array" ref="BX93">INDEX(BW:BW,MIN(IF(ISNUMBER(BW93:BW289),ROW(BW93:BW289),"")))</f>
        <v>3</v>
      </c>
      <c r="BY93" s="12">
        <f>IF('Données projet'!$A$114&gt;35,BY92+BX93-CG92,IF(A93&lt;'Données projet'!$A$114,$BV$205^A93,IF(A93='Données projet'!$A$114,'Données projet'!$B$114,BY92+BX93-CG92)))</f>
        <v>249</v>
      </c>
      <c r="BZ93" s="13">
        <f>BY93*VLOOKUP('Données projet'!$B$12,Paramètres!$A$1:$I$89,3,0)*VLOOKUP('Données projet'!$B$12,Paramètres!$A$1:$I$89,5,0)</f>
        <v>260.25480000000005</v>
      </c>
      <c r="CA93" s="13">
        <f t="shared" si="93"/>
        <v>62.776687922790821</v>
      </c>
      <c r="CB93" s="20">
        <f t="shared" si="64"/>
        <v>562.61317479886077</v>
      </c>
      <c r="CC93" s="59">
        <f t="shared" si="65"/>
        <v>855.94650813219414</v>
      </c>
      <c r="CD93" s="59">
        <f ca="1">AVERAGE(OFFSET($CC$3,0,0,'Données projet'!$E$12+1,1))-AVERAGE(OFFSET($H$3,0,0,'Données projet'!$E$12+1,1))</f>
        <v>322.93502595881938</v>
      </c>
      <c r="CE93" s="59">
        <f t="shared" si="94"/>
        <v>302.67072119588164</v>
      </c>
      <c r="CF93" s="15">
        <f>IF(ISNA(VLOOKUP(A93,'Données projet'!$A$113:$I$133,3,0)),0,VLOOKUP(A93,'Données projet'!$A$113:$I$133,3,0))</f>
        <v>15</v>
      </c>
      <c r="CG93" s="15" t="str">
        <f>IF(ISNA(VLOOKUP(A93,'Données projet'!$A$113:$I$133,4,0)),0,VLOOKUP(A93,'Données projet'!$A$113:$I$133,4,0))</f>
        <v>12</v>
      </c>
      <c r="CH93" s="16">
        <f>IF(ISNA(VLOOKUP(A93,'Données projet'!$A$113:$I$133,5,0)),0%,VLOOKUP(A93,'Données projet'!$A$113:$I$133,5,0)*VLOOKUP('Données projet'!$B$12,Paramètres!$A$1:$I$89,7,0))</f>
        <v>0.25800000000000001</v>
      </c>
      <c r="CI93" s="16">
        <f>IF(ISNA(VLOOKUP(A93,'Données projet'!$A$113:$I$133,6,0)),0%,VLOOKUP(A93,'Données projet'!$A$113:$I$133,6,0)*VLOOKUP('Données projet'!$B$12,Paramètres!$A$1:$I$89,7,0))</f>
        <v>0.129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30.051345140980899</v>
      </c>
      <c r="CL93" s="21">
        <f>EXP(-LN(2)/25)*CL92+(1-EXP(-LN(2)/25))/(LN(2)/25)*Calculateur!CG93*Calculateur!CI93*VLOOKUP('Données projet'!$B$12,Paramètres!$A$1:$I$89,3,0)*0.475*44/12</f>
        <v>20.576107961702572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50.627453102683475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278.21846622758881</v>
      </c>
      <c r="T94" s="59">
        <f t="shared" si="88"/>
        <v>245.37578316242906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132.50269635136988</v>
      </c>
      <c r="AA94" s="21">
        <f>EXP(-LN(2)/25)*AA93+(1-EXP(-LN(2)/25))/(LN(2)/25)*Calculateur!V94*Calculateur!X94*VLOOKUP('Données projet'!$B$9,Paramètres!$A$1:$I$89,3,0)*0.475*44/12</f>
        <v>27.976695281904401</v>
      </c>
      <c r="AB94" s="21">
        <f>EXP(-LN(2)/2)*AB93+(1-EXP(-LN(2)/2))/(LN(2)/2)*V94*Y94*VLOOKUP('Données projet'!$B$9,Paramètres!$A$1:$I$89,3,0)*0.475*44/12</f>
        <v>0.25792899671574265</v>
      </c>
      <c r="AC94" s="22">
        <f t="shared" si="57"/>
        <v>160.73732062999002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-2.2737367544323206E-13</v>
      </c>
      <c r="AJ94" s="13">
        <f>AI94*VLOOKUP('Données projet'!$B$10,Paramètres!$A$1:$I$89,3,0)*VLOOKUP('Données projet'!$B$10,Paramètres!$A$1:$I$89,5,0)</f>
        <v>-1.3596945791505279E-13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261.13725557061468</v>
      </c>
      <c r="AO94" s="59">
        <f t="shared" si="90"/>
        <v>328.18986868293558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81.423963913561025</v>
      </c>
      <c r="AV94" s="21">
        <f>EXP(-LN(2)/25)*AV93+(1-EXP(-LN(2)/25))/(LN(2)/25)*Calculateur!AQ94*Calculateur!AS94*VLOOKUP('Données projet'!$B$10,Paramètres!$A$1:$I$89,3,0)*0.475*44/12</f>
        <v>16.748886926801557</v>
      </c>
      <c r="AW94" s="21">
        <f>EXP(-LN(2)/2)*AW93+(1-EXP(-LN(2)/2))/(LN(2)/2)*AQ94*AT94*VLOOKUP('Données projet'!$B$10,Paramètres!$A$1:$I$89,3,0)*0.475*44/12</f>
        <v>2.1798415296020272E-4</v>
      </c>
      <c r="AX94" s="21">
        <f t="shared" si="60"/>
        <v>98.173068824515539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5.2606837606837598</v>
      </c>
      <c r="BD94" s="12">
        <f>IF('Données projet'!$A$88&gt;35,BD93+BC94-BL93,IF(A94&lt;'Données projet'!$A$88,$BA$205^A94,IF(A94='Données projet'!$A$88,'Données projet'!$B$88,BD93+BC94-BL93)))</f>
        <v>201.74786324786305</v>
      </c>
      <c r="BE94" s="13">
        <f>BD94*VLOOKUP('Données projet'!$B$11,Paramètres!$A$1:$I$89,3,0)*VLOOKUP('Données projet'!$B$11,Paramètres!$A$1:$I$89,5,0)</f>
        <v>204.57233333333312</v>
      </c>
      <c r="BF94" s="13">
        <f t="shared" si="91"/>
        <v>50.747702424306688</v>
      </c>
      <c r="BG94" s="20">
        <f t="shared" si="61"/>
        <v>444.6823956112226</v>
      </c>
      <c r="BH94" s="59">
        <f t="shared" si="62"/>
        <v>738.01572894455592</v>
      </c>
      <c r="BI94" s="59">
        <f ca="1">AVERAGE(OFFSET($BH$3,0,0,'Données projet'!$E$11+1,1))-AVERAGE(OFFSET($H$3,0,0,'Données projet'!$E$11+1,1))</f>
        <v>250.31277422753283</v>
      </c>
      <c r="BJ94" s="59">
        <f t="shared" si="92"/>
        <v>159.20429420478047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17.903508671126808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17.903508671126808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</v>
      </c>
      <c r="BY94" s="12">
        <f>IF('Données projet'!$A$114&gt;35,BY93+BX94-CG93,IF(A94&lt;'Données projet'!$A$114,$BV$205^A94,IF(A94='Données projet'!$A$114,'Données projet'!$B$114,BY93+BX94-CG93)))</f>
        <v>240</v>
      </c>
      <c r="BZ94" s="13">
        <f>BY94*VLOOKUP('Données projet'!$B$12,Paramètres!$A$1:$I$89,3,0)*VLOOKUP('Données projet'!$B$12,Paramètres!$A$1:$I$89,5,0)</f>
        <v>250.84800000000001</v>
      </c>
      <c r="CA94" s="13">
        <f t="shared" si="93"/>
        <v>60.767491486783541</v>
      </c>
      <c r="CB94" s="20">
        <f t="shared" si="64"/>
        <v>542.7303143394812</v>
      </c>
      <c r="CC94" s="59">
        <f t="shared" si="65"/>
        <v>836.06364767281457</v>
      </c>
      <c r="CD94" s="59">
        <f ca="1">AVERAGE(OFFSET($CC$3,0,0,'Données projet'!$E$12+1,1))-AVERAGE(OFFSET($H$3,0,0,'Données projet'!$E$12+1,1))</f>
        <v>322.93502595881938</v>
      </c>
      <c r="CE94" s="59">
        <f t="shared" si="94"/>
        <v>302.67072119588164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29.462056592276912</v>
      </c>
      <c r="CL94" s="21">
        <f>EXP(-LN(2)/25)*CL93+(1-EXP(-LN(2)/25))/(LN(2)/25)*Calculateur!CG94*Calculateur!CI94*VLOOKUP('Données projet'!$B$12,Paramètres!$A$1:$I$89,3,0)*0.475*44/12</f>
        <v>20.013453207439326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49.475509799716235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278.21846622758881</v>
      </c>
      <c r="T95" s="59">
        <f t="shared" si="88"/>
        <v>245.37578316242906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129.9043992945841</v>
      </c>
      <c r="AA95" s="21">
        <f>EXP(-LN(2)/25)*AA94+(1-EXP(-LN(2)/25))/(LN(2)/25)*Calculateur!V95*Calculateur!X95*VLOOKUP('Données projet'!$B$9,Paramètres!$A$1:$I$89,3,0)*0.475*44/12</f>
        <v>27.211671078190264</v>
      </c>
      <c r="AB95" s="21">
        <f>EXP(-LN(2)/2)*AB94+(1-EXP(-LN(2)/2))/(LN(2)/2)*V95*Y95*VLOOKUP('Données projet'!$B$9,Paramètres!$A$1:$I$89,3,0)*0.475*44/12</f>
        <v>0.18238334264234438</v>
      </c>
      <c r="AC95" s="22">
        <f t="shared" si="57"/>
        <v>157.29845371541668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-2.2737367544323206E-13</v>
      </c>
      <c r="AJ95" s="13">
        <f>AI95*VLOOKUP('Données projet'!$B$10,Paramètres!$A$1:$I$89,3,0)*VLOOKUP('Données projet'!$B$10,Paramètres!$A$1:$I$89,5,0)</f>
        <v>-1.3596945791505279E-13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261.13725557061468</v>
      </c>
      <c r="AO95" s="59">
        <f t="shared" si="90"/>
        <v>328.18986868293558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79.82728964493019</v>
      </c>
      <c r="AV95" s="21">
        <f>EXP(-LN(2)/25)*AV94+(1-EXP(-LN(2)/25))/(LN(2)/25)*Calculateur!AQ95*Calculateur!AS95*VLOOKUP('Données projet'!$B$10,Paramètres!$A$1:$I$89,3,0)*0.475*44/12</f>
        <v>16.290887733002485</v>
      </c>
      <c r="AW95" s="21">
        <f>EXP(-LN(2)/2)*AW94+(1-EXP(-LN(2)/2))/(LN(2)/2)*AQ95*AT95*VLOOKUP('Données projet'!$B$10,Paramètres!$A$1:$I$89,3,0)*0.475*44/12</f>
        <v>1.5413807274936497E-4</v>
      </c>
      <c r="AX95" s="21">
        <f t="shared" si="60"/>
        <v>96.118331516005426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5.2606837606837598</v>
      </c>
      <c r="BD95" s="12">
        <f>IF('Données projet'!$A$88&gt;35,BD94+BC95-BL94,IF(A95&lt;'Données projet'!$A$88,$BA$205^A95,IF(A95='Données projet'!$A$88,'Données projet'!$B$88,BD94+BC95-BL94)))</f>
        <v>207.0085470085468</v>
      </c>
      <c r="BE95" s="13">
        <f>BD95*VLOOKUP('Données projet'!$B$11,Paramètres!$A$1:$I$89,3,0)*VLOOKUP('Données projet'!$B$11,Paramètres!$A$1:$I$89,5,0)</f>
        <v>209.90666666666647</v>
      </c>
      <c r="BF95" s="13">
        <f t="shared" si="91"/>
        <v>51.915189489079573</v>
      </c>
      <c r="BG95" s="20">
        <f t="shared" si="61"/>
        <v>456.00639947125768</v>
      </c>
      <c r="BH95" s="59">
        <f t="shared" si="62"/>
        <v>749.33973280459099</v>
      </c>
      <c r="BI95" s="59">
        <f ca="1">AVERAGE(OFFSET($BH$3,0,0,'Données projet'!$E$11+1,1))-AVERAGE(OFFSET($H$3,0,0,'Données projet'!$E$11+1,1))</f>
        <v>250.31277422753283</v>
      </c>
      <c r="BJ95" s="59">
        <f t="shared" si="92"/>
        <v>159.20429420478047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17.552431786148034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17.552431786148034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</v>
      </c>
      <c r="BY95" s="12">
        <f>IF('Données projet'!$A$114&gt;35,BY94+BX95-CG94,IF(A95&lt;'Données projet'!$A$114,$BV$205^A95,IF(A95='Données projet'!$A$114,'Données projet'!$B$114,BY94+BX95-CG94)))</f>
        <v>243</v>
      </c>
      <c r="BZ95" s="13">
        <f>BY95*VLOOKUP('Données projet'!$B$12,Paramètres!$A$1:$I$89,3,0)*VLOOKUP('Données projet'!$B$12,Paramètres!$A$1:$I$89,5,0)</f>
        <v>253.98360000000002</v>
      </c>
      <c r="CA95" s="13">
        <f t="shared" si="93"/>
        <v>61.438182405444294</v>
      </c>
      <c r="CB95" s="20">
        <f t="shared" si="64"/>
        <v>549.35960435614891</v>
      </c>
      <c r="CC95" s="59">
        <f t="shared" si="65"/>
        <v>842.69293768948228</v>
      </c>
      <c r="CD95" s="59">
        <f ca="1">AVERAGE(OFFSET($CC$3,0,0,'Données projet'!$E$12+1,1))-AVERAGE(OFFSET($H$3,0,0,'Données projet'!$E$12+1,1))</f>
        <v>322.93502595881938</v>
      </c>
      <c r="CE95" s="59">
        <f t="shared" si="94"/>
        <v>302.67072119588164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28.884323632582486</v>
      </c>
      <c r="CL95" s="21">
        <f>EXP(-LN(2)/25)*CL94+(1-EXP(-LN(2)/25))/(LN(2)/25)*Calculateur!CG95*Calculateur!CI95*VLOOKUP('Données projet'!$B$12,Paramètres!$A$1:$I$89,3,0)*0.475*44/12</f>
        <v>19.466184277020137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48.350507909602626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278.21846622758881</v>
      </c>
      <c r="T96" s="59">
        <f t="shared" si="88"/>
        <v>245.37578316242906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127.35705325827718</v>
      </c>
      <c r="AA96" s="21">
        <f>EXP(-LN(2)/25)*AA95+(1-EXP(-LN(2)/25))/(LN(2)/25)*Calculateur!V96*Calculateur!X96*VLOOKUP('Données projet'!$B$9,Paramètres!$A$1:$I$89,3,0)*0.475*44/12</f>
        <v>26.467566501557563</v>
      </c>
      <c r="AB96" s="21">
        <f>EXP(-LN(2)/2)*AB95+(1-EXP(-LN(2)/2))/(LN(2)/2)*V96*Y96*VLOOKUP('Données projet'!$B$9,Paramètres!$A$1:$I$89,3,0)*0.475*44/12</f>
        <v>0.12896449835787133</v>
      </c>
      <c r="AC96" s="22">
        <f t="shared" si="57"/>
        <v>153.95358425819262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-2.2737367544323206E-13</v>
      </c>
      <c r="AJ96" s="13">
        <f>AI96*VLOOKUP('Données projet'!$B$10,Paramètres!$A$1:$I$89,3,0)*VLOOKUP('Données projet'!$B$10,Paramètres!$A$1:$I$89,5,0)</f>
        <v>-1.3596945791505279E-13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261.13725557061468</v>
      </c>
      <c r="AO96" s="59">
        <f t="shared" si="90"/>
        <v>328.18986868293558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78.261925184832066</v>
      </c>
      <c r="AV96" s="21">
        <f>EXP(-LN(2)/25)*AV95+(1-EXP(-LN(2)/25))/(LN(2)/25)*Calculateur!AQ96*Calculateur!AS96*VLOOKUP('Données projet'!$B$10,Paramètres!$A$1:$I$89,3,0)*0.475*44/12</f>
        <v>15.84541255124298</v>
      </c>
      <c r="AW96" s="21">
        <f>EXP(-LN(2)/2)*AW95+(1-EXP(-LN(2)/2))/(LN(2)/2)*AQ96*AT96*VLOOKUP('Données projet'!$B$10,Paramètres!$A$1:$I$89,3,0)*0.475*44/12</f>
        <v>1.0899207648010136E-4</v>
      </c>
      <c r="AX96" s="21">
        <f t="shared" si="60"/>
        <v>94.107446728151515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212.26923076923075</v>
      </c>
      <c r="BB96" s="12">
        <f>VLOOKUP(A96,'Données projet'!$A$87:$I$107,9,0)</f>
        <v>5.2606837606837598</v>
      </c>
      <c r="BC96" s="12">
        <f t="array" ref="BC96">INDEX(BB:BB,MIN(IF(ISNUMBER(BB96:BB292),ROW(BB96:BB292),"")))</f>
        <v>5.2606837606837598</v>
      </c>
      <c r="BD96" s="12">
        <f>IF('Données projet'!$A$88&gt;35,BD95+BC96-BL95,IF(A96&lt;'Données projet'!$A$88,$BA$205^A96,IF(A96='Données projet'!$A$88,'Données projet'!$B$88,BD95+BC96-BL95)))</f>
        <v>212.26923076923055</v>
      </c>
      <c r="BE96" s="13">
        <f>BD96*VLOOKUP('Données projet'!$B$11,Paramètres!$A$1:$I$89,3,0)*VLOOKUP('Données projet'!$B$11,Paramètres!$A$1:$I$89,5,0)</f>
        <v>215.24099999999979</v>
      </c>
      <c r="BF96" s="13">
        <f t="shared" si="91"/>
        <v>53.079227768194642</v>
      </c>
      <c r="BG96" s="20">
        <f t="shared" si="61"/>
        <v>467.32439669627183</v>
      </c>
      <c r="BH96" s="59">
        <f t="shared" si="62"/>
        <v>760.65773002960509</v>
      </c>
      <c r="BI96" s="59">
        <f ca="1">AVERAGE(OFFSET($BH$3,0,0,'Données projet'!$E$11+1,1))-AVERAGE(OFFSET($H$3,0,0,'Données projet'!$E$11+1,1))</f>
        <v>250.31277422753283</v>
      </c>
      <c r="BJ96" s="59">
        <f t="shared" si="92"/>
        <v>159.20429420478047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30.083333333333332</v>
      </c>
      <c r="BM96" s="16">
        <f>IF(ISNA(VLOOKUP(A96,'Données projet'!$A$87:$I$107,5,0)),0%,VLOOKUP(A96,'Données projet'!$A$87:$I$107,5,0)*VLOOKUP('Données projet'!$B$11,Paramètres!$A$1:$I$89,7,0))</f>
        <v>0.30099999999999999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27.358507483679265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27.358507483679265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</v>
      </c>
      <c r="BY96" s="12">
        <f>IF('Données projet'!$A$114&gt;35,BY95+BX96-CG95,IF(A96&lt;'Données projet'!$A$114,$BV$205^A96,IF(A96='Données projet'!$A$114,'Données projet'!$B$114,BY95+BX96-CG95)))</f>
        <v>246</v>
      </c>
      <c r="BZ96" s="13">
        <f>BY96*VLOOKUP('Données projet'!$B$12,Paramètres!$A$1:$I$89,3,0)*VLOOKUP('Données projet'!$B$12,Paramètres!$A$1:$I$89,5,0)</f>
        <v>257.11920000000003</v>
      </c>
      <c r="CA96" s="13">
        <f t="shared" si="93"/>
        <v>62.107910182723955</v>
      </c>
      <c r="CB96" s="20">
        <f t="shared" si="64"/>
        <v>555.98721690157754</v>
      </c>
      <c r="CC96" s="59">
        <f t="shared" si="65"/>
        <v>849.3205502349108</v>
      </c>
      <c r="CD96" s="59">
        <f ca="1">AVERAGE(OFFSET($CC$3,0,0,'Données projet'!$E$12+1,1))-AVERAGE(OFFSET($H$3,0,0,'Données projet'!$E$12+1,1))</f>
        <v>322.93502595881938</v>
      </c>
      <c r="CE96" s="59">
        <f t="shared" si="94"/>
        <v>302.67072119588164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28.317919663845355</v>
      </c>
      <c r="CL96" s="21">
        <f>EXP(-LN(2)/25)*CL95+(1-EXP(-LN(2)/25))/(LN(2)/25)*Calculateur!CG96*Calculateur!CI96*VLOOKUP('Données projet'!$B$12,Paramètres!$A$1:$I$89,3,0)*0.475*44/12</f>
        <v>18.933880444282881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47.251800108128236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278.21846622758881</v>
      </c>
      <c r="T97" s="59">
        <f t="shared" si="88"/>
        <v>245.37578316242906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124.85965912401457</v>
      </c>
      <c r="AA97" s="21">
        <f>EXP(-LN(2)/25)*AA96+(1-EXP(-LN(2)/25))/(LN(2)/25)*Calculateur!V97*Calculateur!X97*VLOOKUP('Données projet'!$B$9,Paramètres!$A$1:$I$89,3,0)*0.475*44/12</f>
        <v>25.743809503703641</v>
      </c>
      <c r="AB97" s="21">
        <f>EXP(-LN(2)/2)*AB96+(1-EXP(-LN(2)/2))/(LN(2)/2)*V97*Y97*VLOOKUP('Données projet'!$B$9,Paramètres!$A$1:$I$89,3,0)*0.475*44/12</f>
        <v>9.1191671321172188E-2</v>
      </c>
      <c r="AC97" s="22">
        <f t="shared" si="57"/>
        <v>150.69466029903938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-2.2737367544323206E-13</v>
      </c>
      <c r="AJ97" s="13">
        <f>AI97*VLOOKUP('Données projet'!$B$10,Paramètres!$A$1:$I$89,3,0)*VLOOKUP('Données projet'!$B$10,Paramètres!$A$1:$I$89,5,0)</f>
        <v>-1.3596945791505279E-13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261.13725557061468</v>
      </c>
      <c r="AO97" s="59">
        <f t="shared" si="90"/>
        <v>328.18986868293558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76.727256567018429</v>
      </c>
      <c r="AV97" s="21">
        <f>EXP(-LN(2)/25)*AV96+(1-EXP(-LN(2)/25))/(LN(2)/25)*Calculateur!AQ97*Calculateur!AS97*VLOOKUP('Données projet'!$B$10,Paramètres!$A$1:$I$89,3,0)*0.475*44/12</f>
        <v>15.41211891175521</v>
      </c>
      <c r="AW97" s="21">
        <f>EXP(-LN(2)/2)*AW96+(1-EXP(-LN(2)/2))/(LN(2)/2)*AQ97*AT97*VLOOKUP('Données projet'!$B$10,Paramètres!$A$1:$I$89,3,0)*0.475*44/12</f>
        <v>7.7069036374682485E-5</v>
      </c>
      <c r="AX97" s="21">
        <f t="shared" si="60"/>
        <v>92.139452547810023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5.2583333333333373</v>
      </c>
      <c r="BD97" s="12">
        <f>IF('Données projet'!$A$88&gt;35,BD96+BC97-BL96,IF(A97&lt;'Données projet'!$A$88,$BA$205^A97,IF(A97='Données projet'!$A$88,'Données projet'!$B$88,BD96+BC97-BL96)))</f>
        <v>187.44423076923053</v>
      </c>
      <c r="BE97" s="13">
        <f>BD97*VLOOKUP('Données projet'!$B$11,Paramètres!$A$1:$I$89,3,0)*VLOOKUP('Données projet'!$B$11,Paramètres!$A$1:$I$89,5,0)</f>
        <v>190.06844999999976</v>
      </c>
      <c r="BF97" s="13">
        <f t="shared" si="91"/>
        <v>47.555085857097623</v>
      </c>
      <c r="BG97" s="20">
        <f t="shared" si="61"/>
        <v>413.86099161777793</v>
      </c>
      <c r="BH97" s="59">
        <f t="shared" si="62"/>
        <v>707.19432495111118</v>
      </c>
      <c r="BI97" s="59">
        <f ca="1">AVERAGE(OFFSET($BH$3,0,0,'Données projet'!$E$11+1,1))-AVERAGE(OFFSET($H$3,0,0,'Données projet'!$E$11+1,1))</f>
        <v>250.31277422753283</v>
      </c>
      <c r="BJ97" s="59">
        <f t="shared" si="92"/>
        <v>159.20429420478047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26.822023838966171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26.822023838966171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</v>
      </c>
      <c r="BY97" s="12">
        <f>IF('Données projet'!$A$114&gt;35,BY96+BX97-CG96,IF(A97&lt;'Données projet'!$A$114,$BV$205^A97,IF(A97='Données projet'!$A$114,'Données projet'!$B$114,BY96+BX97-CG96)))</f>
        <v>249</v>
      </c>
      <c r="BZ97" s="13">
        <f>BY97*VLOOKUP('Données projet'!$B$12,Paramètres!$A$1:$I$89,3,0)*VLOOKUP('Données projet'!$B$12,Paramètres!$A$1:$I$89,5,0)</f>
        <v>260.25480000000005</v>
      </c>
      <c r="CA97" s="13">
        <f t="shared" si="93"/>
        <v>62.776687922790821</v>
      </c>
      <c r="CB97" s="20">
        <f t="shared" si="64"/>
        <v>562.61317479886077</v>
      </c>
      <c r="CC97" s="59">
        <f t="shared" si="65"/>
        <v>855.94650813219414</v>
      </c>
      <c r="CD97" s="59">
        <f ca="1">AVERAGE(OFFSET($CC$3,0,0,'Données projet'!$E$12+1,1))-AVERAGE(OFFSET($H$3,0,0,'Données projet'!$E$12+1,1))</f>
        <v>322.93502595881938</v>
      </c>
      <c r="CE97" s="59">
        <f t="shared" si="94"/>
        <v>302.67072119588164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27.762622531462853</v>
      </c>
      <c r="CL97" s="21">
        <f>EXP(-LN(2)/25)*CL96+(1-EXP(-LN(2)/25))/(LN(2)/25)*Calculateur!CG97*Calculateur!CI97*VLOOKUP('Données projet'!$B$12,Paramètres!$A$1:$I$89,3,0)*0.475*44/12</f>
        <v>18.416132487844468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46.178755019307317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278.21846622758881</v>
      </c>
      <c r="T98" s="59">
        <f t="shared" si="88"/>
        <v>245.37578316242906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122.41123736546484</v>
      </c>
      <c r="AA98" s="21">
        <f>EXP(-LN(2)/25)*AA97+(1-EXP(-LN(2)/25))/(LN(2)/25)*Calculateur!V98*Calculateur!X98*VLOOKUP('Données projet'!$B$9,Paramètres!$A$1:$I$89,3,0)*0.475*44/12</f>
        <v>25.039843679016762</v>
      </c>
      <c r="AB98" s="21">
        <f>EXP(-LN(2)/2)*AB97+(1-EXP(-LN(2)/2))/(LN(2)/2)*V98*Y98*VLOOKUP('Données projet'!$B$9,Paramètres!$A$1:$I$89,3,0)*0.475*44/12</f>
        <v>6.4482249178935663E-2</v>
      </c>
      <c r="AC98" s="22">
        <f t="shared" si="57"/>
        <v>147.51556329366053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-2.2737367544323206E-13</v>
      </c>
      <c r="AJ98" s="13">
        <f>AI98*VLOOKUP('Données projet'!$B$10,Paramètres!$A$1:$I$89,3,0)*VLOOKUP('Données projet'!$B$10,Paramètres!$A$1:$I$89,5,0)</f>
        <v>-1.3596945791505279E-13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261.13725557061468</v>
      </c>
      <c r="AO98" s="59">
        <f t="shared" si="90"/>
        <v>328.18986868293558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75.222681864744686</v>
      </c>
      <c r="AV98" s="21">
        <f>EXP(-LN(2)/25)*AV97+(1-EXP(-LN(2)/25))/(LN(2)/25)*Calculateur!AQ98*Calculateur!AS98*VLOOKUP('Données projet'!$B$10,Paramètres!$A$1:$I$89,3,0)*0.475*44/12</f>
        <v>14.990673709625154</v>
      </c>
      <c r="AW98" s="21">
        <f>EXP(-LN(2)/2)*AW97+(1-EXP(-LN(2)/2))/(LN(2)/2)*AQ98*AT98*VLOOKUP('Données projet'!$B$10,Paramètres!$A$1:$I$89,3,0)*0.475*44/12</f>
        <v>5.4496038240050681E-5</v>
      </c>
      <c r="AX98" s="21">
        <f t="shared" si="60"/>
        <v>90.213410070408088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5.2583333333333373</v>
      </c>
      <c r="BD98" s="12">
        <f>IF('Données projet'!$A$88&gt;35,BD97+BC98-BL97,IF(A98&lt;'Données projet'!$A$88,$BA$205^A98,IF(A98='Données projet'!$A$88,'Données projet'!$B$88,BD97+BC98-BL97)))</f>
        <v>192.70256410256385</v>
      </c>
      <c r="BE98" s="13">
        <f>BD98*VLOOKUP('Données projet'!$B$11,Paramètres!$A$1:$I$89,3,0)*VLOOKUP('Données projet'!$B$11,Paramètres!$A$1:$I$89,5,0)</f>
        <v>195.40039999999976</v>
      </c>
      <c r="BF98" s="13">
        <f t="shared" si="91"/>
        <v>48.73195012899663</v>
      </c>
      <c r="BG98" s="20">
        <f t="shared" si="61"/>
        <v>425.19717647466877</v>
      </c>
      <c r="BH98" s="59">
        <f t="shared" si="62"/>
        <v>718.53050980800208</v>
      </c>
      <c r="BI98" s="59">
        <f ca="1">AVERAGE(OFFSET($BH$3,0,0,'Données projet'!$E$11+1,1))-AVERAGE(OFFSET($H$3,0,0,'Données projet'!$E$11+1,1))</f>
        <v>250.31277422753283</v>
      </c>
      <c r="BJ98" s="59">
        <f t="shared" si="92"/>
        <v>159.20429420478047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26.296060311303187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26.296060311303187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252</v>
      </c>
      <c r="BW98" s="12">
        <f>VLOOKUP(A98,'Données projet'!$A$113:$I$133,9,0)</f>
        <v>3</v>
      </c>
      <c r="BX98" s="12">
        <f t="array" ref="BX98">INDEX(BW:BW,MIN(IF(ISNUMBER(BW98:BW294),ROW(BW98:BW294),"")))</f>
        <v>3</v>
      </c>
      <c r="BY98" s="12">
        <f>IF('Données projet'!$A$114&gt;35,BY97+BX98-CG97,IF(A98&lt;'Données projet'!$A$114,$BV$205^A98,IF(A98='Données projet'!$A$114,'Données projet'!$B$114,BY97+BX98-CG97)))</f>
        <v>252</v>
      </c>
      <c r="BZ98" s="13">
        <f>BY98*VLOOKUP('Données projet'!$B$12,Paramètres!$A$1:$I$89,3,0)*VLOOKUP('Données projet'!$B$12,Paramètres!$A$1:$I$89,5,0)</f>
        <v>263.3904</v>
      </c>
      <c r="CA98" s="13">
        <f t="shared" si="93"/>
        <v>63.444528395882578</v>
      </c>
      <c r="CB98" s="20">
        <f t="shared" si="64"/>
        <v>569.23750028949542</v>
      </c>
      <c r="CC98" s="59">
        <f t="shared" si="65"/>
        <v>862.57083362282879</v>
      </c>
      <c r="CD98" s="59">
        <f ca="1">AVERAGE(OFFSET($CC$3,0,0,'Données projet'!$E$12+1,1))-AVERAGE(OFFSET($H$3,0,0,'Données projet'!$E$12+1,1))</f>
        <v>322.93502595881938</v>
      </c>
      <c r="CE98" s="59">
        <f t="shared" si="94"/>
        <v>302.67072119588164</v>
      </c>
      <c r="CF98" s="15">
        <f>IF(ISNA(VLOOKUP(A98,'Données projet'!$A$113:$I$133,3,0)),0,VLOOKUP(A98,'Données projet'!$A$113:$I$133,3,0))</f>
        <v>16</v>
      </c>
      <c r="CG98" s="15" t="str">
        <f>IF(ISNA(VLOOKUP(A98,'Données projet'!$A$113:$I$133,4,0)),0,VLOOKUP(A98,'Données projet'!$A$113:$I$133,4,0))</f>
        <v>12</v>
      </c>
      <c r="CH98" s="16">
        <f>IF(ISNA(VLOOKUP(A98,'Données projet'!$A$113:$I$133,5,0)),0%,VLOOKUP(A98,'Données projet'!$A$113:$I$133,5,0)*VLOOKUP('Données projet'!$B$12,Paramètres!$A$1:$I$89,7,0))</f>
        <v>0.30099999999999999</v>
      </c>
      <c r="CI98" s="16">
        <f>IF(ISNA(VLOOKUP(A98,'Données projet'!$A$113:$I$133,6,0)),0%,VLOOKUP(A98,'Données projet'!$A$113:$I$133,6,0)*VLOOKUP('Données projet'!$B$12,Paramètres!$A$1:$I$89,7,0))</f>
        <v>8.6000000000000007E-2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31.391655195313042</v>
      </c>
      <c r="CL98" s="21">
        <f>EXP(-LN(2)/25)*CL97+(1-EXP(-LN(2)/25))/(LN(2)/25)*Calculateur!CG98*Calculateur!CI98*VLOOKUP('Données projet'!$B$12,Paramètres!$A$1:$I$89,3,0)*0.475*44/12</f>
        <v>19.100259042700326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50.491914238013365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278.21846622758881</v>
      </c>
      <c r="T99" s="59">
        <f t="shared" si="88"/>
        <v>245.37578316242906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120.01082766421047</v>
      </c>
      <c r="AA99" s="21">
        <f>EXP(-LN(2)/25)*AA98+(1-EXP(-LN(2)/25))/(LN(2)/25)*Calculateur!V99*Calculateur!X99*VLOOKUP('Données projet'!$B$9,Paramètres!$A$1:$I$89,3,0)*0.475*44/12</f>
        <v>24.355127836825901</v>
      </c>
      <c r="AB99" s="21">
        <f>EXP(-LN(2)/2)*AB98+(1-EXP(-LN(2)/2))/(LN(2)/2)*V99*Y99*VLOOKUP('Données projet'!$B$9,Paramètres!$A$1:$I$89,3,0)*0.475*44/12</f>
        <v>4.5595835660586094E-2</v>
      </c>
      <c r="AC99" s="22">
        <f t="shared" si="57"/>
        <v>144.41155133669693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-2.2737367544323206E-13</v>
      </c>
      <c r="AJ99" s="13">
        <f>AI99*VLOOKUP('Données projet'!$B$10,Paramètres!$A$1:$I$89,3,0)*VLOOKUP('Données projet'!$B$10,Paramètres!$A$1:$I$89,5,0)</f>
        <v>-1.3596945791505279E-13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261.13725557061468</v>
      </c>
      <c r="AO99" s="59">
        <f t="shared" si="90"/>
        <v>328.18986868293558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73.747610954682571</v>
      </c>
      <c r="AV99" s="21">
        <f>EXP(-LN(2)/25)*AV98+(1-EXP(-LN(2)/25))/(LN(2)/25)*Calculateur!AQ99*Calculateur!AS99*VLOOKUP('Données projet'!$B$10,Paramètres!$A$1:$I$89,3,0)*0.475*44/12</f>
        <v>14.580752948710186</v>
      </c>
      <c r="AW99" s="21">
        <f>EXP(-LN(2)/2)*AW98+(1-EXP(-LN(2)/2))/(LN(2)/2)*AQ99*AT99*VLOOKUP('Données projet'!$B$10,Paramètres!$A$1:$I$89,3,0)*0.475*44/12</f>
        <v>3.8534518187341243E-5</v>
      </c>
      <c r="AX99" s="21">
        <f t="shared" si="60"/>
        <v>88.328402437910938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5.2583333333333373</v>
      </c>
      <c r="BD99" s="12">
        <f>IF('Données projet'!$A$88&gt;35,BD98+BC99-BL98,IF(A99&lt;'Données projet'!$A$88,$BA$205^A99,IF(A99='Données projet'!$A$88,'Données projet'!$B$88,BD98+BC99-BL98)))</f>
        <v>197.96089743589718</v>
      </c>
      <c r="BE99" s="13">
        <f>BD99*VLOOKUP('Données projet'!$B$11,Paramètres!$A$1:$I$89,3,0)*VLOOKUP('Données projet'!$B$11,Paramètres!$A$1:$I$89,5,0)</f>
        <v>200.73234999999977</v>
      </c>
      <c r="BF99" s="13">
        <f t="shared" si="91"/>
        <v>49.905081835677372</v>
      </c>
      <c r="BG99" s="20">
        <f t="shared" si="61"/>
        <v>436.52686044713772</v>
      </c>
      <c r="BH99" s="59">
        <f t="shared" si="62"/>
        <v>729.86019378047104</v>
      </c>
      <c r="BI99" s="59">
        <f ca="1">AVERAGE(OFFSET($BH$3,0,0,'Données projet'!$E$11+1,1))-AVERAGE(OFFSET($H$3,0,0,'Données projet'!$E$11+1,1))</f>
        <v>250.31277422753283</v>
      </c>
      <c r="BJ99" s="59">
        <f t="shared" si="92"/>
        <v>159.20429420478047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25.7804106076116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25.7804106076116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</v>
      </c>
      <c r="BY99" s="12">
        <f>IF('Données projet'!$A$114&gt;35,BY98+BX99-CG98,IF(A99&lt;'Données projet'!$A$114,$BV$205^A99,IF(A99='Données projet'!$A$114,'Données projet'!$B$114,BY98+BX99-CG98)))</f>
        <v>243</v>
      </c>
      <c r="BZ99" s="13">
        <f>BY99*VLOOKUP('Données projet'!$B$12,Paramètres!$A$1:$I$89,3,0)*VLOOKUP('Données projet'!$B$12,Paramètres!$A$1:$I$89,5,0)</f>
        <v>253.98360000000002</v>
      </c>
      <c r="CA99" s="13">
        <f t="shared" si="93"/>
        <v>61.438182405444294</v>
      </c>
      <c r="CB99" s="20">
        <f t="shared" si="64"/>
        <v>549.35960435614891</v>
      </c>
      <c r="CC99" s="59">
        <f t="shared" si="65"/>
        <v>842.69293768948228</v>
      </c>
      <c r="CD99" s="59">
        <f ca="1">AVERAGE(OFFSET($CC$3,0,0,'Données projet'!$E$12+1,1))-AVERAGE(OFFSET($H$3,0,0,'Données projet'!$E$12+1,1))</f>
        <v>322.93502595881938</v>
      </c>
      <c r="CE99" s="59">
        <f t="shared" si="94"/>
        <v>302.67072119588164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30.776083983952013</v>
      </c>
      <c r="CL99" s="21">
        <f>EXP(-LN(2)/25)*CL98+(1-EXP(-LN(2)/25))/(LN(2)/25)*Calculateur!CG99*Calculateur!CI99*VLOOKUP('Données projet'!$B$12,Paramètres!$A$1:$I$89,3,0)*0.475*44/12</f>
        <v>18.577961454738716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49.354045438690733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278.21846622758881</v>
      </c>
      <c r="T100" s="59">
        <f t="shared" si="88"/>
        <v>245.37578316242906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117.65748853309233</v>
      </c>
      <c r="AA100" s="21">
        <f>EXP(-LN(2)/25)*AA99+(1-EXP(-LN(2)/25))/(LN(2)/25)*Calculateur!V100*Calculateur!X100*VLOOKUP('Données projet'!$B$9,Paramètres!$A$1:$I$89,3,0)*0.475*44/12</f>
        <v>23.689135585347387</v>
      </c>
      <c r="AB100" s="21">
        <f>EXP(-LN(2)/2)*AB99+(1-EXP(-LN(2)/2))/(LN(2)/2)*V100*Y100*VLOOKUP('Données projet'!$B$9,Paramètres!$A$1:$I$89,3,0)*0.475*44/12</f>
        <v>3.2241124589467832E-2</v>
      </c>
      <c r="AC100" s="22">
        <f t="shared" si="57"/>
        <v>141.37886524302917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-2.2737367544323206E-13</v>
      </c>
      <c r="AJ100" s="13">
        <f>AI100*VLOOKUP('Données projet'!$B$10,Paramètres!$A$1:$I$89,3,0)*VLOOKUP('Données projet'!$B$10,Paramètres!$A$1:$I$89,5,0)</f>
        <v>-1.3596945791505279E-13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261.13725557061468</v>
      </c>
      <c r="AO100" s="59">
        <f t="shared" si="90"/>
        <v>328.18986868293558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72.301465285462371</v>
      </c>
      <c r="AV100" s="21">
        <f>EXP(-LN(2)/25)*AV99+(1-EXP(-LN(2)/25))/(LN(2)/25)*Calculateur!AQ100*Calculateur!AS100*VLOOKUP('Données projet'!$B$10,Paramètres!$A$1:$I$89,3,0)*0.475*44/12</f>
        <v>14.182041492559234</v>
      </c>
      <c r="AW100" s="21">
        <f>EXP(-LN(2)/2)*AW99+(1-EXP(-LN(2)/2))/(LN(2)/2)*AQ100*AT100*VLOOKUP('Données projet'!$B$10,Paramètres!$A$1:$I$89,3,0)*0.475*44/12</f>
        <v>2.724801912002534E-5</v>
      </c>
      <c r="AX100" s="21">
        <f t="shared" si="60"/>
        <v>86.483534026040729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5.2583333333333373</v>
      </c>
      <c r="BD100" s="12">
        <f>IF('Données projet'!$A$88&gt;35,BD99+BC100-BL99,IF(A100&lt;'Données projet'!$A$88,$BA$205^A100,IF(A100='Données projet'!$A$88,'Données projet'!$B$88,BD99+BC100-BL99)))</f>
        <v>203.21923076923051</v>
      </c>
      <c r="BE100" s="13">
        <f>BD100*VLOOKUP('Données projet'!$B$11,Paramètres!$A$1:$I$89,3,0)*VLOOKUP('Données projet'!$B$11,Paramètres!$A$1:$I$89,5,0)</f>
        <v>206.06429999999975</v>
      </c>
      <c r="BF100" s="13">
        <f t="shared" si="91"/>
        <v>51.074591519343635</v>
      </c>
      <c r="BG100" s="20">
        <f t="shared" si="61"/>
        <v>447.85023606285631</v>
      </c>
      <c r="BH100" s="59">
        <f t="shared" si="62"/>
        <v>741.18356939618957</v>
      </c>
      <c r="BI100" s="59">
        <f ca="1">AVERAGE(OFFSET($BH$3,0,0,'Données projet'!$E$11+1,1))-AVERAGE(OFFSET($H$3,0,0,'Données projet'!$E$11+1,1))</f>
        <v>250.31277422753283</v>
      </c>
      <c r="BJ100" s="59">
        <f t="shared" si="92"/>
        <v>159.20429420478047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25.274872480094142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25.274872480094142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</v>
      </c>
      <c r="BY100" s="12">
        <f>IF('Données projet'!$A$114&gt;35,BY99+BX100-CG99,IF(A100&lt;'Données projet'!$A$114,$BV$205^A100,IF(A100='Données projet'!$A$114,'Données projet'!$B$114,BY99+BX100-CG99)))</f>
        <v>246</v>
      </c>
      <c r="BZ100" s="13">
        <f>BY100*VLOOKUP('Données projet'!$B$12,Paramètres!$A$1:$I$89,3,0)*VLOOKUP('Données projet'!$B$12,Paramètres!$A$1:$I$89,5,0)</f>
        <v>257.11920000000003</v>
      </c>
      <c r="CA100" s="13">
        <f t="shared" si="93"/>
        <v>62.107910182723955</v>
      </c>
      <c r="CB100" s="20">
        <f t="shared" si="64"/>
        <v>555.98721690157754</v>
      </c>
      <c r="CC100" s="59">
        <f t="shared" si="65"/>
        <v>849.3205502349108</v>
      </c>
      <c r="CD100" s="59">
        <f ca="1">AVERAGE(OFFSET($CC$3,0,0,'Données projet'!$E$12+1,1))-AVERAGE(OFFSET($H$3,0,0,'Données projet'!$E$12+1,1))</f>
        <v>322.93502595881938</v>
      </c>
      <c r="CE100" s="59">
        <f t="shared" si="94"/>
        <v>302.67072119588164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30.172583748584408</v>
      </c>
      <c r="CL100" s="21">
        <f>EXP(-LN(2)/25)*CL99+(1-EXP(-LN(2)/25))/(LN(2)/25)*Calculateur!CG100*Calculateur!CI100*VLOOKUP('Données projet'!$B$12,Paramètres!$A$1:$I$89,3,0)*0.475*44/12</f>
        <v>18.069946121786355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48.24252987037076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278.21846622758881</v>
      </c>
      <c r="T101" s="59">
        <f t="shared" si="88"/>
        <v>245.37578316242906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115.35029694694029</v>
      </c>
      <c r="AA101" s="21">
        <f>EXP(-LN(2)/25)*AA100+(1-EXP(-LN(2)/25))/(LN(2)/25)*Calculateur!V101*Calculateur!X101*VLOOKUP('Données projet'!$B$9,Paramètres!$A$1:$I$89,3,0)*0.475*44/12</f>
        <v>23.041354927008566</v>
      </c>
      <c r="AB101" s="21">
        <f>EXP(-LN(2)/2)*AB100+(1-EXP(-LN(2)/2))/(LN(2)/2)*V101*Y101*VLOOKUP('Données projet'!$B$9,Paramètres!$A$1:$I$89,3,0)*0.475*44/12</f>
        <v>2.2797917830293047E-2</v>
      </c>
      <c r="AC101" s="22">
        <f t="shared" si="57"/>
        <v>138.41444979177916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-2.2737367544323206E-13</v>
      </c>
      <c r="AJ101" s="13">
        <f>AI101*VLOOKUP('Données projet'!$B$10,Paramètres!$A$1:$I$89,3,0)*VLOOKUP('Données projet'!$B$10,Paramètres!$A$1:$I$89,5,0)</f>
        <v>-1.3596945791505279E-13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261.13725557061468</v>
      </c>
      <c r="AO101" s="59">
        <f t="shared" si="90"/>
        <v>328.18986868293558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70.88367765075381</v>
      </c>
      <c r="AV101" s="21">
        <f>EXP(-LN(2)/25)*AV100+(1-EXP(-LN(2)/25))/(LN(2)/25)*Calculateur!AQ101*Calculateur!AS101*VLOOKUP('Données projet'!$B$10,Paramètres!$A$1:$I$89,3,0)*0.475*44/12</f>
        <v>13.794232822144053</v>
      </c>
      <c r="AW101" s="21">
        <f>EXP(-LN(2)/2)*AW100+(1-EXP(-LN(2)/2))/(LN(2)/2)*AQ101*AT101*VLOOKUP('Données projet'!$B$10,Paramètres!$A$1:$I$89,3,0)*0.475*44/12</f>
        <v>1.9267259093670621E-5</v>
      </c>
      <c r="AX101" s="21">
        <f t="shared" si="60"/>
        <v>84.677929740156955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5.2583333333333373</v>
      </c>
      <c r="BD101" s="12">
        <f>IF('Données projet'!$A$88&gt;35,BD100+BC101-BL100,IF(A101&lt;'Données projet'!$A$88,$BA$205^A101,IF(A101='Données projet'!$A$88,'Données projet'!$B$88,BD100+BC101-BL100)))</f>
        <v>208.47756410256383</v>
      </c>
      <c r="BE101" s="13">
        <f>BD101*VLOOKUP('Données projet'!$B$11,Paramètres!$A$1:$I$89,3,0)*VLOOKUP('Données projet'!$B$11,Paramètres!$A$1:$I$89,5,0)</f>
        <v>211.39624999999972</v>
      </c>
      <c r="BF101" s="13">
        <f t="shared" si="91"/>
        <v>52.240583675733987</v>
      </c>
      <c r="BG101" s="20">
        <f t="shared" si="61"/>
        <v>459.16748531856956</v>
      </c>
      <c r="BH101" s="59">
        <f t="shared" si="62"/>
        <v>752.50081865190282</v>
      </c>
      <c r="BI101" s="59">
        <f ca="1">AVERAGE(OFFSET($BH$3,0,0,'Données projet'!$E$11+1,1))-AVERAGE(OFFSET($H$3,0,0,'Données projet'!$E$11+1,1))</f>
        <v>250.31277422753283</v>
      </c>
      <c r="BJ101" s="59">
        <f t="shared" si="92"/>
        <v>159.20429420478047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24.779247646909489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24.779247646909489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</v>
      </c>
      <c r="BY101" s="12">
        <f>IF('Données projet'!$A$114&gt;35,BY100+BX101-CG100,IF(A101&lt;'Données projet'!$A$114,$BV$205^A101,IF(A101='Données projet'!$A$114,'Données projet'!$B$114,BY100+BX101-CG100)))</f>
        <v>249</v>
      </c>
      <c r="BZ101" s="13">
        <f>BY101*VLOOKUP('Données projet'!$B$12,Paramètres!$A$1:$I$89,3,0)*VLOOKUP('Données projet'!$B$12,Paramètres!$A$1:$I$89,5,0)</f>
        <v>260.25480000000005</v>
      </c>
      <c r="CA101" s="13">
        <f t="shared" si="93"/>
        <v>62.776687922790821</v>
      </c>
      <c r="CB101" s="20">
        <f t="shared" si="64"/>
        <v>562.61317479886077</v>
      </c>
      <c r="CC101" s="59">
        <f t="shared" si="65"/>
        <v>855.94650813219414</v>
      </c>
      <c r="CD101" s="59">
        <f ca="1">AVERAGE(OFFSET($CC$3,0,0,'Données projet'!$E$12+1,1))-AVERAGE(OFFSET($H$3,0,0,'Données projet'!$E$12+1,1))</f>
        <v>322.93502595881938</v>
      </c>
      <c r="CE101" s="59">
        <f t="shared" si="94"/>
        <v>302.67072119588164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29.580917784733565</v>
      </c>
      <c r="CL101" s="21">
        <f>EXP(-LN(2)/25)*CL100+(1-EXP(-LN(2)/25))/(LN(2)/25)*Calculateur!CG101*Calculateur!CI101*VLOOKUP('Données projet'!$B$12,Paramètres!$A$1:$I$89,3,0)*0.475*44/12</f>
        <v>17.575822494828941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47.156740279562506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278.21846622758881</v>
      </c>
      <c r="T102" s="59">
        <f t="shared" si="88"/>
        <v>245.37578316242906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113.08834798054478</v>
      </c>
      <c r="AA102" s="21">
        <f>EXP(-LN(2)/25)*AA101+(1-EXP(-LN(2)/25))/(LN(2)/25)*Calculateur!V102*Calculateur!X102*VLOOKUP('Données projet'!$B$9,Paramètres!$A$1:$I$89,3,0)*0.475*44/12</f>
        <v>22.411287864837323</v>
      </c>
      <c r="AB102" s="21">
        <f>EXP(-LN(2)/2)*AB101+(1-EXP(-LN(2)/2))/(LN(2)/2)*V102*Y102*VLOOKUP('Données projet'!$B$9,Paramètres!$A$1:$I$89,3,0)*0.475*44/12</f>
        <v>1.6120562294733916E-2</v>
      </c>
      <c r="AC102" s="22">
        <f t="shared" si="57"/>
        <v>135.51575640767683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-2.2737367544323206E-13</v>
      </c>
      <c r="AJ102" s="13">
        <f>AI102*VLOOKUP('Données projet'!$B$10,Paramètres!$A$1:$I$89,3,0)*VLOOKUP('Données projet'!$B$10,Paramètres!$A$1:$I$89,5,0)</f>
        <v>-1.3596945791505279E-13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261.13725557061468</v>
      </c>
      <c r="AO102" s="59">
        <f t="shared" si="90"/>
        <v>328.18986868293558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69.493691966796817</v>
      </c>
      <c r="AV102" s="21">
        <f>EXP(-LN(2)/25)*AV101+(1-EXP(-LN(2)/25))/(LN(2)/25)*Calculateur!AQ102*Calculateur!AS102*VLOOKUP('Données projet'!$B$10,Paramètres!$A$1:$I$89,3,0)*0.475*44/12</f>
        <v>13.417028800215347</v>
      </c>
      <c r="AW102" s="21">
        <f>EXP(-LN(2)/2)*AW101+(1-EXP(-LN(2)/2))/(LN(2)/2)*AQ102*AT102*VLOOKUP('Données projet'!$B$10,Paramètres!$A$1:$I$89,3,0)*0.475*44/12</f>
        <v>1.362400956001267E-5</v>
      </c>
      <c r="AX102" s="21">
        <f t="shared" si="60"/>
        <v>82.91073439102172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5.2583333333333373</v>
      </c>
      <c r="BD102" s="12">
        <f>IF('Données projet'!$A$88&gt;35,BD101+BC102-BL101,IF(A102&lt;'Données projet'!$A$88,$BA$205^A102,IF(A102='Données projet'!$A$88,'Données projet'!$B$88,BD101+BC102-BL101)))</f>
        <v>213.73589743589716</v>
      </c>
      <c r="BE102" s="13">
        <f>BD102*VLOOKUP('Données projet'!$B$11,Paramètres!$A$1:$I$89,3,0)*VLOOKUP('Données projet'!$B$11,Paramètres!$A$1:$I$89,5,0)</f>
        <v>216.72819999999976</v>
      </c>
      <c r="BF102" s="13">
        <f t="shared" si="91"/>
        <v>53.403157228900795</v>
      </c>
      <c r="BG102" s="20">
        <f t="shared" si="61"/>
        <v>470.47878050700183</v>
      </c>
      <c r="BH102" s="59">
        <f t="shared" si="62"/>
        <v>763.81211384033509</v>
      </c>
      <c r="BI102" s="59">
        <f ca="1">AVERAGE(OFFSET($BH$3,0,0,'Données projet'!$E$11+1,1))-AVERAGE(OFFSET($H$3,0,0,'Données projet'!$E$11+1,1))</f>
        <v>250.31277422753283</v>
      </c>
      <c r="BJ102" s="59">
        <f t="shared" si="92"/>
        <v>159.20429420478047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24.293341714402292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24.293341714402292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</v>
      </c>
      <c r="BY102" s="12">
        <f>IF('Données projet'!$A$114&gt;35,BY101+BX102-CG101,IF(A102&lt;'Données projet'!$A$114,$BV$205^A102,IF(A102='Données projet'!$A$114,'Données projet'!$B$114,BY101+BX102-CG101)))</f>
        <v>252</v>
      </c>
      <c r="BZ102" s="13">
        <f>BY102*VLOOKUP('Données projet'!$B$12,Paramètres!$A$1:$I$89,3,0)*VLOOKUP('Données projet'!$B$12,Paramètres!$A$1:$I$89,5,0)</f>
        <v>263.3904</v>
      </c>
      <c r="CA102" s="13">
        <f t="shared" si="93"/>
        <v>63.444528395882578</v>
      </c>
      <c r="CB102" s="20">
        <f t="shared" si="64"/>
        <v>569.23750028949542</v>
      </c>
      <c r="CC102" s="59">
        <f t="shared" si="65"/>
        <v>862.57083362282879</v>
      </c>
      <c r="CD102" s="59">
        <f ca="1">AVERAGE(OFFSET($CC$3,0,0,'Données projet'!$E$12+1,1))-AVERAGE(OFFSET($H$3,0,0,'Données projet'!$E$12+1,1))</f>
        <v>322.93502595881938</v>
      </c>
      <c r="CE102" s="59">
        <f t="shared" si="94"/>
        <v>302.67072119588164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29.000854029553231</v>
      </c>
      <c r="CL102" s="21">
        <f>EXP(-LN(2)/25)*CL101+(1-EXP(-LN(2)/25))/(LN(2)/25)*Calculateur!CG102*Calculateur!CI102*VLOOKUP('Données projet'!$B$12,Paramètres!$A$1:$I$89,3,0)*0.475*44/12</f>
        <v>17.095210704435509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46.09606473398874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278.21846622758881</v>
      </c>
      <c r="T103" s="59">
        <f t="shared" si="88"/>
        <v>245.37578316242906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110.87075445372764</v>
      </c>
      <c r="AA103" s="21">
        <f>EXP(-LN(2)/25)*AA102+(1-EXP(-LN(2)/25))/(LN(2)/25)*Calculateur!V103*Calculateur!X103*VLOOKUP('Données projet'!$B$9,Paramètres!$A$1:$I$89,3,0)*0.475*44/12</f>
        <v>21.79845001961494</v>
      </c>
      <c r="AB103" s="21">
        <f>EXP(-LN(2)/2)*AB102+(1-EXP(-LN(2)/2))/(LN(2)/2)*V103*Y103*VLOOKUP('Données projet'!$B$9,Paramètres!$A$1:$I$89,3,0)*0.475*44/12</f>
        <v>1.1398958915146523E-2</v>
      </c>
      <c r="AC103" s="22">
        <f t="shared" si="57"/>
        <v>132.68060343225773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-2.2737367544323206E-13</v>
      </c>
      <c r="AJ103" s="13">
        <f>AI103*VLOOKUP('Données projet'!$B$10,Paramètres!$A$1:$I$89,3,0)*VLOOKUP('Données projet'!$B$10,Paramètres!$A$1:$I$89,5,0)</f>
        <v>-1.3596945791505279E-13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261.13725557061468</v>
      </c>
      <c r="AO103" s="59">
        <f t="shared" si="90"/>
        <v>328.18986868293558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68.130963054294668</v>
      </c>
      <c r="AV103" s="21">
        <f>EXP(-LN(2)/25)*AV102+(1-EXP(-LN(2)/25))/(LN(2)/25)*Calculateur!AQ103*Calculateur!AS103*VLOOKUP('Données projet'!$B$10,Paramètres!$A$1:$I$89,3,0)*0.475*44/12</f>
        <v>13.050139442102578</v>
      </c>
      <c r="AW103" s="21">
        <f>EXP(-LN(2)/2)*AW102+(1-EXP(-LN(2)/2))/(LN(2)/2)*AQ103*AT103*VLOOKUP('Données projet'!$B$10,Paramètres!$A$1:$I$89,3,0)*0.475*44/12</f>
        <v>9.6336295468353106E-6</v>
      </c>
      <c r="AX103" s="21">
        <f t="shared" si="60"/>
        <v>81.18111213002679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5.2583333333333373</v>
      </c>
      <c r="BD103" s="12">
        <f>IF('Données projet'!$A$88&gt;35,BD102+BC103-BL102,IF(A103&lt;'Données projet'!$A$88,$BA$205^A103,IF(A103='Données projet'!$A$88,'Données projet'!$B$88,BD102+BC103-BL102)))</f>
        <v>218.99423076923048</v>
      </c>
      <c r="BE103" s="13">
        <f>BD103*VLOOKUP('Données projet'!$B$11,Paramètres!$A$1:$I$89,3,0)*VLOOKUP('Données projet'!$B$11,Paramètres!$A$1:$I$89,5,0)</f>
        <v>222.06014999999974</v>
      </c>
      <c r="BF103" s="13">
        <f t="shared" si="91"/>
        <v>54.562405957952684</v>
      </c>
      <c r="BG103" s="20">
        <f t="shared" si="61"/>
        <v>481.78428496010048</v>
      </c>
      <c r="BH103" s="59">
        <f t="shared" si="62"/>
        <v>775.11761829343379</v>
      </c>
      <c r="BI103" s="59">
        <f ca="1">AVERAGE(OFFSET($BH$3,0,0,'Données projet'!$E$11+1,1))-AVERAGE(OFFSET($H$3,0,0,'Données projet'!$E$11+1,1))</f>
        <v>250.31277422753283</v>
      </c>
      <c r="BJ103" s="59">
        <f t="shared" si="92"/>
        <v>159.20429420478047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23.816964100858204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23.816964100858204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255</v>
      </c>
      <c r="BW103" s="12">
        <f>VLOOKUP(A103,'Données projet'!$A$113:$I$133,9,0)</f>
        <v>3</v>
      </c>
      <c r="BX103" s="12">
        <f t="array" ref="BX103">INDEX(BW:BW,MIN(IF(ISNUMBER(BW103:BW299),ROW(BW103:BW299),"")))</f>
        <v>3</v>
      </c>
      <c r="BY103" s="12">
        <f>IF('Données projet'!$A$114&gt;35,BY102+BX103-CG102,IF(A103&lt;'Données projet'!$A$114,$BV$205^A103,IF(A103='Données projet'!$A$114,'Données projet'!$B$114,BY102+BX103-CG102)))</f>
        <v>255</v>
      </c>
      <c r="BZ103" s="13">
        <f>BY103*VLOOKUP('Données projet'!$B$12,Paramètres!$A$1:$I$89,3,0)*VLOOKUP('Données projet'!$B$12,Paramètres!$A$1:$I$89,5,0)</f>
        <v>266.52600000000007</v>
      </c>
      <c r="CA103" s="13">
        <f t="shared" si="93"/>
        <v>64.111444050688362</v>
      </c>
      <c r="CB103" s="20">
        <f t="shared" si="64"/>
        <v>575.86021505494898</v>
      </c>
      <c r="CC103" s="59">
        <f t="shared" si="65"/>
        <v>869.19354838828235</v>
      </c>
      <c r="CD103" s="59">
        <f ca="1">AVERAGE(OFFSET($CC$3,0,0,'Données projet'!$E$12+1,1))-AVERAGE(OFFSET($H$3,0,0,'Données projet'!$E$12+1,1))</f>
        <v>322.93502595881938</v>
      </c>
      <c r="CE103" s="59">
        <f t="shared" si="94"/>
        <v>302.67072119588164</v>
      </c>
      <c r="CF103" s="15">
        <f>IF(ISNA(VLOOKUP(A103,'Données projet'!$A$113:$I$133,3,0)),0,VLOOKUP(A103,'Données projet'!$A$113:$I$133,3,0))</f>
        <v>17</v>
      </c>
      <c r="CG103" s="15" t="str">
        <f>IF(ISNA(VLOOKUP(A103,'Données projet'!$A$113:$I$133,4,0)),0,VLOOKUP(A103,'Données projet'!$A$113:$I$133,4,0))</f>
        <v>12</v>
      </c>
      <c r="CH103" s="16">
        <f>IF(ISNA(VLOOKUP(A103,'Données projet'!$A$113:$I$133,5,0)),0%,VLOOKUP(A103,'Données projet'!$A$113:$I$133,5,0)*VLOOKUP('Données projet'!$B$12,Paramètres!$A$1:$I$89,7,0))</f>
        <v>0.30099999999999999</v>
      </c>
      <c r="CI103" s="16">
        <f>IF(ISNA(VLOOKUP(A103,'Données projet'!$A$113:$I$133,6,0)),0%,VLOOKUP(A103,'Données projet'!$A$113:$I$133,6,0)*VLOOKUP('Données projet'!$B$12,Paramètres!$A$1:$I$89,7,0))</f>
        <v>8.6000000000000007E-2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32.605605728972506</v>
      </c>
      <c r="CL103" s="21">
        <f>EXP(-LN(2)/25)*CL102+(1-EXP(-LN(2)/25))/(LN(2)/25)*Calculateur!CG103*Calculateur!CI103*VLOOKUP('Données projet'!$B$12,Paramètres!$A$1:$I$89,3,0)*0.475*44/12</f>
        <v>17.815457934922939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50.421063663895445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278.21846622758881</v>
      </c>
      <c r="T104" s="59">
        <f t="shared" si="88"/>
        <v>245.37578316242906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108.6966465833729</v>
      </c>
      <c r="AA104" s="21">
        <f>EXP(-LN(2)/25)*AA103+(1-EXP(-LN(2)/25))/(LN(2)/25)*Calculateur!V104*Calculateur!X104*VLOOKUP('Données projet'!$B$9,Paramètres!$A$1:$I$89,3,0)*0.475*44/12</f>
        <v>21.202370257497904</v>
      </c>
      <c r="AB104" s="21">
        <f>EXP(-LN(2)/2)*AB103+(1-EXP(-LN(2)/2))/(LN(2)/2)*V104*Y104*VLOOKUP('Données projet'!$B$9,Paramètres!$A$1:$I$89,3,0)*0.475*44/12</f>
        <v>8.0602811473669579E-3</v>
      </c>
      <c r="AC104" s="22">
        <f t="shared" si="57"/>
        <v>129.90707712201817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-2.2737367544323206E-13</v>
      </c>
      <c r="AJ104" s="13">
        <f>AI104*VLOOKUP('Données projet'!$B$10,Paramètres!$A$1:$I$89,3,0)*VLOOKUP('Données projet'!$B$10,Paramètres!$A$1:$I$89,5,0)</f>
        <v>-1.3596945791505279E-13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261.13725557061468</v>
      </c>
      <c r="AO104" s="59">
        <f t="shared" si="90"/>
        <v>328.18986868293558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66.794956424584115</v>
      </c>
      <c r="AV104" s="21">
        <f>EXP(-LN(2)/25)*AV103+(1-EXP(-LN(2)/25))/(LN(2)/25)*Calculateur!AQ104*Calculateur!AS104*VLOOKUP('Données projet'!$B$10,Paramètres!$A$1:$I$89,3,0)*0.475*44/12</f>
        <v>12.693282692781276</v>
      </c>
      <c r="AW104" s="21">
        <f>EXP(-LN(2)/2)*AW103+(1-EXP(-LN(2)/2))/(LN(2)/2)*AQ104*AT104*VLOOKUP('Données projet'!$B$10,Paramètres!$A$1:$I$89,3,0)*0.475*44/12</f>
        <v>6.8120047800063351E-6</v>
      </c>
      <c r="AX104" s="21">
        <f t="shared" si="60"/>
        <v>79.48824592937018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5.2583333333333373</v>
      </c>
      <c r="BD104" s="12">
        <f>IF('Données projet'!$A$88&gt;35,BD103+BC104-BL103,IF(A104&lt;'Données projet'!$A$88,$BA$205^A104,IF(A104='Données projet'!$A$88,'Données projet'!$B$88,BD103+BC104-BL103)))</f>
        <v>224.25256410256381</v>
      </c>
      <c r="BE104" s="13">
        <f>BD104*VLOOKUP('Données projet'!$B$11,Paramètres!$A$1:$I$89,3,0)*VLOOKUP('Données projet'!$B$11,Paramètres!$A$1:$I$89,5,0)</f>
        <v>227.39209999999972</v>
      </c>
      <c r="BF104" s="13">
        <f t="shared" si="91"/>
        <v>55.718418881655332</v>
      </c>
      <c r="BG104" s="20">
        <f t="shared" si="61"/>
        <v>493.08415371888253</v>
      </c>
      <c r="BH104" s="59">
        <f t="shared" si="62"/>
        <v>786.41748705221585</v>
      </c>
      <c r="BI104" s="59">
        <f ca="1">AVERAGE(OFFSET($BH$3,0,0,'Données projet'!$E$11+1,1))-AVERAGE(OFFSET($H$3,0,0,'Données projet'!$E$11+1,1))</f>
        <v>250.31277422753283</v>
      </c>
      <c r="BJ104" s="59">
        <f t="shared" si="92"/>
        <v>159.20429420478047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23.349927961754062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23.349927961754062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243</v>
      </c>
      <c r="BZ104" s="13">
        <f>BY104*VLOOKUP('Données projet'!$B$12,Paramètres!$A$1:$I$89,3,0)*VLOOKUP('Données projet'!$B$12,Paramètres!$A$1:$I$89,5,0)</f>
        <v>253.98360000000002</v>
      </c>
      <c r="CA104" s="13">
        <f t="shared" si="93"/>
        <v>61.438182405444294</v>
      </c>
      <c r="CB104" s="20">
        <f t="shared" si="64"/>
        <v>549.35960435614891</v>
      </c>
      <c r="CC104" s="59">
        <f t="shared" si="65"/>
        <v>842.69293768948228</v>
      </c>
      <c r="CD104" s="59">
        <f ca="1">AVERAGE(OFFSET($CC$3,0,0,'Données projet'!$E$12+1,1))-AVERAGE(OFFSET($H$3,0,0,'Données projet'!$E$12+1,1))</f>
        <v>322.93502595881938</v>
      </c>
      <c r="CE104" s="59">
        <f t="shared" si="94"/>
        <v>302.67072119588164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31.966229688083128</v>
      </c>
      <c r="CL104" s="21">
        <f>EXP(-LN(2)/25)*CL103+(1-EXP(-LN(2)/25))/(LN(2)/25)*Calculateur!CG104*Calculateur!CI104*VLOOKUP('Données projet'!$B$12,Paramètres!$A$1:$I$89,3,0)*0.475*44/12</f>
        <v>17.328293300818256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49.294522988901385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278.21846622758881</v>
      </c>
      <c r="T105" s="59">
        <f t="shared" si="88"/>
        <v>245.37578316242906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106.56517164228094</v>
      </c>
      <c r="AA105" s="21">
        <f>EXP(-LN(2)/25)*AA104+(1-EXP(-LN(2)/25))/(LN(2)/25)*Calculateur!V105*Calculateur!X105*VLOOKUP('Données projet'!$B$9,Paramètres!$A$1:$I$89,3,0)*0.475*44/12</f>
        <v>20.622590327822429</v>
      </c>
      <c r="AB105" s="21">
        <f>EXP(-LN(2)/2)*AB104+(1-EXP(-LN(2)/2))/(LN(2)/2)*V105*Y105*VLOOKUP('Données projet'!$B$9,Paramètres!$A$1:$I$89,3,0)*0.475*44/12</f>
        <v>5.6994794575732617E-3</v>
      </c>
      <c r="AC105" s="22">
        <f t="shared" si="57"/>
        <v>127.19346144956094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-2.2737367544323206E-13</v>
      </c>
      <c r="AJ105" s="13">
        <f>AI105*VLOOKUP('Données projet'!$B$10,Paramètres!$A$1:$I$89,3,0)*VLOOKUP('Données projet'!$B$10,Paramètres!$A$1:$I$89,5,0)</f>
        <v>-1.3596945791505279E-13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261.13725557061468</v>
      </c>
      <c r="AO105" s="59">
        <f t="shared" si="90"/>
        <v>328.18986868293558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65.485148069998615</v>
      </c>
      <c r="AV105" s="21">
        <f>EXP(-LN(2)/25)*AV104+(1-EXP(-LN(2)/25))/(LN(2)/25)*Calculateur!AQ105*Calculateur!AS105*VLOOKUP('Données projet'!$B$10,Paramètres!$A$1:$I$89,3,0)*0.475*44/12</f>
        <v>12.346184210036446</v>
      </c>
      <c r="AW105" s="21">
        <f>EXP(-LN(2)/2)*AW104+(1-EXP(-LN(2)/2))/(LN(2)/2)*AQ105*AT105*VLOOKUP('Données projet'!$B$10,Paramètres!$A$1:$I$89,3,0)*0.475*44/12</f>
        <v>4.8168147734176553E-6</v>
      </c>
      <c r="AX105" s="21">
        <f t="shared" si="60"/>
        <v>77.831337096849836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5.2583333333333373</v>
      </c>
      <c r="BD105" s="12">
        <f>IF('Données projet'!$A$88&gt;35,BD104+BC105-BL104,IF(A105&lt;'Données projet'!$A$88,$BA$205^A105,IF(A105='Données projet'!$A$88,'Données projet'!$B$88,BD104+BC105-BL104)))</f>
        <v>229.51089743589714</v>
      </c>
      <c r="BE105" s="13">
        <f>BD105*VLOOKUP('Données projet'!$B$11,Paramètres!$A$1:$I$89,3,0)*VLOOKUP('Données projet'!$B$11,Paramètres!$A$1:$I$89,5,0)</f>
        <v>232.72404999999969</v>
      </c>
      <c r="BF105" s="13">
        <f t="shared" si="91"/>
        <v>56.871280605943788</v>
      </c>
      <c r="BG105" s="20">
        <f t="shared" si="61"/>
        <v>504.37853413868493</v>
      </c>
      <c r="BH105" s="59">
        <f t="shared" si="62"/>
        <v>797.71186747201818</v>
      </c>
      <c r="BI105" s="59">
        <f ca="1">AVERAGE(OFFSET($BH$3,0,0,'Données projet'!$E$11+1,1))-AVERAGE(OFFSET($H$3,0,0,'Données projet'!$E$11+1,1))</f>
        <v>250.31277422753283</v>
      </c>
      <c r="BJ105" s="59">
        <f t="shared" si="92"/>
        <v>159.20429420478047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22.892050116473836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22.892050116473836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243</v>
      </c>
      <c r="BZ105" s="13">
        <f>BY105*VLOOKUP('Données projet'!$B$12,Paramètres!$A$1:$I$89,3,0)*VLOOKUP('Données projet'!$B$12,Paramètres!$A$1:$I$89,5,0)</f>
        <v>253.98360000000002</v>
      </c>
      <c r="CA105" s="13">
        <f t="shared" si="93"/>
        <v>61.438182405444294</v>
      </c>
      <c r="CB105" s="20">
        <f t="shared" si="64"/>
        <v>549.35960435614891</v>
      </c>
      <c r="CC105" s="59">
        <f t="shared" si="65"/>
        <v>842.69293768948228</v>
      </c>
      <c r="CD105" s="59">
        <f ca="1">AVERAGE(OFFSET($CC$3,0,0,'Données projet'!$E$12+1,1))-AVERAGE(OFFSET($H$3,0,0,'Données projet'!$E$12+1,1))</f>
        <v>322.93502595881938</v>
      </c>
      <c r="CE105" s="59">
        <f t="shared" si="94"/>
        <v>302.67072119588164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31.339391421374714</v>
      </c>
      <c r="CL105" s="21">
        <f>EXP(-LN(2)/25)*CL104+(1-EXP(-LN(2)/25))/(LN(2)/25)*Calculateur!CG105*Calculateur!CI105*VLOOKUP('Données projet'!$B$12,Paramètres!$A$1:$I$89,3,0)*0.475*44/12</f>
        <v>16.85445020925204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48.19384163062675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278.21846622758881</v>
      </c>
      <c r="T106" s="59">
        <f t="shared" si="88"/>
        <v>245.37578316242906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104.47549362471247</v>
      </c>
      <c r="AA106" s="21">
        <f>EXP(-LN(2)/25)*AA105+(1-EXP(-LN(2)/25))/(LN(2)/25)*Calculateur!V106*Calculateur!X106*VLOOKUP('Données projet'!$B$9,Paramètres!$A$1:$I$89,3,0)*0.475*44/12</f>
        <v>20.058664510813234</v>
      </c>
      <c r="AB106" s="21">
        <f>EXP(-LN(2)/2)*AB105+(1-EXP(-LN(2)/2))/(LN(2)/2)*V106*Y106*VLOOKUP('Données projet'!$B$9,Paramètres!$A$1:$I$89,3,0)*0.475*44/12</f>
        <v>4.030140573683479E-3</v>
      </c>
      <c r="AC106" s="22">
        <f t="shared" si="57"/>
        <v>124.53818827609939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-2.2737367544323206E-13</v>
      </c>
      <c r="AJ106" s="13">
        <f>AI106*VLOOKUP('Données projet'!$B$10,Paramètres!$A$1:$I$89,3,0)*VLOOKUP('Données projet'!$B$10,Paramètres!$A$1:$I$89,5,0)</f>
        <v>-1.3596945791505279E-13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261.13725557061468</v>
      </c>
      <c r="AO106" s="59">
        <f t="shared" si="90"/>
        <v>328.18986868293558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64.201024258342315</v>
      </c>
      <c r="AV106" s="21">
        <f>EXP(-LN(2)/25)*AV105+(1-EXP(-LN(2)/25))/(LN(2)/25)*Calculateur!AQ106*Calculateur!AS106*VLOOKUP('Données projet'!$B$10,Paramètres!$A$1:$I$89,3,0)*0.475*44/12</f>
        <v>12.00857715355539</v>
      </c>
      <c r="AW106" s="21">
        <f>EXP(-LN(2)/2)*AW105+(1-EXP(-LN(2)/2))/(LN(2)/2)*AQ106*AT106*VLOOKUP('Données projet'!$B$10,Paramètres!$A$1:$I$89,3,0)*0.475*44/12</f>
        <v>3.4060023900031676E-6</v>
      </c>
      <c r="AX106" s="21">
        <f t="shared" si="60"/>
        <v>76.2096048179001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234.76923076923077</v>
      </c>
      <c r="BB106" s="12">
        <f>VLOOKUP(A106,'Données projet'!$A$87:$I$107,9,0)</f>
        <v>5.2583333333333373</v>
      </c>
      <c r="BC106" s="12">
        <f t="array" ref="BC106">INDEX(BB:BB,MIN(IF(ISNUMBER(BB106:BB302),ROW(BB106:BB302),"")))</f>
        <v>5.2583333333333373</v>
      </c>
      <c r="BD106" s="12">
        <f>IF('Données projet'!$A$88&gt;35,BD105+BC106-BL105,IF(A106&lt;'Données projet'!$A$88,$BA$205^A106,IF(A106='Données projet'!$A$88,'Données projet'!$B$88,BD105+BC106-BL105)))</f>
        <v>234.76923076923046</v>
      </c>
      <c r="BE106" s="13">
        <f>BD106*VLOOKUP('Données projet'!$B$11,Paramètres!$A$1:$I$89,3,0)*VLOOKUP('Données projet'!$B$11,Paramètres!$A$1:$I$89,5,0)</f>
        <v>238.0559999999997</v>
      </c>
      <c r="BF106" s="13">
        <f t="shared" si="91"/>
        <v>58.021071638689058</v>
      </c>
      <c r="BG106" s="20">
        <f t="shared" si="61"/>
        <v>515.6675664373829</v>
      </c>
      <c r="BH106" s="59">
        <f t="shared" si="62"/>
        <v>809.00089977071616</v>
      </c>
      <c r="BI106" s="59">
        <f ca="1">AVERAGE(OFFSET($BH$3,0,0,'Données projet'!$E$11+1,1))-AVERAGE(OFFSET($H$3,0,0,'Données projet'!$E$11+1,1))</f>
        <v>250.31277422753283</v>
      </c>
      <c r="BJ106" s="59">
        <f t="shared" si="92"/>
        <v>159.20429420478047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39.512820512820511</v>
      </c>
      <c r="BM106" s="16">
        <f>IF(ISNA(VLOOKUP(A106,'Données projet'!$A$87:$I$107,5,0)),0%,VLOOKUP(A106,'Données projet'!$A$87:$I$107,5,0)*VLOOKUP('Données projet'!$B$11,Paramètres!$A$1:$I$89,7,0))</f>
        <v>0.30099999999999999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35.774975620598163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35.774975620598163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243</v>
      </c>
      <c r="BZ106" s="13">
        <f>BY106*VLOOKUP('Données projet'!$B$12,Paramètres!$A$1:$I$89,3,0)*VLOOKUP('Données projet'!$B$12,Paramètres!$A$1:$I$89,5,0)</f>
        <v>253.98360000000002</v>
      </c>
      <c r="CA106" s="13">
        <f t="shared" si="93"/>
        <v>61.438182405444294</v>
      </c>
      <c r="CB106" s="20">
        <f t="shared" si="64"/>
        <v>549.35960435614891</v>
      </c>
      <c r="CC106" s="59">
        <f t="shared" si="65"/>
        <v>842.69293768948228</v>
      </c>
      <c r="CD106" s="59">
        <f ca="1">AVERAGE(OFFSET($CC$3,0,0,'Données projet'!$E$12+1,1))-AVERAGE(OFFSET($H$3,0,0,'Données projet'!$E$12+1,1))</f>
        <v>322.93502595881938</v>
      </c>
      <c r="CE106" s="59">
        <f t="shared" si="94"/>
        <v>302.67072119588164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30.724845070742859</v>
      </c>
      <c r="CL106" s="21">
        <f>EXP(-LN(2)/25)*CL105+(1-EXP(-LN(2)/25))/(LN(2)/25)*Calculateur!CG106*Calculateur!CI106*VLOOKUP('Données projet'!$B$12,Paramètres!$A$1:$I$89,3,0)*0.475*44/12</f>
        <v>16.393564381943026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47.118409452685881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278.21846622758881</v>
      </c>
      <c r="T107" s="59">
        <f t="shared" si="88"/>
        <v>245.37578316242906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102.42679291849078</v>
      </c>
      <c r="AA107" s="21">
        <f>EXP(-LN(2)/25)*AA106+(1-EXP(-LN(2)/25))/(LN(2)/25)*Calculateur!V107*Calculateur!X107*VLOOKUP('Données projet'!$B$9,Paramètres!$A$1:$I$89,3,0)*0.475*44/12</f>
        <v>19.510159274925723</v>
      </c>
      <c r="AB107" s="21">
        <f>EXP(-LN(2)/2)*AB106+(1-EXP(-LN(2)/2))/(LN(2)/2)*V107*Y107*VLOOKUP('Données projet'!$B$9,Paramètres!$A$1:$I$89,3,0)*0.475*44/12</f>
        <v>2.8497397287866309E-3</v>
      </c>
      <c r="AC107" s="22">
        <f t="shared" si="57"/>
        <v>121.93980193314529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-2.2737367544323206E-13</v>
      </c>
      <c r="AJ107" s="13">
        <f>AI107*VLOOKUP('Données projet'!$B$10,Paramètres!$A$1:$I$89,3,0)*VLOOKUP('Données projet'!$B$10,Paramètres!$A$1:$I$89,5,0)</f>
        <v>-1.3596945791505279E-13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261.13725557061468</v>
      </c>
      <c r="AO107" s="59">
        <f t="shared" si="90"/>
        <v>328.18986868293558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62.942081331394412</v>
      </c>
      <c r="AV107" s="21">
        <f>EXP(-LN(2)/25)*AV106+(1-EXP(-LN(2)/25))/(LN(2)/25)*Calculateur!AQ107*Calculateur!AS107*VLOOKUP('Données projet'!$B$10,Paramètres!$A$1:$I$89,3,0)*0.475*44/12</f>
        <v>11.680201979787791</v>
      </c>
      <c r="AW107" s="21">
        <f>EXP(-LN(2)/2)*AW106+(1-EXP(-LN(2)/2))/(LN(2)/2)*AQ107*AT107*VLOOKUP('Données projet'!$B$10,Paramètres!$A$1:$I$89,3,0)*0.475*44/12</f>
        <v>2.4084073867088277E-6</v>
      </c>
      <c r="AX107" s="21">
        <f t="shared" si="60"/>
        <v>74.622285719589584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5.0961538461538449</v>
      </c>
      <c r="BD107" s="12">
        <f>IF('Données projet'!$A$88&gt;35,BD106+BC107-BL106,IF(A107&lt;'Données projet'!$A$88,$BA$205^A107,IF(A107='Données projet'!$A$88,'Données projet'!$B$88,BD106+BC107-BL106)))</f>
        <v>200.3525641025638</v>
      </c>
      <c r="BE107" s="13">
        <f>BD107*VLOOKUP('Données projet'!$B$11,Paramètres!$A$1:$I$89,3,0)*VLOOKUP('Données projet'!$B$11,Paramètres!$A$1:$I$89,5,0)</f>
        <v>203.15749999999971</v>
      </c>
      <c r="BF107" s="13">
        <f t="shared" si="91"/>
        <v>50.437456773365234</v>
      </c>
      <c r="BG107" s="20">
        <f t="shared" si="61"/>
        <v>441.67788304694392</v>
      </c>
      <c r="BH107" s="59">
        <f t="shared" si="62"/>
        <v>735.01121638027723</v>
      </c>
      <c r="BI107" s="59">
        <f ca="1">AVERAGE(OFFSET($BH$3,0,0,'Données projet'!$E$11+1,1))-AVERAGE(OFFSET($H$3,0,0,'Données projet'!$E$11+1,1))</f>
        <v>250.31277422753283</v>
      </c>
      <c r="BJ107" s="59">
        <f t="shared" si="92"/>
        <v>159.20429420478047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35.073450169258756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35.073450169258756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243</v>
      </c>
      <c r="BZ107" s="13">
        <f>BY107*VLOOKUP('Données projet'!$B$12,Paramètres!$A$1:$I$89,3,0)*VLOOKUP('Données projet'!$B$12,Paramètres!$A$1:$I$89,5,0)</f>
        <v>253.98360000000002</v>
      </c>
      <c r="CA107" s="13">
        <f t="shared" si="93"/>
        <v>61.438182405444294</v>
      </c>
      <c r="CB107" s="20">
        <f t="shared" si="64"/>
        <v>549.35960435614891</v>
      </c>
      <c r="CC107" s="59">
        <f t="shared" si="65"/>
        <v>842.69293768948228</v>
      </c>
      <c r="CD107" s="59">
        <f ca="1">AVERAGE(OFFSET($CC$3,0,0,'Données projet'!$E$12+1,1))-AVERAGE(OFFSET($H$3,0,0,'Données projet'!$E$12+1,1))</f>
        <v>322.93502595881938</v>
      </c>
      <c r="CE107" s="59">
        <f t="shared" si="94"/>
        <v>302.67072119588164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30.122349599210633</v>
      </c>
      <c r="CL107" s="21">
        <f>EXP(-LN(2)/25)*CL106+(1-EXP(-LN(2)/25))/(LN(2)/25)*Calculateur!CG107*Calculateur!CI107*VLOOKUP('Données projet'!$B$12,Paramètres!$A$1:$I$89,3,0)*0.475*44/12</f>
        <v>15.945281501818711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46.067631101029342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278.21846622758881</v>
      </c>
      <c r="T108" s="59">
        <f t="shared" si="88"/>
        <v>245.37578316242906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100.41826598353404</v>
      </c>
      <c r="AA108" s="21">
        <f>EXP(-LN(2)/25)*AA107+(1-EXP(-LN(2)/25))/(LN(2)/25)*Calculateur!V108*Calculateur!X108*VLOOKUP('Données projet'!$B$9,Paramètres!$A$1:$I$89,3,0)*0.475*44/12</f>
        <v>18.976652943558193</v>
      </c>
      <c r="AB108" s="21">
        <f>EXP(-LN(2)/2)*AB107+(1-EXP(-LN(2)/2))/(LN(2)/2)*V108*Y108*VLOOKUP('Données projet'!$B$9,Paramètres!$A$1:$I$89,3,0)*0.475*44/12</f>
        <v>2.0150702868417395E-3</v>
      </c>
      <c r="AC108" s="22">
        <f t="shared" si="57"/>
        <v>119.39693399737908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-2.2737367544323206E-13</v>
      </c>
      <c r="AJ108" s="13">
        <f>AI108*VLOOKUP('Données projet'!$B$10,Paramètres!$A$1:$I$89,3,0)*VLOOKUP('Données projet'!$B$10,Paramètres!$A$1:$I$89,5,0)</f>
        <v>-1.3596945791505279E-13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261.13725557061468</v>
      </c>
      <c r="AO108" s="59">
        <f t="shared" si="90"/>
        <v>328.18986868293558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61.707825507364596</v>
      </c>
      <c r="AV108" s="21">
        <f>EXP(-LN(2)/25)*AV107+(1-EXP(-LN(2)/25))/(LN(2)/25)*Calculateur!AQ108*Calculateur!AS108*VLOOKUP('Données projet'!$B$10,Paramètres!$A$1:$I$89,3,0)*0.475*44/12</f>
        <v>11.360806242415366</v>
      </c>
      <c r="AW108" s="21">
        <f>EXP(-LN(2)/2)*AW107+(1-EXP(-LN(2)/2))/(LN(2)/2)*AQ108*AT108*VLOOKUP('Données projet'!$B$10,Paramètres!$A$1:$I$89,3,0)*0.475*44/12</f>
        <v>1.7030011950015838E-6</v>
      </c>
      <c r="AX108" s="21">
        <f t="shared" si="60"/>
        <v>73.068633452781157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5.0961538461538449</v>
      </c>
      <c r="BD108" s="12">
        <f>IF('Données projet'!$A$88&gt;35,BD107+BC108-BL107,IF(A108&lt;'Données projet'!$A$88,$BA$205^A108,IF(A108='Données projet'!$A$88,'Données projet'!$B$88,BD107+BC108-BL107)))</f>
        <v>205.44871794871764</v>
      </c>
      <c r="BE108" s="13">
        <f>BD108*VLOOKUP('Données projet'!$B$11,Paramètres!$A$1:$I$89,3,0)*VLOOKUP('Données projet'!$B$11,Paramètres!$A$1:$I$89,5,0)</f>
        <v>208.32499999999973</v>
      </c>
      <c r="BF108" s="13">
        <f t="shared" si="91"/>
        <v>51.569385633240543</v>
      </c>
      <c r="BG108" s="20">
        <f t="shared" si="61"/>
        <v>452.64938831122686</v>
      </c>
      <c r="BH108" s="59">
        <f t="shared" si="62"/>
        <v>745.98272164456012</v>
      </c>
      <c r="BI108" s="59">
        <f ca="1">AVERAGE(OFFSET($BH$3,0,0,'Données projet'!$E$11+1,1))-AVERAGE(OFFSET($H$3,0,0,'Données projet'!$E$11+1,1))</f>
        <v>250.31277422753283</v>
      </c>
      <c r="BJ108" s="59">
        <f t="shared" si="92"/>
        <v>159.20429420478047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34.385681204131842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34.385681204131842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243</v>
      </c>
      <c r="BZ108" s="13">
        <f>BY108*VLOOKUP('Données projet'!$B$12,Paramètres!$A$1:$I$89,3,0)*VLOOKUP('Données projet'!$B$12,Paramètres!$A$1:$I$89,5,0)</f>
        <v>253.98360000000002</v>
      </c>
      <c r="CA108" s="13">
        <f t="shared" si="93"/>
        <v>61.438182405444294</v>
      </c>
      <c r="CB108" s="20">
        <f t="shared" si="64"/>
        <v>549.35960435614891</v>
      </c>
      <c r="CC108" s="59">
        <f t="shared" si="65"/>
        <v>842.69293768948228</v>
      </c>
      <c r="CD108" s="59">
        <f ca="1">AVERAGE(OFFSET($CC$3,0,0,'Données projet'!$E$12+1,1))-AVERAGE(OFFSET($H$3,0,0,'Données projet'!$E$12+1,1))</f>
        <v>322.93502595881938</v>
      </c>
      <c r="CE108" s="59">
        <f t="shared" si="94"/>
        <v>302.67072119588164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29.531668696389204</v>
      </c>
      <c r="CL108" s="21">
        <f>EXP(-LN(2)/25)*CL107+(1-EXP(-LN(2)/25))/(LN(2)/25)*Calculateur!CG108*Calculateur!CI108*VLOOKUP('Données projet'!$B$12,Paramètres!$A$1:$I$89,3,0)*0.475*44/12</f>
        <v>15.509256940625567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45.040925637014773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278.21846622758881</v>
      </c>
      <c r="T109" s="59">
        <f t="shared" si="88"/>
        <v>245.37578316242906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98.449125036691342</v>
      </c>
      <c r="AA109" s="21">
        <f>EXP(-LN(2)/25)*AA108+(1-EXP(-LN(2)/25))/(LN(2)/25)*Calculateur!V109*Calculateur!X109*VLOOKUP('Données projet'!$B$9,Paramètres!$A$1:$I$89,3,0)*0.475*44/12</f>
        <v>18.457735370877788</v>
      </c>
      <c r="AB109" s="21">
        <f>EXP(-LN(2)/2)*AB108+(1-EXP(-LN(2)/2))/(LN(2)/2)*V109*Y109*VLOOKUP('Données projet'!$B$9,Paramètres!$A$1:$I$89,3,0)*0.475*44/12</f>
        <v>1.4248698643933154E-3</v>
      </c>
      <c r="AC109" s="22">
        <f t="shared" si="57"/>
        <v>116.90828527743352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-2.2737367544323206E-13</v>
      </c>
      <c r="AJ109" s="13">
        <f>AI109*VLOOKUP('Données projet'!$B$10,Paramètres!$A$1:$I$89,3,0)*VLOOKUP('Données projet'!$B$10,Paramètres!$A$1:$I$89,5,0)</f>
        <v>-1.3596945791505279E-13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261.13725557061468</v>
      </c>
      <c r="AO109" s="59">
        <f t="shared" si="90"/>
        <v>328.18986868293558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60.497772687222287</v>
      </c>
      <c r="AV109" s="21">
        <f>EXP(-LN(2)/25)*AV108+(1-EXP(-LN(2)/25))/(LN(2)/25)*Calculateur!AQ109*Calculateur!AS109*VLOOKUP('Données projet'!$B$10,Paramètres!$A$1:$I$89,3,0)*0.475*44/12</f>
        <v>11.050144398277682</v>
      </c>
      <c r="AW109" s="21">
        <f>EXP(-LN(2)/2)*AW108+(1-EXP(-LN(2)/2))/(LN(2)/2)*AQ109*AT109*VLOOKUP('Données projet'!$B$10,Paramètres!$A$1:$I$89,3,0)*0.475*44/12</f>
        <v>1.2042036933544138E-6</v>
      </c>
      <c r="AX109" s="21">
        <f t="shared" si="60"/>
        <v>71.547918289703674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5.0961538461538449</v>
      </c>
      <c r="BD109" s="12">
        <f>IF('Données projet'!$A$88&gt;35,BD108+BC109-BL108,IF(A109&lt;'Données projet'!$A$88,$BA$205^A109,IF(A109='Données projet'!$A$88,'Données projet'!$B$88,BD108+BC109-BL108)))</f>
        <v>210.54487179487148</v>
      </c>
      <c r="BE109" s="13">
        <f>BD109*VLOOKUP('Données projet'!$B$11,Paramètres!$A$1:$I$89,3,0)*VLOOKUP('Données projet'!$B$11,Paramètres!$A$1:$I$89,5,0)</f>
        <v>213.49249999999969</v>
      </c>
      <c r="BF109" s="13">
        <f t="shared" si="91"/>
        <v>52.698050633588259</v>
      </c>
      <c r="BG109" s="20">
        <f t="shared" si="61"/>
        <v>463.61520902016565</v>
      </c>
      <c r="BH109" s="59">
        <f t="shared" si="62"/>
        <v>756.94854235349896</v>
      </c>
      <c r="BI109" s="59">
        <f ca="1">AVERAGE(OFFSET($BH$3,0,0,'Données projet'!$E$11+1,1))-AVERAGE(OFFSET($H$3,0,0,'Données projet'!$E$11+1,1))</f>
        <v>250.31277422753283</v>
      </c>
      <c r="BJ109" s="59">
        <f t="shared" si="92"/>
        <v>159.20429420478047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33.711398968913421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33.711398968913421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243</v>
      </c>
      <c r="BZ109" s="13">
        <f>BY109*VLOOKUP('Données projet'!$B$12,Paramètres!$A$1:$I$89,3,0)*VLOOKUP('Données projet'!$B$12,Paramètres!$A$1:$I$89,5,0)</f>
        <v>253.98360000000002</v>
      </c>
      <c r="CA109" s="13">
        <f t="shared" si="93"/>
        <v>61.438182405444294</v>
      </c>
      <c r="CB109" s="20">
        <f t="shared" si="64"/>
        <v>549.35960435614891</v>
      </c>
      <c r="CC109" s="59">
        <f t="shared" si="65"/>
        <v>842.69293768948228</v>
      </c>
      <c r="CD109" s="59">
        <f ca="1">AVERAGE(OFFSET($CC$3,0,0,'Données projet'!$E$12+1,1))-AVERAGE(OFFSET($H$3,0,0,'Données projet'!$E$12+1,1))</f>
        <v>322.93502595881938</v>
      </c>
      <c r="CE109" s="59">
        <f t="shared" si="94"/>
        <v>302.67072119588164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28.952570685792328</v>
      </c>
      <c r="CL109" s="21">
        <f>EXP(-LN(2)/25)*CL108+(1-EXP(-LN(2)/25))/(LN(2)/25)*Calculateur!CG109*Calculateur!CI109*VLOOKUP('Données projet'!$B$12,Paramètres!$A$1:$I$89,3,0)*0.475*44/12</f>
        <v>15.085155493987786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44.037726179780115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278.21846622758881</v>
      </c>
      <c r="T110" s="59">
        <f t="shared" si="88"/>
        <v>245.37578316242906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96.518597742758843</v>
      </c>
      <c r="AA110" s="21">
        <f>EXP(-LN(2)/25)*AA109+(1-EXP(-LN(2)/25))/(LN(2)/25)*Calculateur!V110*Calculateur!X110*VLOOKUP('Données projet'!$B$9,Paramètres!$A$1:$I$89,3,0)*0.475*44/12</f>
        <v>17.953007626511017</v>
      </c>
      <c r="AB110" s="21">
        <f>EXP(-LN(2)/2)*AB109+(1-EXP(-LN(2)/2))/(LN(2)/2)*V110*Y110*VLOOKUP('Données projet'!$B$9,Paramètres!$A$1:$I$89,3,0)*0.475*44/12</f>
        <v>1.0075351434208697E-3</v>
      </c>
      <c r="AC110" s="22">
        <f t="shared" si="57"/>
        <v>114.47261290441328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-2.2737367544323206E-13</v>
      </c>
      <c r="AJ110" s="13">
        <f>AI110*VLOOKUP('Données projet'!$B$10,Paramètres!$A$1:$I$89,3,0)*VLOOKUP('Données projet'!$B$10,Paramètres!$A$1:$I$89,5,0)</f>
        <v>-1.3596945791505279E-13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261.13725557061468</v>
      </c>
      <c r="AO110" s="59">
        <f t="shared" si="90"/>
        <v>328.18986868293558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59.311448264823625</v>
      </c>
      <c r="AV110" s="21">
        <f>EXP(-LN(2)/25)*AV109+(1-EXP(-LN(2)/25))/(LN(2)/25)*Calculateur!AQ110*Calculateur!AS110*VLOOKUP('Données projet'!$B$10,Paramètres!$A$1:$I$89,3,0)*0.475*44/12</f>
        <v>10.74797761860494</v>
      </c>
      <c r="AW110" s="21">
        <f>EXP(-LN(2)/2)*AW109+(1-EXP(-LN(2)/2))/(LN(2)/2)*AQ110*AT110*VLOOKUP('Données projet'!$B$10,Paramètres!$A$1:$I$89,3,0)*0.475*44/12</f>
        <v>8.5150059750079189E-7</v>
      </c>
      <c r="AX110" s="21">
        <f t="shared" si="60"/>
        <v>70.059426734929161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5.0961538461538449</v>
      </c>
      <c r="BD110" s="12">
        <f>IF('Données projet'!$A$88&gt;35,BD109+BC110-BL109,IF(A110&lt;'Données projet'!$A$88,$BA$205^A110,IF(A110='Données projet'!$A$88,'Données projet'!$B$88,BD109+BC110-BL109)))</f>
        <v>215.64102564102532</v>
      </c>
      <c r="BE110" s="13">
        <f>BD110*VLOOKUP('Données projet'!$B$11,Paramètres!$A$1:$I$89,3,0)*VLOOKUP('Données projet'!$B$11,Paramètres!$A$1:$I$89,5,0)</f>
        <v>218.65999999999968</v>
      </c>
      <c r="BF110" s="13">
        <f t="shared" si="91"/>
        <v>53.823539863729678</v>
      </c>
      <c r="BG110" s="20">
        <f t="shared" si="61"/>
        <v>474.57549859599521</v>
      </c>
      <c r="BH110" s="59">
        <f t="shared" si="62"/>
        <v>767.90883192932847</v>
      </c>
      <c r="BI110" s="59">
        <f ca="1">AVERAGE(OFFSET($BH$3,0,0,'Données projet'!$E$11+1,1))-AVERAGE(OFFSET($H$3,0,0,'Données projet'!$E$11+1,1))</f>
        <v>250.31277422753283</v>
      </c>
      <c r="BJ110" s="59">
        <f t="shared" si="92"/>
        <v>159.20429420478047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33.05033899705608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33.05033899705608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243</v>
      </c>
      <c r="BZ110" s="13">
        <f>BY110*VLOOKUP('Données projet'!$B$12,Paramètres!$A$1:$I$89,3,0)*VLOOKUP('Données projet'!$B$12,Paramètres!$A$1:$I$89,5,0)</f>
        <v>253.98360000000002</v>
      </c>
      <c r="CA110" s="13">
        <f t="shared" si="93"/>
        <v>61.438182405444294</v>
      </c>
      <c r="CB110" s="20">
        <f t="shared" si="64"/>
        <v>549.35960435614891</v>
      </c>
      <c r="CC110" s="59">
        <f t="shared" si="65"/>
        <v>842.69293768948228</v>
      </c>
      <c r="CD110" s="59">
        <f ca="1">AVERAGE(OFFSET($CC$3,0,0,'Données projet'!$E$12+1,1))-AVERAGE(OFFSET($H$3,0,0,'Données projet'!$E$12+1,1))</f>
        <v>322.93502595881938</v>
      </c>
      <c r="CE110" s="59">
        <f t="shared" si="94"/>
        <v>302.67072119588164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28.384828433968345</v>
      </c>
      <c r="CL110" s="21">
        <f>EXP(-LN(2)/25)*CL109+(1-EXP(-LN(2)/25))/(LN(2)/25)*Calculateur!CG110*Calculateur!CI110*VLOOKUP('Données projet'!$B$12,Paramètres!$A$1:$I$89,3,0)*0.475*44/12</f>
        <v>14.672651123710841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43.057479557679187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278.21846622758881</v>
      </c>
      <c r="T111" s="59">
        <f t="shared" si="88"/>
        <v>245.37578316242906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94.625926911554984</v>
      </c>
      <c r="AA111" s="21">
        <f>EXP(-LN(2)/25)*AA110+(1-EXP(-LN(2)/25))/(LN(2)/25)*Calculateur!V111*Calculateur!X111*VLOOKUP('Données projet'!$B$9,Paramètres!$A$1:$I$89,3,0)*0.475*44/12</f>
        <v>17.462081688856433</v>
      </c>
      <c r="AB111" s="21">
        <f>EXP(-LN(2)/2)*AB110+(1-EXP(-LN(2)/2))/(LN(2)/2)*V111*Y111*VLOOKUP('Données projet'!$B$9,Paramètres!$A$1:$I$89,3,0)*0.475*44/12</f>
        <v>7.1243493219665772E-4</v>
      </c>
      <c r="AC111" s="22">
        <f t="shared" si="57"/>
        <v>112.08872103534361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-2.2737367544323206E-13</v>
      </c>
      <c r="AJ111" s="13">
        <f>AI111*VLOOKUP('Données projet'!$B$10,Paramètres!$A$1:$I$89,3,0)*VLOOKUP('Données projet'!$B$10,Paramètres!$A$1:$I$89,5,0)</f>
        <v>-1.3596945791505279E-13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261.13725557061468</v>
      </c>
      <c r="AO111" s="59">
        <f t="shared" si="90"/>
        <v>328.18986868293558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58.148386940761753</v>
      </c>
      <c r="AV111" s="21">
        <f>EXP(-LN(2)/25)*AV110+(1-EXP(-LN(2)/25))/(LN(2)/25)*Calculateur!AQ111*Calculateur!AS111*VLOOKUP('Données projet'!$B$10,Paramètres!$A$1:$I$89,3,0)*0.475*44/12</f>
        <v>10.45407360541261</v>
      </c>
      <c r="AW111" s="21">
        <f>EXP(-LN(2)/2)*AW110+(1-EXP(-LN(2)/2))/(LN(2)/2)*AQ111*AT111*VLOOKUP('Données projet'!$B$10,Paramètres!$A$1:$I$89,3,0)*0.475*44/12</f>
        <v>6.0210184667720692E-7</v>
      </c>
      <c r="AX111" s="21">
        <f t="shared" si="60"/>
        <v>68.60246114827622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5.0961538461538449</v>
      </c>
      <c r="BD111" s="12">
        <f>IF('Données projet'!$A$88&gt;35,BD110+BC111-BL110,IF(A111&lt;'Données projet'!$A$88,$BA$205^A111,IF(A111='Données projet'!$A$88,'Données projet'!$B$88,BD110+BC111-BL110)))</f>
        <v>220.73717948717916</v>
      </c>
      <c r="BE111" s="13">
        <f>BD111*VLOOKUP('Données projet'!$B$11,Paramètres!$A$1:$I$89,3,0)*VLOOKUP('Données projet'!$B$11,Paramètres!$A$1:$I$89,5,0)</f>
        <v>223.82749999999967</v>
      </c>
      <c r="BF111" s="13">
        <f t="shared" si="91"/>
        <v>54.94593701193218</v>
      </c>
      <c r="BG111" s="20">
        <f t="shared" si="61"/>
        <v>485.53040279578119</v>
      </c>
      <c r="BH111" s="59">
        <f t="shared" si="62"/>
        <v>778.8637361291145</v>
      </c>
      <c r="BI111" s="59">
        <f ca="1">AVERAGE(OFFSET($BH$3,0,0,'Données projet'!$E$11+1,1))-AVERAGE(OFFSET($H$3,0,0,'Données projet'!$E$11+1,1))</f>
        <v>250.31277422753283</v>
      </c>
      <c r="BJ111" s="59">
        <f t="shared" si="92"/>
        <v>159.20429420478047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32.402242008040091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32.402242008040091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243</v>
      </c>
      <c r="BZ111" s="13">
        <f>BY111*VLOOKUP('Données projet'!$B$12,Paramètres!$A$1:$I$89,3,0)*VLOOKUP('Données projet'!$B$12,Paramètres!$A$1:$I$89,5,0)</f>
        <v>253.98360000000002</v>
      </c>
      <c r="CA111" s="13">
        <f t="shared" si="93"/>
        <v>61.438182405444294</v>
      </c>
      <c r="CB111" s="20">
        <f t="shared" si="64"/>
        <v>549.35960435614891</v>
      </c>
      <c r="CC111" s="59">
        <f t="shared" si="65"/>
        <v>842.69293768948228</v>
      </c>
      <c r="CD111" s="59">
        <f ca="1">AVERAGE(OFFSET($CC$3,0,0,'Données projet'!$E$12+1,1))-AVERAGE(OFFSET($H$3,0,0,'Données projet'!$E$12+1,1))</f>
        <v>322.93502595881938</v>
      </c>
      <c r="CE111" s="59">
        <f t="shared" si="94"/>
        <v>302.67072119588164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27.828219261414048</v>
      </c>
      <c r="CL111" s="21">
        <f>EXP(-LN(2)/25)*CL110+(1-EXP(-LN(2)/25))/(LN(2)/25)*Calculateur!CG111*Calculateur!CI111*VLOOKUP('Données projet'!$B$12,Paramètres!$A$1:$I$89,3,0)*0.475*44/12</f>
        <v>14.271426707131781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42.099645968545829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278.21846622758881</v>
      </c>
      <c r="T112" s="59">
        <f t="shared" si="88"/>
        <v>245.37578316242906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92.770370200935815</v>
      </c>
      <c r="AA112" s="21">
        <f>EXP(-LN(2)/25)*AA111+(1-EXP(-LN(2)/25))/(LN(2)/25)*Calculateur!V112*Calculateur!X112*VLOOKUP('Données projet'!$B$9,Paramètres!$A$1:$I$89,3,0)*0.475*44/12</f>
        <v>16.984580146783689</v>
      </c>
      <c r="AB112" s="21">
        <f>EXP(-LN(2)/2)*AB111+(1-EXP(-LN(2)/2))/(LN(2)/2)*V112*Y112*VLOOKUP('Données projet'!$B$9,Paramètres!$A$1:$I$89,3,0)*0.475*44/12</f>
        <v>5.0376757171043487E-4</v>
      </c>
      <c r="AC112" s="22">
        <f t="shared" si="57"/>
        <v>109.75545411529122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-2.2737367544323206E-13</v>
      </c>
      <c r="AJ112" s="13">
        <f>AI112*VLOOKUP('Données projet'!$B$10,Paramètres!$A$1:$I$89,3,0)*VLOOKUP('Données projet'!$B$10,Paramètres!$A$1:$I$89,5,0)</f>
        <v>-1.3596945791505279E-13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261.13725557061468</v>
      </c>
      <c r="AO112" s="59">
        <f t="shared" si="90"/>
        <v>328.18986868293558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57.008132539867375</v>
      </c>
      <c r="AV112" s="21">
        <f>EXP(-LN(2)/25)*AV111+(1-EXP(-LN(2)/25))/(LN(2)/25)*Calculateur!AQ112*Calculateur!AS112*VLOOKUP('Données projet'!$B$10,Paramètres!$A$1:$I$89,3,0)*0.475*44/12</f>
        <v>10.168206412916764</v>
      </c>
      <c r="AW112" s="21">
        <f>EXP(-LN(2)/2)*AW111+(1-EXP(-LN(2)/2))/(LN(2)/2)*AQ112*AT112*VLOOKUP('Données projet'!$B$10,Paramètres!$A$1:$I$89,3,0)*0.475*44/12</f>
        <v>4.2575029875039594E-7</v>
      </c>
      <c r="AX112" s="21">
        <f t="shared" si="60"/>
        <v>67.176339378534436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5.0961538461538449</v>
      </c>
      <c r="BD112" s="12">
        <f>IF('Données projet'!$A$88&gt;35,BD111+BC112-BL111,IF(A112&lt;'Données projet'!$A$88,$BA$205^A112,IF(A112='Données projet'!$A$88,'Données projet'!$B$88,BD111+BC112-BL111)))</f>
        <v>225.833333333333</v>
      </c>
      <c r="BE112" s="13">
        <f>BD112*VLOOKUP('Données projet'!$B$11,Paramètres!$A$1:$I$89,3,0)*VLOOKUP('Données projet'!$B$11,Paramètres!$A$1:$I$89,5,0)</f>
        <v>228.99499999999969</v>
      </c>
      <c r="BF112" s="13">
        <f t="shared" si="91"/>
        <v>56.065321681745388</v>
      </c>
      <c r="BG112" s="20">
        <f t="shared" si="61"/>
        <v>496.48006026237272</v>
      </c>
      <c r="BH112" s="59">
        <f t="shared" si="62"/>
        <v>789.81339359570597</v>
      </c>
      <c r="BI112" s="59">
        <f ca="1">AVERAGE(OFFSET($BH$3,0,0,'Données projet'!$E$11+1,1))-AVERAGE(OFFSET($H$3,0,0,'Données projet'!$E$11+1,1))</f>
        <v>250.31277422753283</v>
      </c>
      <c r="BJ112" s="59">
        <f t="shared" si="92"/>
        <v>159.20429420478047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31.766853805678576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31.766853805678576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243</v>
      </c>
      <c r="BZ112" s="13">
        <f>BY112*VLOOKUP('Données projet'!$B$12,Paramètres!$A$1:$I$89,3,0)*VLOOKUP('Données projet'!$B$12,Paramètres!$A$1:$I$89,5,0)</f>
        <v>253.98360000000002</v>
      </c>
      <c r="CA112" s="13">
        <f t="shared" si="93"/>
        <v>61.438182405444294</v>
      </c>
      <c r="CB112" s="20">
        <f t="shared" si="64"/>
        <v>549.35960435614891</v>
      </c>
      <c r="CC112" s="59">
        <f t="shared" si="65"/>
        <v>842.69293768948228</v>
      </c>
      <c r="CD112" s="59">
        <f ca="1">AVERAGE(OFFSET($CC$3,0,0,'Données projet'!$E$12+1,1))-AVERAGE(OFFSET($H$3,0,0,'Données projet'!$E$12+1,1))</f>
        <v>322.93502595881938</v>
      </c>
      <c r="CE112" s="59">
        <f t="shared" si="94"/>
        <v>302.67072119588164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27.282524855235472</v>
      </c>
      <c r="CL112" s="21">
        <f>EXP(-LN(2)/25)*CL111+(1-EXP(-LN(2)/25))/(LN(2)/25)*Calculateur!CG112*Calculateur!CI112*VLOOKUP('Données projet'!$B$12,Paramètres!$A$1:$I$89,3,0)*0.475*44/12</f>
        <v>13.88117379332355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41.16369864855902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278.21846622758881</v>
      </c>
      <c r="T113" s="59">
        <f t="shared" si="88"/>
        <v>245.37578316242906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90.951199825634049</v>
      </c>
      <c r="AA113" s="21">
        <f>EXP(-LN(2)/25)*AA112+(1-EXP(-LN(2)/25))/(LN(2)/25)*Calculateur!V113*Calculateur!X113*VLOOKUP('Données projet'!$B$9,Paramètres!$A$1:$I$89,3,0)*0.475*44/12</f>
        <v>16.520135909489639</v>
      </c>
      <c r="AB113" s="21">
        <f>EXP(-LN(2)/2)*AB112+(1-EXP(-LN(2)/2))/(LN(2)/2)*V113*Y113*VLOOKUP('Données projet'!$B$9,Paramètres!$A$1:$I$89,3,0)*0.475*44/12</f>
        <v>3.5621746609832886E-4</v>
      </c>
      <c r="AC113" s="22">
        <f t="shared" si="57"/>
        <v>107.47169195258978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-2.2737367544323206E-13</v>
      </c>
      <c r="AJ113" s="13">
        <f>AI113*VLOOKUP('Données projet'!$B$10,Paramètres!$A$1:$I$89,3,0)*VLOOKUP('Données projet'!$B$10,Paramètres!$A$1:$I$89,5,0)</f>
        <v>-1.3596945791505279E-13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261.13725557061468</v>
      </c>
      <c r="AO113" s="59">
        <f t="shared" si="90"/>
        <v>328.18986868293558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55.890237832288022</v>
      </c>
      <c r="AV113" s="21">
        <f>EXP(-LN(2)/25)*AV112+(1-EXP(-LN(2)/25))/(LN(2)/25)*Calculateur!AQ113*Calculateur!AS113*VLOOKUP('Données projet'!$B$10,Paramètres!$A$1:$I$89,3,0)*0.475*44/12</f>
        <v>9.8901562738328188</v>
      </c>
      <c r="AW113" s="21">
        <f>EXP(-LN(2)/2)*AW112+(1-EXP(-LN(2)/2))/(LN(2)/2)*AQ113*AT113*VLOOKUP('Données projet'!$B$10,Paramètres!$A$1:$I$89,3,0)*0.475*44/12</f>
        <v>3.0105092333860346E-7</v>
      </c>
      <c r="AX113" s="21">
        <f t="shared" si="60"/>
        <v>65.780394407171755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5.0961538461538449</v>
      </c>
      <c r="BD113" s="12">
        <f>IF('Données projet'!$A$88&gt;35,BD112+BC113-BL112,IF(A113&lt;'Données projet'!$A$88,$BA$205^A113,IF(A113='Données projet'!$A$88,'Données projet'!$B$88,BD112+BC113-BL112)))</f>
        <v>230.92948717948684</v>
      </c>
      <c r="BE113" s="13">
        <f>BD113*VLOOKUP('Données projet'!$B$11,Paramètres!$A$1:$I$89,3,0)*VLOOKUP('Données projet'!$B$11,Paramètres!$A$1:$I$89,5,0)</f>
        <v>234.16249999999968</v>
      </c>
      <c r="BF113" s="13">
        <f t="shared" si="91"/>
        <v>57.181769678978526</v>
      </c>
      <c r="BG113" s="20">
        <f t="shared" si="61"/>
        <v>507.42460302422029</v>
      </c>
      <c r="BH113" s="59">
        <f t="shared" si="62"/>
        <v>800.7579363575536</v>
      </c>
      <c r="BI113" s="59">
        <f ca="1">AVERAGE(OFFSET($BH$3,0,0,'Données projet'!$E$11+1,1))-AVERAGE(OFFSET($H$3,0,0,'Données projet'!$E$11+1,1))</f>
        <v>250.31277422753283</v>
      </c>
      <c r="BJ113" s="59">
        <f t="shared" si="92"/>
        <v>159.20429420478047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31.143925178416833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31.143925178416833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243</v>
      </c>
      <c r="BZ113" s="13">
        <f>BY113*VLOOKUP('Données projet'!$B$12,Paramètres!$A$1:$I$89,3,0)*VLOOKUP('Données projet'!$B$12,Paramètres!$A$1:$I$89,5,0)</f>
        <v>253.98360000000002</v>
      </c>
      <c r="CA113" s="13">
        <f t="shared" si="93"/>
        <v>61.438182405444294</v>
      </c>
      <c r="CB113" s="20">
        <f t="shared" si="64"/>
        <v>549.35960435614891</v>
      </c>
      <c r="CC113" s="59">
        <f t="shared" si="65"/>
        <v>842.69293768948228</v>
      </c>
      <c r="CD113" s="59">
        <f ca="1">AVERAGE(OFFSET($CC$3,0,0,'Données projet'!$E$12+1,1))-AVERAGE(OFFSET($H$3,0,0,'Données projet'!$E$12+1,1))</f>
        <v>322.93502595881938</v>
      </c>
      <c r="CE113" s="59">
        <f t="shared" si="94"/>
        <v>302.67072119588164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26.747531183521335</v>
      </c>
      <c r="CL113" s="21">
        <f>EXP(-LN(2)/25)*CL112+(1-EXP(-LN(2)/25))/(LN(2)/25)*Calculateur!CG113*Calculateur!CI113*VLOOKUP('Données projet'!$B$12,Paramètres!$A$1:$I$89,3,0)*0.475*44/12</f>
        <v>13.501592365965912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40.249123549487251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278.21846622758881</v>
      </c>
      <c r="T114" s="59">
        <f t="shared" si="88"/>
        <v>245.37578316242906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89.167702271807585</v>
      </c>
      <c r="AA114" s="21">
        <f>EXP(-LN(2)/25)*AA113+(1-EXP(-LN(2)/25))/(LN(2)/25)*Calculateur!V114*Calculateur!X114*VLOOKUP('Données projet'!$B$9,Paramètres!$A$1:$I$89,3,0)*0.475*44/12</f>
        <v>16.068391924288456</v>
      </c>
      <c r="AB114" s="21">
        <f>EXP(-LN(2)/2)*AB113+(1-EXP(-LN(2)/2))/(LN(2)/2)*V114*Y114*VLOOKUP('Données projet'!$B$9,Paramètres!$A$1:$I$89,3,0)*0.475*44/12</f>
        <v>2.5188378585521743E-4</v>
      </c>
      <c r="AC114" s="22">
        <f t="shared" si="57"/>
        <v>105.2363460798819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-2.2737367544323206E-13</v>
      </c>
      <c r="AJ114" s="13">
        <f>AI114*VLOOKUP('Données projet'!$B$10,Paramètres!$A$1:$I$89,3,0)*VLOOKUP('Données projet'!$B$10,Paramètres!$A$1:$I$89,5,0)</f>
        <v>-1.3596945791505279E-13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261.13725557061468</v>
      </c>
      <c r="AO114" s="59">
        <f t="shared" si="90"/>
        <v>328.18986868293558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54.794264358075857</v>
      </c>
      <c r="AV114" s="21">
        <f>EXP(-LN(2)/25)*AV113+(1-EXP(-LN(2)/25))/(LN(2)/25)*Calculateur!AQ114*Calculateur!AS114*VLOOKUP('Données projet'!$B$10,Paramètres!$A$1:$I$89,3,0)*0.475*44/12</f>
        <v>9.6197094304241464</v>
      </c>
      <c r="AW114" s="21">
        <f>EXP(-LN(2)/2)*AW113+(1-EXP(-LN(2)/2))/(LN(2)/2)*AQ114*AT114*VLOOKUP('Données projet'!$B$10,Paramètres!$A$1:$I$89,3,0)*0.475*44/12</f>
        <v>2.1287514937519797E-7</v>
      </c>
      <c r="AX114" s="21">
        <f t="shared" si="60"/>
        <v>64.413974001375152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5.0961538461538449</v>
      </c>
      <c r="BD114" s="12">
        <f>IF('Données projet'!$A$88&gt;35,BD113+BC114-BL113,IF(A114&lt;'Données projet'!$A$88,$BA$205^A114,IF(A114='Données projet'!$A$88,'Données projet'!$B$88,BD113+BC114-BL113)))</f>
        <v>236.02564102564068</v>
      </c>
      <c r="BE114" s="13">
        <f>BD114*VLOOKUP('Données projet'!$B$11,Paramètres!$A$1:$I$89,3,0)*VLOOKUP('Données projet'!$B$11,Paramètres!$A$1:$I$89,5,0)</f>
        <v>239.32999999999967</v>
      </c>
      <c r="BF114" s="13">
        <f t="shared" si="91"/>
        <v>58.295353272631196</v>
      </c>
      <c r="BG114" s="20">
        <f t="shared" si="61"/>
        <v>518.36415694983214</v>
      </c>
      <c r="BH114" s="59">
        <f t="shared" si="62"/>
        <v>811.69749028316551</v>
      </c>
      <c r="BI114" s="59">
        <f ca="1">AVERAGE(OFFSET($BH$3,0,0,'Données projet'!$E$11+1,1))-AVERAGE(OFFSET($H$3,0,0,'Données projet'!$E$11+1,1))</f>
        <v>250.31277422753283</v>
      </c>
      <c r="BJ114" s="59">
        <f t="shared" si="92"/>
        <v>159.20429420478047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30.533211801586745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30.533211801586745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243</v>
      </c>
      <c r="BZ114" s="13">
        <f>BY114*VLOOKUP('Données projet'!$B$12,Paramètres!$A$1:$I$89,3,0)*VLOOKUP('Données projet'!$B$12,Paramètres!$A$1:$I$89,5,0)</f>
        <v>253.98360000000002</v>
      </c>
      <c r="CA114" s="13">
        <f t="shared" si="93"/>
        <v>61.438182405444294</v>
      </c>
      <c r="CB114" s="20">
        <f t="shared" si="64"/>
        <v>549.35960435614891</v>
      </c>
      <c r="CC114" s="59">
        <f t="shared" si="65"/>
        <v>842.69293768948228</v>
      </c>
      <c r="CD114" s="59">
        <f ca="1">AVERAGE(OFFSET($CC$3,0,0,'Données projet'!$E$12+1,1))-AVERAGE(OFFSET($H$3,0,0,'Données projet'!$E$12+1,1))</f>
        <v>322.93502595881938</v>
      </c>
      <c r="CE114" s="59">
        <f t="shared" si="94"/>
        <v>302.67072119588164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26.223028411395592</v>
      </c>
      <c r="CL114" s="21">
        <f>EXP(-LN(2)/25)*CL113+(1-EXP(-LN(2)/25))/(LN(2)/25)*Calculateur!CG114*Calculateur!CI114*VLOOKUP('Données projet'!$B$12,Paramètres!$A$1:$I$89,3,0)*0.475*44/12</f>
        <v>13.132390612700689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39.355419024096278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278.21846622758881</v>
      </c>
      <c r="T115" s="59">
        <f t="shared" si="88"/>
        <v>245.37578316242906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87.419178017185558</v>
      </c>
      <c r="AA115" s="21">
        <f>EXP(-LN(2)/25)*AA114+(1-EXP(-LN(2)/25))/(LN(2)/25)*Calculateur!V115*Calculateur!X115*VLOOKUP('Données projet'!$B$9,Paramètres!$A$1:$I$89,3,0)*0.475*44/12</f>
        <v>15.629000902118781</v>
      </c>
      <c r="AB115" s="21">
        <f>EXP(-LN(2)/2)*AB114+(1-EXP(-LN(2)/2))/(LN(2)/2)*V115*Y115*VLOOKUP('Données projet'!$B$9,Paramètres!$A$1:$I$89,3,0)*0.475*44/12</f>
        <v>1.7810873304916443E-4</v>
      </c>
      <c r="AC115" s="22">
        <f t="shared" si="57"/>
        <v>103.04835702803739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-2.2737367544323206E-13</v>
      </c>
      <c r="AJ115" s="13">
        <f>AI115*VLOOKUP('Données projet'!$B$10,Paramètres!$A$1:$I$89,3,0)*VLOOKUP('Données projet'!$B$10,Paramètres!$A$1:$I$89,5,0)</f>
        <v>-1.3596945791505279E-13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261.13725557061468</v>
      </c>
      <c r="AO115" s="59">
        <f t="shared" si="90"/>
        <v>328.18986868293558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53.719782255215179</v>
      </c>
      <c r="AV115" s="21">
        <f>EXP(-LN(2)/25)*AV114+(1-EXP(-LN(2)/25))/(LN(2)/25)*Calculateur!AQ115*Calculateur!AS115*VLOOKUP('Données projet'!$B$10,Paramètres!$A$1:$I$89,3,0)*0.475*44/12</f>
        <v>9.3566579701706658</v>
      </c>
      <c r="AW115" s="21">
        <f>EXP(-LN(2)/2)*AW114+(1-EXP(-LN(2)/2))/(LN(2)/2)*AQ115*AT115*VLOOKUP('Données projet'!$B$10,Paramètres!$A$1:$I$89,3,0)*0.475*44/12</f>
        <v>1.5052546166930173E-7</v>
      </c>
      <c r="AX115" s="21">
        <f t="shared" si="60"/>
        <v>63.076440375911304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5.0961538461538449</v>
      </c>
      <c r="BD115" s="12">
        <f>IF('Données projet'!$A$88&gt;35,BD114+BC115-BL114,IF(A115&lt;'Données projet'!$A$88,$BA$205^A115,IF(A115='Données projet'!$A$88,'Données projet'!$B$88,BD114+BC115-BL114)))</f>
        <v>241.12179487179452</v>
      </c>
      <c r="BE115" s="13">
        <f>BD115*VLOOKUP('Données projet'!$B$11,Paramètres!$A$1:$I$89,3,0)*VLOOKUP('Données projet'!$B$11,Paramètres!$A$1:$I$89,5,0)</f>
        <v>244.49749999999963</v>
      </c>
      <c r="BF115" s="13">
        <f t="shared" si="91"/>
        <v>59.406141432653072</v>
      </c>
      <c r="BG115" s="20">
        <f t="shared" si="61"/>
        <v>529.29884216187008</v>
      </c>
      <c r="BH115" s="59">
        <f t="shared" si="62"/>
        <v>822.63217549520346</v>
      </c>
      <c r="BI115" s="59">
        <f ca="1">AVERAGE(OFFSET($BH$3,0,0,'Données projet'!$E$11+1,1))-AVERAGE(OFFSET($H$3,0,0,'Données projet'!$E$11+1,1))</f>
        <v>250.31277422753283</v>
      </c>
      <c r="BJ115" s="59">
        <f t="shared" si="92"/>
        <v>159.20429420478047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29.934474141577919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29.934474141577919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243</v>
      </c>
      <c r="BZ115" s="13">
        <f>BY115*VLOOKUP('Données projet'!$B$12,Paramètres!$A$1:$I$89,3,0)*VLOOKUP('Données projet'!$B$12,Paramètres!$A$1:$I$89,5,0)</f>
        <v>253.98360000000002</v>
      </c>
      <c r="CA115" s="13">
        <f t="shared" si="93"/>
        <v>61.438182405444294</v>
      </c>
      <c r="CB115" s="20">
        <f t="shared" si="64"/>
        <v>549.35960435614891</v>
      </c>
      <c r="CC115" s="59">
        <f t="shared" si="65"/>
        <v>842.69293768948228</v>
      </c>
      <c r="CD115" s="59">
        <f ca="1">AVERAGE(OFFSET($CC$3,0,0,'Données projet'!$E$12+1,1))-AVERAGE(OFFSET($H$3,0,0,'Données projet'!$E$12+1,1))</f>
        <v>322.93502595881938</v>
      </c>
      <c r="CE115" s="59">
        <f t="shared" si="94"/>
        <v>302.67072119588164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25.708810818716135</v>
      </c>
      <c r="CL115" s="21">
        <f>EXP(-LN(2)/25)*CL114+(1-EXP(-LN(2)/25))/(LN(2)/25)*Calculateur!CG115*Calculateur!CI115*VLOOKUP('Données projet'!$B$12,Paramètres!$A$1:$I$89,3,0)*0.475*44/12</f>
        <v>12.773284700793981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38.482095519510118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278.21846622758881</v>
      </c>
      <c r="T116" s="59">
        <f t="shared" si="88"/>
        <v>245.37578316242906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85.704941256702185</v>
      </c>
      <c r="AA116" s="21">
        <f>EXP(-LN(2)/25)*AA115+(1-EXP(-LN(2)/25))/(LN(2)/25)*Calculateur!V116*Calculateur!X116*VLOOKUP('Données projet'!$B$9,Paramètres!$A$1:$I$89,3,0)*0.475*44/12</f>
        <v>15.201625050556906</v>
      </c>
      <c r="AB116" s="21">
        <f>EXP(-LN(2)/2)*AB115+(1-EXP(-LN(2)/2))/(LN(2)/2)*V116*Y116*VLOOKUP('Données projet'!$B$9,Paramètres!$A$1:$I$89,3,0)*0.475*44/12</f>
        <v>1.2594189292760872E-4</v>
      </c>
      <c r="AC116" s="22">
        <f t="shared" si="57"/>
        <v>100.90669224915202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-2.2737367544323206E-13</v>
      </c>
      <c r="AJ116" s="13">
        <f>AI116*VLOOKUP('Données projet'!$B$10,Paramètres!$A$1:$I$89,3,0)*VLOOKUP('Données projet'!$B$10,Paramètres!$A$1:$I$89,5,0)</f>
        <v>-1.3596945791505279E-13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261.13725557061468</v>
      </c>
      <c r="AO116" s="59">
        <f t="shared" si="90"/>
        <v>328.18986868293558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52.66637009102223</v>
      </c>
      <c r="AV116" s="21">
        <f>EXP(-LN(2)/25)*AV115+(1-EXP(-LN(2)/25))/(LN(2)/25)*Calculateur!AQ116*Calculateur!AS116*VLOOKUP('Données projet'!$B$10,Paramètres!$A$1:$I$89,3,0)*0.475*44/12</f>
        <v>9.1007996659310919</v>
      </c>
      <c r="AW116" s="21">
        <f>EXP(-LN(2)/2)*AW115+(1-EXP(-LN(2)/2))/(LN(2)/2)*AQ116*AT116*VLOOKUP('Données projet'!$B$10,Paramètres!$A$1:$I$89,3,0)*0.475*44/12</f>
        <v>1.0643757468759899E-7</v>
      </c>
      <c r="AX116" s="21">
        <f t="shared" si="60"/>
        <v>61.767169863390897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246.21794871794873</v>
      </c>
      <c r="BB116" s="12">
        <f>VLOOKUP(A116,'Données projet'!$A$87:$I$107,9,0)</f>
        <v>5.0961538461538449</v>
      </c>
      <c r="BC116" s="12">
        <f t="array" ref="BC116">INDEX(BB:BB,MIN(IF(ISNUMBER(BB116:BB312),ROW(BB116:BB312),"")))</f>
        <v>5.0961538461538449</v>
      </c>
      <c r="BD116" s="12">
        <f>IF('Données projet'!$A$88&gt;35,BD115+BC116-BL115,IF(A116&lt;'Données projet'!$A$88,$BA$205^A116,IF(A116='Données projet'!$A$88,'Données projet'!$B$88,BD115+BC116-BL115)))</f>
        <v>246.21794871794836</v>
      </c>
      <c r="BE116" s="13">
        <f>BD116*VLOOKUP('Données projet'!$B$11,Paramètres!$A$1:$I$89,3,0)*VLOOKUP('Données projet'!$B$11,Paramètres!$A$1:$I$89,5,0)</f>
        <v>249.66499999999965</v>
      </c>
      <c r="BF116" s="13">
        <f t="shared" si="91"/>
        <v>60.514200047035814</v>
      </c>
      <c r="BG116" s="20">
        <f t="shared" si="61"/>
        <v>540.22877341525339</v>
      </c>
      <c r="BH116" s="59">
        <f t="shared" si="62"/>
        <v>833.56210674858676</v>
      </c>
      <c r="BI116" s="59">
        <f ca="1">AVERAGE(OFFSET($BH$3,0,0,'Données projet'!$E$11+1,1))-AVERAGE(OFFSET($H$3,0,0,'Données projet'!$E$11+1,1))</f>
        <v>250.31277422753283</v>
      </c>
      <c r="BJ116" s="59">
        <f t="shared" si="92"/>
        <v>159.20429420478047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31.602564102564099</v>
      </c>
      <c r="BM116" s="16">
        <f>IF(ISNA(VLOOKUP(A116,'Données projet'!$A$87:$I$107,5,0)),0%,VLOOKUP(A116,'Données projet'!$A$87:$I$107,5,0)*VLOOKUP('Données projet'!$B$11,Paramètres!$A$1:$I$89,7,0))</f>
        <v>0.30099999999999999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40.010341653840101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40.010341653840101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243</v>
      </c>
      <c r="BZ116" s="13">
        <f>BY116*VLOOKUP('Données projet'!$B$12,Paramètres!$A$1:$I$89,3,0)*VLOOKUP('Données projet'!$B$12,Paramètres!$A$1:$I$89,5,0)</f>
        <v>253.98360000000002</v>
      </c>
      <c r="CA116" s="13">
        <f t="shared" si="93"/>
        <v>61.438182405444294</v>
      </c>
      <c r="CB116" s="20">
        <f t="shared" si="64"/>
        <v>549.35960435614891</v>
      </c>
      <c r="CC116" s="59">
        <f t="shared" si="65"/>
        <v>842.69293768948228</v>
      </c>
      <c r="CD116" s="59">
        <f ca="1">AVERAGE(OFFSET($CC$3,0,0,'Données projet'!$E$12+1,1))-AVERAGE(OFFSET($H$3,0,0,'Données projet'!$E$12+1,1))</f>
        <v>322.93502595881938</v>
      </c>
      <c r="CE116" s="59">
        <f t="shared" si="94"/>
        <v>302.67072119588164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25.204676719387358</v>
      </c>
      <c r="CL116" s="21">
        <f>EXP(-LN(2)/25)*CL115+(1-EXP(-LN(2)/25))/(LN(2)/25)*Calculateur!CG116*Calculateur!CI116*VLOOKUP('Données projet'!$B$12,Paramètres!$A$1:$I$89,3,0)*0.475*44/12</f>
        <v>12.42399855893292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37.62867527832028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278.21846622758881</v>
      </c>
      <c r="T117" s="59">
        <f t="shared" si="88"/>
        <v>245.37578316242906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84.024319633510714</v>
      </c>
      <c r="AA117" s="21">
        <f>EXP(-LN(2)/25)*AA116+(1-EXP(-LN(2)/25))/(LN(2)/25)*Calculateur!V117*Calculateur!X117*VLOOKUP('Données projet'!$B$9,Paramètres!$A$1:$I$89,3,0)*0.475*44/12</f>
        <v>14.78593581413071</v>
      </c>
      <c r="AB117" s="21">
        <f>EXP(-LN(2)/2)*AB116+(1-EXP(-LN(2)/2))/(LN(2)/2)*V117*Y117*VLOOKUP('Données projet'!$B$9,Paramètres!$A$1:$I$89,3,0)*0.475*44/12</f>
        <v>8.9054366524582215E-5</v>
      </c>
      <c r="AC117" s="22">
        <f t="shared" si="57"/>
        <v>98.81034450200795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-2.2737367544323206E-13</v>
      </c>
      <c r="AJ117" s="13">
        <f>AI117*VLOOKUP('Données projet'!$B$10,Paramètres!$A$1:$I$89,3,0)*VLOOKUP('Données projet'!$B$10,Paramètres!$A$1:$I$89,5,0)</f>
        <v>-1.3596945791505279E-13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261.13725557061468</v>
      </c>
      <c r="AO117" s="59">
        <f t="shared" si="90"/>
        <v>328.18986868293558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51.633614696851126</v>
      </c>
      <c r="AV117" s="21">
        <f>EXP(-LN(2)/25)*AV116+(1-EXP(-LN(2)/25))/(LN(2)/25)*Calculateur!AQ117*Calculateur!AS117*VLOOKUP('Données projet'!$B$10,Paramètres!$A$1:$I$89,3,0)*0.475*44/12</f>
        <v>8.8519378204759516</v>
      </c>
      <c r="AW117" s="21">
        <f>EXP(-LN(2)/2)*AW116+(1-EXP(-LN(2)/2))/(LN(2)/2)*AQ117*AT117*VLOOKUP('Données projet'!$B$10,Paramètres!$A$1:$I$89,3,0)*0.475*44/12</f>
        <v>7.5262730834650864E-8</v>
      </c>
      <c r="AX117" s="21">
        <f t="shared" si="60"/>
        <v>60.485552592589812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5.3066239316239274</v>
      </c>
      <c r="BD117" s="12">
        <f>IF('Données projet'!$A$88&gt;35,BD116+BC117-BL116,IF(A117&lt;'Données projet'!$A$88,$BA$205^A117,IF(A117='Données projet'!$A$88,'Données projet'!$B$88,BD116+BC117-BL116)))</f>
        <v>219.9220085470082</v>
      </c>
      <c r="BE117" s="13">
        <f>BD117*VLOOKUP('Données projet'!$B$11,Paramètres!$A$1:$I$89,3,0)*VLOOKUP('Données projet'!$B$11,Paramètres!$A$1:$I$89,5,0)</f>
        <v>223.00091666666631</v>
      </c>
      <c r="BF117" s="13">
        <f t="shared" si="91"/>
        <v>54.766604945604634</v>
      </c>
      <c r="BG117" s="20">
        <f t="shared" si="61"/>
        <v>483.77843347470525</v>
      </c>
      <c r="BH117" s="59">
        <f t="shared" si="62"/>
        <v>777.11176680803851</v>
      </c>
      <c r="BI117" s="59">
        <f ca="1">AVERAGE(OFFSET($BH$3,0,0,'Données projet'!$E$11+1,1))-AVERAGE(OFFSET($H$3,0,0,'Données projet'!$E$11+1,1))</f>
        <v>250.31277422753283</v>
      </c>
      <c r="BJ117" s="59">
        <f t="shared" si="92"/>
        <v>159.20429420478047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39.225763257907019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39.225763257907019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243</v>
      </c>
      <c r="BZ117" s="13">
        <f>BY117*VLOOKUP('Données projet'!$B$12,Paramètres!$A$1:$I$89,3,0)*VLOOKUP('Données projet'!$B$12,Paramètres!$A$1:$I$89,5,0)</f>
        <v>253.98360000000002</v>
      </c>
      <c r="CA117" s="13">
        <f t="shared" si="93"/>
        <v>61.438182405444294</v>
      </c>
      <c r="CB117" s="20">
        <f t="shared" si="64"/>
        <v>549.35960435614891</v>
      </c>
      <c r="CC117" s="59">
        <f t="shared" si="65"/>
        <v>842.69293768948228</v>
      </c>
      <c r="CD117" s="59">
        <f ca="1">AVERAGE(OFFSET($CC$3,0,0,'Données projet'!$E$12+1,1))-AVERAGE(OFFSET($H$3,0,0,'Données projet'!$E$12+1,1))</f>
        <v>322.93502595881938</v>
      </c>
      <c r="CE117" s="59">
        <f t="shared" si="94"/>
        <v>302.67072119588164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24.710428382254978</v>
      </c>
      <c r="CL117" s="21">
        <f>EXP(-LN(2)/25)*CL116+(1-EXP(-LN(2)/25))/(LN(2)/25)*Calculateur!CG117*Calculateur!CI117*VLOOKUP('Données projet'!$B$12,Paramètres!$A$1:$I$89,3,0)*0.475*44/12</f>
        <v>12.08426366498921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36.79469204724419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278.21846622758881</v>
      </c>
      <c r="T118" s="59">
        <f t="shared" si="88"/>
        <v>245.37578316242906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82.376653975272049</v>
      </c>
      <c r="AA118" s="21">
        <f>EXP(-LN(2)/25)*AA117+(1-EXP(-LN(2)/25))/(LN(2)/25)*Calculateur!V118*Calculateur!X118*VLOOKUP('Données projet'!$B$9,Paramètres!$A$1:$I$89,3,0)*0.475*44/12</f>
        <v>14.381613621734735</v>
      </c>
      <c r="AB118" s="21">
        <f>EXP(-LN(2)/2)*AB117+(1-EXP(-LN(2)/2))/(LN(2)/2)*V118*Y118*VLOOKUP('Données projet'!$B$9,Paramètres!$A$1:$I$89,3,0)*0.475*44/12</f>
        <v>6.2970946463804359E-5</v>
      </c>
      <c r="AC118" s="22">
        <f t="shared" si="57"/>
        <v>96.758330567953237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-2.2737367544323206E-13</v>
      </c>
      <c r="AJ118" s="13">
        <f>AI118*VLOOKUP('Données projet'!$B$10,Paramètres!$A$1:$I$89,3,0)*VLOOKUP('Données projet'!$B$10,Paramètres!$A$1:$I$89,5,0)</f>
        <v>-1.3596945791505279E-13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261.13725557061468</v>
      </c>
      <c r="AO118" s="59">
        <f t="shared" si="90"/>
        <v>328.18986868293558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50.621111006041126</v>
      </c>
      <c r="AV118" s="21">
        <f>EXP(-LN(2)/25)*AV117+(1-EXP(-LN(2)/25))/(LN(2)/25)*Calculateur!AQ118*Calculateur!AS118*VLOOKUP('Données projet'!$B$10,Paramètres!$A$1:$I$89,3,0)*0.475*44/12</f>
        <v>8.6098811152718575</v>
      </c>
      <c r="AW118" s="21">
        <f>EXP(-LN(2)/2)*AW117+(1-EXP(-LN(2)/2))/(LN(2)/2)*AQ118*AT118*VLOOKUP('Données projet'!$B$10,Paramètres!$A$1:$I$89,3,0)*0.475*44/12</f>
        <v>5.3218787343799493E-8</v>
      </c>
      <c r="AX118" s="21">
        <f t="shared" si="60"/>
        <v>59.230992174531764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5.3066239316239274</v>
      </c>
      <c r="BD118" s="12">
        <f>IF('Données projet'!$A$88&gt;35,BD117+BC118-BL117,IF(A118&lt;'Données projet'!$A$88,$BA$205^A118,IF(A118='Données projet'!$A$88,'Données projet'!$B$88,BD117+BC118-BL117)))</f>
        <v>225.22863247863214</v>
      </c>
      <c r="BE118" s="13">
        <f>BD118*VLOOKUP('Données projet'!$B$11,Paramètres!$A$1:$I$89,3,0)*VLOOKUP('Données projet'!$B$11,Paramètres!$A$1:$I$89,5,0)</f>
        <v>228.38183333333299</v>
      </c>
      <c r="BF118" s="13">
        <f t="shared" si="91"/>
        <v>55.932652422184837</v>
      </c>
      <c r="BG118" s="20">
        <f t="shared" si="61"/>
        <v>495.18106269086019</v>
      </c>
      <c r="BH118" s="59">
        <f t="shared" si="62"/>
        <v>788.5143960241935</v>
      </c>
      <c r="BI118" s="59">
        <f ca="1">AVERAGE(OFFSET($BH$3,0,0,'Données projet'!$E$11+1,1))-AVERAGE(OFFSET($H$3,0,0,'Données projet'!$E$11+1,1))</f>
        <v>250.31277422753283</v>
      </c>
      <c r="BJ118" s="59">
        <f t="shared" si="92"/>
        <v>159.20429420478047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38.456569965772616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38.456569965772616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243</v>
      </c>
      <c r="BZ118" s="13">
        <f>BY118*VLOOKUP('Données projet'!$B$12,Paramètres!$A$1:$I$89,3,0)*VLOOKUP('Données projet'!$B$12,Paramètres!$A$1:$I$89,5,0)</f>
        <v>253.98360000000002</v>
      </c>
      <c r="CA118" s="13">
        <f t="shared" si="93"/>
        <v>61.438182405444294</v>
      </c>
      <c r="CB118" s="20">
        <f t="shared" si="64"/>
        <v>549.35960435614891</v>
      </c>
      <c r="CC118" s="59">
        <f t="shared" si="65"/>
        <v>842.69293768948228</v>
      </c>
      <c r="CD118" s="59">
        <f ca="1">AVERAGE(OFFSET($CC$3,0,0,'Données projet'!$E$12+1,1))-AVERAGE(OFFSET($H$3,0,0,'Données projet'!$E$12+1,1))</f>
        <v>322.93502595881938</v>
      </c>
      <c r="CE118" s="59">
        <f t="shared" si="94"/>
        <v>302.67072119588164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24.225871953552048</v>
      </c>
      <c r="CL118" s="21">
        <f>EXP(-LN(2)/25)*CL117+(1-EXP(-LN(2)/25))/(LN(2)/25)*Calculateur!CG118*Calculateur!CI118*VLOOKUP('Données projet'!$B$12,Paramètres!$A$1:$I$89,3,0)*0.475*44/12</f>
        <v>11.753818839586273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35.979690793138317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278.21846622758881</v>
      </c>
      <c r="T119" s="59">
        <f t="shared" si="88"/>
        <v>245.37578316242906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80.761298035614629</v>
      </c>
      <c r="AA119" s="21">
        <f>EXP(-LN(2)/25)*AA118+(1-EXP(-LN(2)/25))/(LN(2)/25)*Calculateur!V119*Calculateur!X119*VLOOKUP('Données projet'!$B$9,Paramètres!$A$1:$I$89,3,0)*0.475*44/12</f>
        <v>13.988347640952208</v>
      </c>
      <c r="AB119" s="21">
        <f>EXP(-LN(2)/2)*AB118+(1-EXP(-LN(2)/2))/(LN(2)/2)*V119*Y119*VLOOKUP('Données projet'!$B$9,Paramètres!$A$1:$I$89,3,0)*0.475*44/12</f>
        <v>4.4527183262291107E-5</v>
      </c>
      <c r="AC119" s="22">
        <f t="shared" si="57"/>
        <v>94.749690203750106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-2.2737367544323206E-13</v>
      </c>
      <c r="AJ119" s="13">
        <f>AI119*VLOOKUP('Données projet'!$B$10,Paramètres!$A$1:$I$89,3,0)*VLOOKUP('Données projet'!$B$10,Paramètres!$A$1:$I$89,5,0)</f>
        <v>-1.3596945791505279E-13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261.13725557061468</v>
      </c>
      <c r="AO119" s="59">
        <f t="shared" si="90"/>
        <v>328.18986868293558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49.628461895041639</v>
      </c>
      <c r="AV119" s="21">
        <f>EXP(-LN(2)/25)*AV118+(1-EXP(-LN(2)/25))/(LN(2)/25)*Calculateur!AQ119*Calculateur!AS119*VLOOKUP('Données projet'!$B$10,Paramètres!$A$1:$I$89,3,0)*0.475*44/12</f>
        <v>8.3744434634007785</v>
      </c>
      <c r="AW119" s="21">
        <f>EXP(-LN(2)/2)*AW118+(1-EXP(-LN(2)/2))/(LN(2)/2)*AQ119*AT119*VLOOKUP('Données projet'!$B$10,Paramètres!$A$1:$I$89,3,0)*0.475*44/12</f>
        <v>3.7631365417325432E-8</v>
      </c>
      <c r="AX119" s="21">
        <f t="shared" si="60"/>
        <v>58.002905396073785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5.3066239316239274</v>
      </c>
      <c r="BD119" s="12">
        <f>IF('Données projet'!$A$88&gt;35,BD118+BC119-BL118,IF(A119&lt;'Données projet'!$A$88,$BA$205^A119,IF(A119='Données projet'!$A$88,'Données projet'!$B$88,BD118+BC119-BL118)))</f>
        <v>230.53525641025607</v>
      </c>
      <c r="BE119" s="13">
        <f>BD119*VLOOKUP('Données projet'!$B$11,Paramètres!$A$1:$I$89,3,0)*VLOOKUP('Données projet'!$B$11,Paramètres!$A$1:$I$89,5,0)</f>
        <v>233.76274999999964</v>
      </c>
      <c r="BF119" s="13">
        <f t="shared" si="91"/>
        <v>57.095506074599044</v>
      </c>
      <c r="BG119" s="20">
        <f t="shared" si="61"/>
        <v>506.57812932992596</v>
      </c>
      <c r="BH119" s="59">
        <f t="shared" si="62"/>
        <v>799.91146266325927</v>
      </c>
      <c r="BI119" s="59">
        <f ca="1">AVERAGE(OFFSET($BH$3,0,0,'Données projet'!$E$11+1,1))-AVERAGE(OFFSET($H$3,0,0,'Données projet'!$E$11+1,1))</f>
        <v>250.31277422753283</v>
      </c>
      <c r="BJ119" s="59">
        <f t="shared" si="92"/>
        <v>159.20429420478047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37.702460084935389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37.702460084935389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243</v>
      </c>
      <c r="BZ119" s="13">
        <f>BY119*VLOOKUP('Données projet'!$B$12,Paramètres!$A$1:$I$89,3,0)*VLOOKUP('Données projet'!$B$12,Paramètres!$A$1:$I$89,5,0)</f>
        <v>253.98360000000002</v>
      </c>
      <c r="CA119" s="13">
        <f t="shared" si="93"/>
        <v>61.438182405444294</v>
      </c>
      <c r="CB119" s="20">
        <f t="shared" si="64"/>
        <v>549.35960435614891</v>
      </c>
      <c r="CC119" s="59">
        <f t="shared" si="65"/>
        <v>842.69293768948228</v>
      </c>
      <c r="CD119" s="59">
        <f ca="1">AVERAGE(OFFSET($CC$3,0,0,'Données projet'!$E$12+1,1))-AVERAGE(OFFSET($H$3,0,0,'Données projet'!$E$12+1,1))</f>
        <v>322.93502595881938</v>
      </c>
      <c r="CE119" s="59">
        <f t="shared" si="94"/>
        <v>302.67072119588164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23.750817380865744</v>
      </c>
      <c r="CL119" s="21">
        <f>EXP(-LN(2)/25)*CL118+(1-EXP(-LN(2)/25))/(LN(2)/25)*Calculateur!CG119*Calculateur!CI119*VLOOKUP('Données projet'!$B$12,Paramètres!$A$1:$I$89,3,0)*0.475*44/12</f>
        <v>11.432410045311318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35.183227426177062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278.21846622758881</v>
      </c>
      <c r="T120" s="59">
        <f t="shared" si="88"/>
        <v>245.37578316242906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79.17761824066406</v>
      </c>
      <c r="AA120" s="21">
        <f>EXP(-LN(2)/25)*AA119+(1-EXP(-LN(2)/25))/(LN(2)/25)*Calculateur!V120*Calculateur!X120*VLOOKUP('Données projet'!$B$9,Paramètres!$A$1:$I$89,3,0)*0.475*44/12</f>
        <v>13.605835539095137</v>
      </c>
      <c r="AB120" s="21">
        <f>EXP(-LN(2)/2)*AB119+(1-EXP(-LN(2)/2))/(LN(2)/2)*V120*Y120*VLOOKUP('Données projet'!$B$9,Paramètres!$A$1:$I$89,3,0)*0.475*44/12</f>
        <v>3.1485473231902179E-5</v>
      </c>
      <c r="AC120" s="22">
        <f t="shared" si="57"/>
        <v>92.783485265232429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-2.2737367544323206E-13</v>
      </c>
      <c r="AJ120" s="13">
        <f>AI120*VLOOKUP('Données projet'!$B$10,Paramètres!$A$1:$I$89,3,0)*VLOOKUP('Données projet'!$B$10,Paramètres!$A$1:$I$89,5,0)</f>
        <v>-1.3596945791505279E-13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261.13725557061468</v>
      </c>
      <c r="AO120" s="59">
        <f t="shared" si="90"/>
        <v>328.18986868293558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48.655278027652678</v>
      </c>
      <c r="AV120" s="21">
        <f>EXP(-LN(2)/25)*AV119+(1-EXP(-LN(2)/25))/(LN(2)/25)*Calculateur!AQ120*Calculateur!AS120*VLOOKUP('Données projet'!$B$10,Paramètres!$A$1:$I$89,3,0)*0.475*44/12</f>
        <v>8.1454438665012425</v>
      </c>
      <c r="AW120" s="21">
        <f>EXP(-LN(2)/2)*AW119+(1-EXP(-LN(2)/2))/(LN(2)/2)*AQ120*AT120*VLOOKUP('Données projet'!$B$10,Paramètres!$A$1:$I$89,3,0)*0.475*44/12</f>
        <v>2.6609393671899747E-8</v>
      </c>
      <c r="AX120" s="21">
        <f t="shared" si="60"/>
        <v>56.800721920763316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5.3066239316239274</v>
      </c>
      <c r="BD120" s="12">
        <f>IF('Données projet'!$A$88&gt;35,BD119+BC120-BL119,IF(A120&lt;'Données projet'!$A$88,$BA$205^A120,IF(A120='Données projet'!$A$88,'Données projet'!$B$88,BD119+BC120-BL119)))</f>
        <v>235.84188034188</v>
      </c>
      <c r="BE120" s="13">
        <f>BD120*VLOOKUP('Données projet'!$B$11,Paramètres!$A$1:$I$89,3,0)*VLOOKUP('Données projet'!$B$11,Paramètres!$A$1:$I$89,5,0)</f>
        <v>239.14366666666635</v>
      </c>
      <c r="BF120" s="13">
        <f t="shared" si="91"/>
        <v>58.255247882792112</v>
      </c>
      <c r="BG120" s="20">
        <f t="shared" si="61"/>
        <v>517.96977617364007</v>
      </c>
      <c r="BH120" s="59">
        <f t="shared" si="62"/>
        <v>811.30310950697344</v>
      </c>
      <c r="BI120" s="59">
        <f ca="1">AVERAGE(OFFSET($BH$3,0,0,'Données projet'!$E$11+1,1))-AVERAGE(OFFSET($H$3,0,0,'Données projet'!$E$11+1,1))</f>
        <v>250.31277422753283</v>
      </c>
      <c r="BJ120" s="59">
        <f t="shared" si="92"/>
        <v>159.20429420478047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36.963137838899769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36.963137838899769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243</v>
      </c>
      <c r="BZ120" s="13">
        <f>BY120*VLOOKUP('Données projet'!$B$12,Paramètres!$A$1:$I$89,3,0)*VLOOKUP('Données projet'!$B$12,Paramètres!$A$1:$I$89,5,0)</f>
        <v>253.98360000000002</v>
      </c>
      <c r="CA120" s="13">
        <f t="shared" si="93"/>
        <v>61.438182405444294</v>
      </c>
      <c r="CB120" s="20">
        <f t="shared" si="64"/>
        <v>549.35960435614891</v>
      </c>
      <c r="CC120" s="59">
        <f t="shared" si="65"/>
        <v>842.69293768948228</v>
      </c>
      <c r="CD120" s="59">
        <f ca="1">AVERAGE(OFFSET($CC$3,0,0,'Données projet'!$E$12+1,1))-AVERAGE(OFFSET($H$3,0,0,'Données projet'!$E$12+1,1))</f>
        <v>322.93502595881938</v>
      </c>
      <c r="CE120" s="59">
        <f t="shared" si="94"/>
        <v>302.67072119588164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23.285078338595138</v>
      </c>
      <c r="CL120" s="21">
        <f>EXP(-LN(2)/25)*CL119+(1-EXP(-LN(2)/25))/(LN(2)/25)*Calculateur!CG120*Calculateur!CI120*VLOOKUP('Données projet'!$B$12,Paramètres!$A$1:$I$89,3,0)*0.475*44/12</f>
        <v>11.119790191417964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34.404868530013104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278.21846622758881</v>
      </c>
      <c r="T121" s="59">
        <f t="shared" si="88"/>
        <v>245.37578316242906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77.624993440543165</v>
      </c>
      <c r="AA121" s="21">
        <f>EXP(-LN(2)/25)*AA120+(1-EXP(-LN(2)/25))/(LN(2)/25)*Calculateur!V121*Calculateur!X121*VLOOKUP('Données projet'!$B$9,Paramètres!$A$1:$I$89,3,0)*0.475*44/12</f>
        <v>13.233783250778787</v>
      </c>
      <c r="AB121" s="21">
        <f>EXP(-LN(2)/2)*AB120+(1-EXP(-LN(2)/2))/(LN(2)/2)*V121*Y121*VLOOKUP('Données projet'!$B$9,Paramètres!$A$1:$I$89,3,0)*0.475*44/12</f>
        <v>2.2263591631145554E-5</v>
      </c>
      <c r="AC121" s="22">
        <f t="shared" si="57"/>
        <v>90.858798954913581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-2.2737367544323206E-13</v>
      </c>
      <c r="AJ121" s="13">
        <f>AI121*VLOOKUP('Données projet'!$B$10,Paramètres!$A$1:$I$89,3,0)*VLOOKUP('Données projet'!$B$10,Paramètres!$A$1:$I$89,5,0)</f>
        <v>-1.3596945791505279E-13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261.13725557061468</v>
      </c>
      <c r="AO121" s="59">
        <f t="shared" si="90"/>
        <v>328.18986868293558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47.701177702319669</v>
      </c>
      <c r="AV121" s="21">
        <f>EXP(-LN(2)/25)*AV120+(1-EXP(-LN(2)/25))/(LN(2)/25)*Calculateur!AQ121*Calculateur!AS121*VLOOKUP('Données projet'!$B$10,Paramètres!$A$1:$I$89,3,0)*0.475*44/12</f>
        <v>7.9227062756214899</v>
      </c>
      <c r="AW121" s="21">
        <f>EXP(-LN(2)/2)*AW120+(1-EXP(-LN(2)/2))/(LN(2)/2)*AQ121*AT121*VLOOKUP('Données projet'!$B$10,Paramètres!$A$1:$I$89,3,0)*0.475*44/12</f>
        <v>1.8815682708662716E-8</v>
      </c>
      <c r="AX121" s="21">
        <f t="shared" si="60"/>
        <v>55.623883996756845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5.3066239316239274</v>
      </c>
      <c r="BD121" s="12">
        <f>IF('Données projet'!$A$88&gt;35,BD120+BC121-BL120,IF(A121&lt;'Données projet'!$A$88,$BA$205^A121,IF(A121='Données projet'!$A$88,'Données projet'!$B$88,BD120+BC121-BL120)))</f>
        <v>241.14850427350393</v>
      </c>
      <c r="BE121" s="13">
        <f>BD121*VLOOKUP('Données projet'!$B$11,Paramètres!$A$1:$I$89,3,0)*VLOOKUP('Données projet'!$B$11,Paramètres!$A$1:$I$89,5,0)</f>
        <v>244.52458333333303</v>
      </c>
      <c r="BF121" s="13">
        <f t="shared" si="91"/>
        <v>59.41195592689057</v>
      </c>
      <c r="BG121" s="20">
        <f t="shared" si="61"/>
        <v>529.35613921155607</v>
      </c>
      <c r="BH121" s="59">
        <f t="shared" si="62"/>
        <v>822.68947254488944</v>
      </c>
      <c r="BI121" s="59">
        <f ca="1">AVERAGE(OFFSET($BH$3,0,0,'Données projet'!$E$11+1,1))-AVERAGE(OFFSET($H$3,0,0,'Données projet'!$E$11+1,1))</f>
        <v>250.31277422753283</v>
      </c>
      <c r="BJ121" s="59">
        <f t="shared" si="92"/>
        <v>159.20429420478047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36.238313251166865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36.238313251166865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243</v>
      </c>
      <c r="BZ121" s="13">
        <f>BY121*VLOOKUP('Données projet'!$B$12,Paramètres!$A$1:$I$89,3,0)*VLOOKUP('Données projet'!$B$12,Paramètres!$A$1:$I$89,5,0)</f>
        <v>253.98360000000002</v>
      </c>
      <c r="CA121" s="13">
        <f t="shared" si="93"/>
        <v>61.438182405444294</v>
      </c>
      <c r="CB121" s="20">
        <f t="shared" si="64"/>
        <v>549.35960435614891</v>
      </c>
      <c r="CC121" s="59">
        <f t="shared" si="65"/>
        <v>842.69293768948228</v>
      </c>
      <c r="CD121" s="59">
        <f ca="1">AVERAGE(OFFSET($CC$3,0,0,'Données projet'!$E$12+1,1))-AVERAGE(OFFSET($H$3,0,0,'Données projet'!$E$12+1,1))</f>
        <v>322.93502595881938</v>
      </c>
      <c r="CE121" s="59">
        <f t="shared" si="94"/>
        <v>302.67072119588164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22.828472154870695</v>
      </c>
      <c r="CL121" s="21">
        <f>EXP(-LN(2)/25)*CL120+(1-EXP(-LN(2)/25))/(LN(2)/25)*Calculateur!CG121*Calculateur!CI121*VLOOKUP('Données projet'!$B$12,Paramètres!$A$1:$I$89,3,0)*0.475*44/12</f>
        <v>10.815718943869289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33.644191098739981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278.21846622758881</v>
      </c>
      <c r="T122" s="59">
        <f t="shared" si="88"/>
        <v>245.37578316242906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76.102814665745029</v>
      </c>
      <c r="AA122" s="21">
        <f>EXP(-LN(2)/25)*AA121+(1-EXP(-LN(2)/25))/(LN(2)/25)*Calculateur!V122*Calculateur!X122*VLOOKUP('Données projet'!$B$9,Paramètres!$A$1:$I$89,3,0)*0.475*44/12</f>
        <v>12.871904751851826</v>
      </c>
      <c r="AB122" s="21">
        <f>EXP(-LN(2)/2)*AB121+(1-EXP(-LN(2)/2))/(LN(2)/2)*V122*Y122*VLOOKUP('Données projet'!$B$9,Paramètres!$A$1:$I$89,3,0)*0.475*44/12</f>
        <v>1.574273661595109E-5</v>
      </c>
      <c r="AC122" s="22">
        <f t="shared" si="57"/>
        <v>88.974735160333481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-2.2737367544323206E-13</v>
      </c>
      <c r="AJ122" s="13">
        <f>AI122*VLOOKUP('Données projet'!$B$10,Paramètres!$A$1:$I$89,3,0)*VLOOKUP('Données projet'!$B$10,Paramètres!$A$1:$I$89,5,0)</f>
        <v>-1.3596945791505279E-13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261.13725557061468</v>
      </c>
      <c r="AO122" s="59">
        <f t="shared" si="90"/>
        <v>328.18986868293558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46.765786702422702</v>
      </c>
      <c r="AV122" s="21">
        <f>EXP(-LN(2)/25)*AV121+(1-EXP(-LN(2)/25))/(LN(2)/25)*Calculateur!AQ122*Calculateur!AS122*VLOOKUP('Données projet'!$B$10,Paramètres!$A$1:$I$89,3,0)*0.475*44/12</f>
        <v>7.7060594558776048</v>
      </c>
      <c r="AW122" s="21">
        <f>EXP(-LN(2)/2)*AW121+(1-EXP(-LN(2)/2))/(LN(2)/2)*AQ122*AT122*VLOOKUP('Données projet'!$B$10,Paramètres!$A$1:$I$89,3,0)*0.475*44/12</f>
        <v>1.3304696835949873E-8</v>
      </c>
      <c r="AX122" s="21">
        <f t="shared" si="60"/>
        <v>54.471846171605009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5.3066239316239274</v>
      </c>
      <c r="BD122" s="12">
        <f>IF('Données projet'!$A$88&gt;35,BD121+BC122-BL121,IF(A122&lt;'Données projet'!$A$88,$BA$205^A122,IF(A122='Données projet'!$A$88,'Données projet'!$B$88,BD121+BC122-BL121)))</f>
        <v>246.45512820512786</v>
      </c>
      <c r="BE122" s="13">
        <f>BD122*VLOOKUP('Données projet'!$B$11,Paramètres!$A$1:$I$89,3,0)*VLOOKUP('Données projet'!$B$11,Paramètres!$A$1:$I$89,5,0)</f>
        <v>249.90549999999968</v>
      </c>
      <c r="BF122" s="13">
        <f t="shared" si="91"/>
        <v>60.565704654390196</v>
      </c>
      <c r="BG122" s="20">
        <f t="shared" si="61"/>
        <v>540.73734810639564</v>
      </c>
      <c r="BH122" s="59">
        <f t="shared" si="62"/>
        <v>834.07068143972901</v>
      </c>
      <c r="BI122" s="59">
        <f ca="1">AVERAGE(OFFSET($BH$3,0,0,'Données projet'!$E$11+1,1))-AVERAGE(OFFSET($H$3,0,0,'Données projet'!$E$11+1,1))</f>
        <v>250.31277422753283</v>
      </c>
      <c r="BJ122" s="59">
        <f t="shared" si="92"/>
        <v>159.20429420478047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35.527702031500056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35.527702031500056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243</v>
      </c>
      <c r="BZ122" s="13">
        <f>BY122*VLOOKUP('Données projet'!$B$12,Paramètres!$A$1:$I$89,3,0)*VLOOKUP('Données projet'!$B$12,Paramètres!$A$1:$I$89,5,0)</f>
        <v>253.98360000000002</v>
      </c>
      <c r="CA122" s="13">
        <f t="shared" si="93"/>
        <v>61.438182405444294</v>
      </c>
      <c r="CB122" s="20">
        <f t="shared" si="64"/>
        <v>549.35960435614891</v>
      </c>
      <c r="CC122" s="59">
        <f t="shared" si="65"/>
        <v>842.69293768948228</v>
      </c>
      <c r="CD122" s="59">
        <f ca="1">AVERAGE(OFFSET($CC$3,0,0,'Données projet'!$E$12+1,1))-AVERAGE(OFFSET($H$3,0,0,'Données projet'!$E$12+1,1))</f>
        <v>322.93502595881938</v>
      </c>
      <c r="CE122" s="59">
        <f t="shared" si="94"/>
        <v>302.67072119588164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22.380819739906816</v>
      </c>
      <c r="CL122" s="21">
        <f>EXP(-LN(2)/25)*CL121+(1-EXP(-LN(2)/25))/(LN(2)/25)*Calculateur!CG122*Calculateur!CI122*VLOOKUP('Données projet'!$B$12,Paramètres!$A$1:$I$89,3,0)*0.475*44/12</f>
        <v>10.519962540575243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32.900782280482062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278.21846622758881</v>
      </c>
      <c r="T123" s="59">
        <f t="shared" si="88"/>
        <v>245.37578316242906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74.61048488828331</v>
      </c>
      <c r="AA123" s="21">
        <f>EXP(-LN(2)/25)*AA122+(1-EXP(-LN(2)/25))/(LN(2)/25)*Calculateur!V123*Calculateur!X123*VLOOKUP('Données projet'!$B$9,Paramètres!$A$1:$I$89,3,0)*0.475*44/12</f>
        <v>12.519921839508386</v>
      </c>
      <c r="AB123" s="21">
        <f>EXP(-LN(2)/2)*AB122+(1-EXP(-LN(2)/2))/(LN(2)/2)*V123*Y123*VLOOKUP('Données projet'!$B$9,Paramètres!$A$1:$I$89,3,0)*0.475*44/12</f>
        <v>1.1131795815572777E-5</v>
      </c>
      <c r="AC123" s="22">
        <f t="shared" si="57"/>
        <v>87.13041785958751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-2.2737367544323206E-13</v>
      </c>
      <c r="AJ123" s="13">
        <f>AI123*VLOOKUP('Données projet'!$B$10,Paramètres!$A$1:$I$89,3,0)*VLOOKUP('Données projet'!$B$10,Paramètres!$A$1:$I$89,5,0)</f>
        <v>-1.3596945791505279E-13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261.13725557061468</v>
      </c>
      <c r="AO123" s="59">
        <f t="shared" si="90"/>
        <v>328.18986868293558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45.848738149501536</v>
      </c>
      <c r="AV123" s="21">
        <f>EXP(-LN(2)/25)*AV122+(1-EXP(-LN(2)/25))/(LN(2)/25)*Calculateur!AQ123*Calculateur!AS123*VLOOKUP('Données projet'!$B$10,Paramètres!$A$1:$I$89,3,0)*0.475*44/12</f>
        <v>7.4953368548125772</v>
      </c>
      <c r="AW123" s="21">
        <f>EXP(-LN(2)/2)*AW122+(1-EXP(-LN(2)/2))/(LN(2)/2)*AQ123*AT123*VLOOKUP('Données projet'!$B$10,Paramètres!$A$1:$I$89,3,0)*0.475*44/12</f>
        <v>9.4078413543313581E-9</v>
      </c>
      <c r="AX123" s="21">
        <f t="shared" si="60"/>
        <v>53.344075013721955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5.3066239316239274</v>
      </c>
      <c r="BD123" s="12">
        <f>IF('Données projet'!$A$88&gt;35,BD122+BC123-BL122,IF(A123&lt;'Données projet'!$A$88,$BA$205^A123,IF(A123='Données projet'!$A$88,'Données projet'!$B$88,BD122+BC123-BL122)))</f>
        <v>251.7617521367518</v>
      </c>
      <c r="BE123" s="13">
        <f>BD123*VLOOKUP('Données projet'!$B$11,Paramètres!$A$1:$I$89,3,0)*VLOOKUP('Données projet'!$B$11,Paramètres!$A$1:$I$89,5,0)</f>
        <v>255.28641666666636</v>
      </c>
      <c r="BF123" s="13">
        <f t="shared" si="91"/>
        <v>61.716565123681811</v>
      </c>
      <c r="BG123" s="20">
        <f t="shared" si="61"/>
        <v>552.11352661818967</v>
      </c>
      <c r="BH123" s="59">
        <f t="shared" si="62"/>
        <v>845.44685995152304</v>
      </c>
      <c r="BI123" s="59">
        <f ca="1">AVERAGE(OFFSET($BH$3,0,0,'Données projet'!$E$11+1,1))-AVERAGE(OFFSET($H$3,0,0,'Données projet'!$E$11+1,1))</f>
        <v>250.31277422753283</v>
      </c>
      <c r="BJ123" s="59">
        <f t="shared" si="92"/>
        <v>159.20429420478047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34.831025464420868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34.831025464420868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243</v>
      </c>
      <c r="BZ123" s="13">
        <f>BY123*VLOOKUP('Données projet'!$B$12,Paramètres!$A$1:$I$89,3,0)*VLOOKUP('Données projet'!$B$12,Paramètres!$A$1:$I$89,5,0)</f>
        <v>253.98360000000002</v>
      </c>
      <c r="CA123" s="13">
        <f t="shared" si="93"/>
        <v>61.438182405444294</v>
      </c>
      <c r="CB123" s="20">
        <f t="shared" si="64"/>
        <v>549.35960435614891</v>
      </c>
      <c r="CC123" s="59">
        <f t="shared" si="65"/>
        <v>842.69293768948228</v>
      </c>
      <c r="CD123" s="59">
        <f ca="1">AVERAGE(OFFSET($CC$3,0,0,'Données projet'!$E$12+1,1))-AVERAGE(OFFSET($H$3,0,0,'Données projet'!$E$12+1,1))</f>
        <v>322.93502595881938</v>
      </c>
      <c r="CE123" s="59">
        <f t="shared" si="94"/>
        <v>302.67072119588164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21.941945515759365</v>
      </c>
      <c r="CL123" s="21">
        <f>EXP(-LN(2)/25)*CL122+(1-EXP(-LN(2)/25))/(LN(2)/25)*Calculateur!CG123*Calculateur!CI123*VLOOKUP('Données projet'!$B$12,Paramètres!$A$1:$I$89,3,0)*0.475*44/12</f>
        <v>10.232293611682426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32.174239127441794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278.21846622758881</v>
      </c>
      <c r="T124" s="59">
        <f t="shared" si="88"/>
        <v>245.37578316242906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73.14741878752632</v>
      </c>
      <c r="AA124" s="21">
        <f>EXP(-LN(2)/25)*AA123+(1-EXP(-LN(2)/25))/(LN(2)/25)*Calculateur!V124*Calculateur!X124*VLOOKUP('Données projet'!$B$9,Paramètres!$A$1:$I$89,3,0)*0.475*44/12</f>
        <v>12.177563918412956</v>
      </c>
      <c r="AB124" s="21">
        <f>EXP(-LN(2)/2)*AB123+(1-EXP(-LN(2)/2))/(LN(2)/2)*V124*Y124*VLOOKUP('Données projet'!$B$9,Paramètres!$A$1:$I$89,3,0)*0.475*44/12</f>
        <v>7.8713683079755448E-6</v>
      </c>
      <c r="AC124" s="22">
        <f t="shared" si="57"/>
        <v>85.324990577307588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-2.2737367544323206E-13</v>
      </c>
      <c r="AJ124" s="13">
        <f>AI124*VLOOKUP('Données projet'!$B$10,Paramètres!$A$1:$I$89,3,0)*VLOOKUP('Données projet'!$B$10,Paramètres!$A$1:$I$89,5,0)</f>
        <v>-1.3596945791505279E-13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261.13725557061468</v>
      </c>
      <c r="AO124" s="59">
        <f t="shared" si="90"/>
        <v>328.18986868293558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44.949672359358772</v>
      </c>
      <c r="AV124" s="21">
        <f>EXP(-LN(2)/25)*AV123+(1-EXP(-LN(2)/25))/(LN(2)/25)*Calculateur!AQ124*Calculateur!AS124*VLOOKUP('Données projet'!$B$10,Paramètres!$A$1:$I$89,3,0)*0.475*44/12</f>
        <v>7.2903764743550932</v>
      </c>
      <c r="AW124" s="21">
        <f>EXP(-LN(2)/2)*AW123+(1-EXP(-LN(2)/2))/(LN(2)/2)*AQ124*AT124*VLOOKUP('Données projet'!$B$10,Paramètres!$A$1:$I$89,3,0)*0.475*44/12</f>
        <v>6.6523484179749366E-9</v>
      </c>
      <c r="AX124" s="21">
        <f t="shared" si="60"/>
        <v>52.240048840366214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5.3066239316239274</v>
      </c>
      <c r="BD124" s="12">
        <f>IF('Données projet'!$A$88&gt;35,BD123+BC124-BL123,IF(A124&lt;'Données projet'!$A$88,$BA$205^A124,IF(A124='Données projet'!$A$88,'Données projet'!$B$88,BD123+BC124-BL123)))</f>
        <v>257.0683760683757</v>
      </c>
      <c r="BE124" s="13">
        <f>BD124*VLOOKUP('Données projet'!$B$11,Paramètres!$A$1:$I$89,3,0)*VLOOKUP('Données projet'!$B$11,Paramètres!$A$1:$I$89,5,0)</f>
        <v>260.66733333333298</v>
      </c>
      <c r="BF124" s="13">
        <f t="shared" si="91"/>
        <v>62.864605226466139</v>
      </c>
      <c r="BG124" s="20">
        <f t="shared" si="61"/>
        <v>563.48479299165012</v>
      </c>
      <c r="BH124" s="59">
        <f t="shared" si="62"/>
        <v>856.8181263249835</v>
      </c>
      <c r="BI124" s="59">
        <f ca="1">AVERAGE(OFFSET($BH$3,0,0,'Données projet'!$E$11+1,1))-AVERAGE(OFFSET($H$3,0,0,'Données projet'!$E$11+1,1))</f>
        <v>250.31277422753283</v>
      </c>
      <c r="BJ124" s="59">
        <f t="shared" si="92"/>
        <v>159.20429420478047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34.148010299891354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34.148010299891354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243</v>
      </c>
      <c r="BZ124" s="13">
        <f>BY124*VLOOKUP('Données projet'!$B$12,Paramètres!$A$1:$I$89,3,0)*VLOOKUP('Données projet'!$B$12,Paramètres!$A$1:$I$89,5,0)</f>
        <v>253.98360000000002</v>
      </c>
      <c r="CA124" s="13">
        <f t="shared" si="93"/>
        <v>61.438182405444294</v>
      </c>
      <c r="CB124" s="20">
        <f t="shared" si="64"/>
        <v>549.35960435614891</v>
      </c>
      <c r="CC124" s="59">
        <f t="shared" si="65"/>
        <v>842.69293768948228</v>
      </c>
      <c r="CD124" s="59">
        <f ca="1">AVERAGE(OFFSET($CC$3,0,0,'Données projet'!$E$12+1,1))-AVERAGE(OFFSET($H$3,0,0,'Données projet'!$E$12+1,1))</f>
        <v>322.93502595881938</v>
      </c>
      <c r="CE124" s="59">
        <f t="shared" si="94"/>
        <v>302.67072119588164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21.511677347460601</v>
      </c>
      <c r="CL124" s="21">
        <f>EXP(-LN(2)/25)*CL123+(1-EXP(-LN(2)/25))/(LN(2)/25)*Calculateur!CG124*Calculateur!CI124*VLOOKUP('Données projet'!$B$12,Paramètres!$A$1:$I$89,3,0)*0.475*44/12</f>
        <v>9.9524910047780359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31.464168352238637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278.21846622758881</v>
      </c>
      <c r="T125" s="59">
        <f t="shared" si="88"/>
        <v>245.37578316242906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71.713042520622977</v>
      </c>
      <c r="AA125" s="21">
        <f>EXP(-LN(2)/25)*AA124+(1-EXP(-LN(2)/25))/(LN(2)/25)*Calculateur!V125*Calculateur!X125*VLOOKUP('Données projet'!$B$9,Paramètres!$A$1:$I$89,3,0)*0.475*44/12</f>
        <v>11.844567792673699</v>
      </c>
      <c r="AB125" s="21">
        <f>EXP(-LN(2)/2)*AB124+(1-EXP(-LN(2)/2))/(LN(2)/2)*V125*Y125*VLOOKUP('Données projet'!$B$9,Paramètres!$A$1:$I$89,3,0)*0.475*44/12</f>
        <v>5.5658979077863884E-6</v>
      </c>
      <c r="AC125" s="22">
        <f t="shared" si="57"/>
        <v>83.557615879194586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-2.2737367544323206E-13</v>
      </c>
      <c r="AJ125" s="13">
        <f>AI125*VLOOKUP('Données projet'!$B$10,Paramètres!$A$1:$I$89,3,0)*VLOOKUP('Données projet'!$B$10,Paramètres!$A$1:$I$89,5,0)</f>
        <v>-1.3596945791505279E-13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261.13725557061468</v>
      </c>
      <c r="AO125" s="59">
        <f t="shared" si="90"/>
        <v>328.18986868293558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44.06823670098472</v>
      </c>
      <c r="AV125" s="21">
        <f>EXP(-LN(2)/25)*AV124+(1-EXP(-LN(2)/25))/(LN(2)/25)*Calculateur!AQ125*Calculateur!AS125*VLOOKUP('Données projet'!$B$10,Paramètres!$A$1:$I$89,3,0)*0.475*44/12</f>
        <v>7.0910207462796171</v>
      </c>
      <c r="AW125" s="21">
        <f>EXP(-LN(2)/2)*AW124+(1-EXP(-LN(2)/2))/(LN(2)/2)*AQ125*AT125*VLOOKUP('Données projet'!$B$10,Paramètres!$A$1:$I$89,3,0)*0.475*44/12</f>
        <v>4.703920677165679E-9</v>
      </c>
      <c r="AX125" s="21">
        <f t="shared" si="60"/>
        <v>51.159257451968259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5.3066239316239274</v>
      </c>
      <c r="BD125" s="12">
        <f>IF('Données projet'!$A$88&gt;35,BD124+BC125-BL124,IF(A125&lt;'Données projet'!$A$88,$BA$205^A125,IF(A125='Données projet'!$A$88,'Données projet'!$B$88,BD124+BC125-BL124)))</f>
        <v>262.3749999999996</v>
      </c>
      <c r="BE125" s="13">
        <f>BD125*VLOOKUP('Données projet'!$B$11,Paramètres!$A$1:$I$89,3,0)*VLOOKUP('Données projet'!$B$11,Paramètres!$A$1:$I$89,5,0)</f>
        <v>266.04824999999965</v>
      </c>
      <c r="BF125" s="13">
        <f t="shared" si="91"/>
        <v>64.009889891284331</v>
      </c>
      <c r="BG125" s="20">
        <f t="shared" si="61"/>
        <v>574.85126031065295</v>
      </c>
      <c r="BH125" s="59">
        <f t="shared" si="62"/>
        <v>868.18459364398632</v>
      </c>
      <c r="BI125" s="59">
        <f ca="1">AVERAGE(OFFSET($BH$3,0,0,'Données projet'!$E$11+1,1))-AVERAGE(OFFSET($H$3,0,0,'Données projet'!$E$11+1,1))</f>
        <v>250.31277422753283</v>
      </c>
      <c r="BJ125" s="59">
        <f t="shared" si="92"/>
        <v>159.20429420478047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33.478388646140154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33.478388646140154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243</v>
      </c>
      <c r="BZ125" s="13">
        <f>BY125*VLOOKUP('Données projet'!$B$12,Paramètres!$A$1:$I$89,3,0)*VLOOKUP('Données projet'!$B$12,Paramètres!$A$1:$I$89,5,0)</f>
        <v>253.98360000000002</v>
      </c>
      <c r="CA125" s="13">
        <f t="shared" si="93"/>
        <v>61.438182405444294</v>
      </c>
      <c r="CB125" s="20">
        <f t="shared" si="64"/>
        <v>549.35960435614891</v>
      </c>
      <c r="CC125" s="59">
        <f t="shared" si="65"/>
        <v>842.69293768948228</v>
      </c>
      <c r="CD125" s="59">
        <f ca="1">AVERAGE(OFFSET($CC$3,0,0,'Données projet'!$E$12+1,1))-AVERAGE(OFFSET($H$3,0,0,'Données projet'!$E$12+1,1))</f>
        <v>322.93502595881938</v>
      </c>
      <c r="CE125" s="59">
        <f t="shared" si="94"/>
        <v>302.67072119588164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21.089846475504508</v>
      </c>
      <c r="CL125" s="21">
        <f>EXP(-LN(2)/25)*CL124+(1-EXP(-LN(2)/25))/(LN(2)/25)*Calculateur!CG125*Calculateur!CI125*VLOOKUP('Données projet'!$B$12,Paramètres!$A$1:$I$89,3,0)*0.475*44/12</f>
        <v>9.6803396148736258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30.770186090378132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278.21846622758881</v>
      </c>
      <c r="T126" s="59">
        <f t="shared" si="88"/>
        <v>245.37578316242906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70.306793497430476</v>
      </c>
      <c r="AA126" s="21">
        <f>EXP(-LN(2)/25)*AA125+(1-EXP(-LN(2)/25))/(LN(2)/25)*Calculateur!V126*Calculateur!X126*VLOOKUP('Données projet'!$B$9,Paramètres!$A$1:$I$89,3,0)*0.475*44/12</f>
        <v>11.520677463504287</v>
      </c>
      <c r="AB126" s="21">
        <f>EXP(-LN(2)/2)*AB125+(1-EXP(-LN(2)/2))/(LN(2)/2)*V126*Y126*VLOOKUP('Données projet'!$B$9,Paramètres!$A$1:$I$89,3,0)*0.475*44/12</f>
        <v>3.9356841539877724E-6</v>
      </c>
      <c r="AC126" s="22">
        <f t="shared" si="57"/>
        <v>81.827474896618909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-2.2737367544323206E-13</v>
      </c>
      <c r="AJ126" s="13">
        <f>AI126*VLOOKUP('Données projet'!$B$10,Paramètres!$A$1:$I$89,3,0)*VLOOKUP('Données projet'!$B$10,Paramètres!$A$1:$I$89,5,0)</f>
        <v>-1.3596945791505279E-13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261.13725557061468</v>
      </c>
      <c r="AO126" s="59">
        <f t="shared" si="90"/>
        <v>328.18986868293558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43.20408545824872</v>
      </c>
      <c r="AV126" s="21">
        <f>EXP(-LN(2)/25)*AV125+(1-EXP(-LN(2)/25))/(LN(2)/25)*Calculateur!AQ126*Calculateur!AS126*VLOOKUP('Données projet'!$B$10,Paramètres!$A$1:$I$89,3,0)*0.475*44/12</f>
        <v>6.8971164110720267</v>
      </c>
      <c r="AW126" s="21">
        <f>EXP(-LN(2)/2)*AW125+(1-EXP(-LN(2)/2))/(LN(2)/2)*AQ126*AT126*VLOOKUP('Données projet'!$B$10,Paramètres!$A$1:$I$89,3,0)*0.475*44/12</f>
        <v>3.3261742089874683E-9</v>
      </c>
      <c r="AX126" s="21">
        <f t="shared" si="60"/>
        <v>50.101201872646918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5.3066239316239274</v>
      </c>
      <c r="BD126" s="12">
        <f>IF('Données projet'!$A$88&gt;35,BD125+BC126-BL125,IF(A126&lt;'Données projet'!$A$88,$BA$205^A126,IF(A126='Données projet'!$A$88,'Données projet'!$B$88,BD125+BC126-BL125)))</f>
        <v>267.68162393162351</v>
      </c>
      <c r="BE126" s="13">
        <f>BD126*VLOOKUP('Données projet'!$B$11,Paramètres!$A$1:$I$89,3,0)*VLOOKUP('Données projet'!$B$11,Paramètres!$A$1:$I$89,5,0)</f>
        <v>271.42916666666628</v>
      </c>
      <c r="BF126" s="13">
        <f t="shared" si="91"/>
        <v>65.152481270117946</v>
      </c>
      <c r="BG126" s="20">
        <f t="shared" si="61"/>
        <v>586.21303682323253</v>
      </c>
      <c r="BH126" s="59">
        <f t="shared" si="62"/>
        <v>879.5463701565659</v>
      </c>
      <c r="BI126" s="59">
        <f ca="1">AVERAGE(OFFSET($BH$3,0,0,'Données projet'!$E$11+1,1))-AVERAGE(OFFSET($H$3,0,0,'Données projet'!$E$11+1,1))</f>
        <v>250.31277422753283</v>
      </c>
      <c r="BJ126" s="59">
        <f t="shared" si="92"/>
        <v>159.20429420478047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32.821897864590134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32.821897864590134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243</v>
      </c>
      <c r="BZ126" s="13">
        <f>BY126*VLOOKUP('Données projet'!$B$12,Paramètres!$A$1:$I$89,3,0)*VLOOKUP('Données projet'!$B$12,Paramètres!$A$1:$I$89,5,0)</f>
        <v>253.98360000000002</v>
      </c>
      <c r="CA126" s="13">
        <f t="shared" si="93"/>
        <v>61.438182405444294</v>
      </c>
      <c r="CB126" s="20">
        <f t="shared" si="64"/>
        <v>549.35960435614891</v>
      </c>
      <c r="CC126" s="59">
        <f t="shared" si="65"/>
        <v>842.69293768948228</v>
      </c>
      <c r="CD126" s="59">
        <f ca="1">AVERAGE(OFFSET($CC$3,0,0,'Données projet'!$E$12+1,1))-AVERAGE(OFFSET($H$3,0,0,'Données projet'!$E$12+1,1))</f>
        <v>322.93502595881938</v>
      </c>
      <c r="CE126" s="59">
        <f t="shared" si="94"/>
        <v>302.67072119588164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20.676287449656048</v>
      </c>
      <c r="CL126" s="21">
        <f>EXP(-LN(2)/25)*CL125+(1-EXP(-LN(2)/25))/(LN(2)/25)*Calculateur!CG126*Calculateur!CI126*VLOOKUP('Données projet'!$B$12,Paramètres!$A$1:$I$89,3,0)*0.475*44/12</f>
        <v>9.4156302190379701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30.091917668694016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278.21846622758881</v>
      </c>
      <c r="T127" s="59">
        <f t="shared" si="88"/>
        <v>245.37578316242906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68.928120159855567</v>
      </c>
      <c r="AA127" s="21">
        <f>EXP(-LN(2)/25)*AA126+(1-EXP(-LN(2)/25))/(LN(2)/25)*Calculateur!V127*Calculateur!X127*VLOOKUP('Données projet'!$B$9,Paramètres!$A$1:$I$89,3,0)*0.475*44/12</f>
        <v>11.205643932418665</v>
      </c>
      <c r="AB127" s="21">
        <f>EXP(-LN(2)/2)*AB126+(1-EXP(-LN(2)/2))/(LN(2)/2)*V127*Y127*VLOOKUP('Données projet'!$B$9,Paramètres!$A$1:$I$89,3,0)*0.475*44/12</f>
        <v>2.7829489538931942E-6</v>
      </c>
      <c r="AC127" s="22">
        <f t="shared" si="57"/>
        <v>80.133766875223188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-2.2737367544323206E-13</v>
      </c>
      <c r="AJ127" s="13">
        <f>AI127*VLOOKUP('Données projet'!$B$10,Paramètres!$A$1:$I$89,3,0)*VLOOKUP('Données projet'!$B$10,Paramètres!$A$1:$I$89,5,0)</f>
        <v>-1.3596945791505279E-13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261.13725557061468</v>
      </c>
      <c r="AO127" s="59">
        <f t="shared" si="90"/>
        <v>328.18986868293558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42.356879694302556</v>
      </c>
      <c r="AV127" s="21">
        <f>EXP(-LN(2)/25)*AV126+(1-EXP(-LN(2)/25))/(LN(2)/25)*Calculateur!AQ127*Calculateur!AS127*VLOOKUP('Données projet'!$B$10,Paramètres!$A$1:$I$89,3,0)*0.475*44/12</f>
        <v>6.7085144001076733</v>
      </c>
      <c r="AW127" s="21">
        <f>EXP(-LN(2)/2)*AW126+(1-EXP(-LN(2)/2))/(LN(2)/2)*AQ127*AT127*VLOOKUP('Données projet'!$B$10,Paramètres!$A$1:$I$89,3,0)*0.475*44/12</f>
        <v>2.3519603385828395E-9</v>
      </c>
      <c r="AX127" s="21">
        <f t="shared" si="60"/>
        <v>49.065394096762191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5.3066239316239274</v>
      </c>
      <c r="BD127" s="12">
        <f>IF('Données projet'!$A$88&gt;35,BD126+BC127-BL126,IF(A127&lt;'Données projet'!$A$88,$BA$205^A127,IF(A127='Données projet'!$A$88,'Données projet'!$B$88,BD126+BC127-BL126)))</f>
        <v>272.98824786324741</v>
      </c>
      <c r="BE127" s="13">
        <f>BD127*VLOOKUP('Données projet'!$B$11,Paramètres!$A$1:$I$89,3,0)*VLOOKUP('Données projet'!$B$11,Paramètres!$A$1:$I$89,5,0)</f>
        <v>276.8100833333329</v>
      </c>
      <c r="BF127" s="13">
        <f t="shared" si="91"/>
        <v>66.292438909774205</v>
      </c>
      <c r="BG127" s="20">
        <f t="shared" si="61"/>
        <v>597.57022624007823</v>
      </c>
      <c r="BH127" s="59">
        <f t="shared" si="62"/>
        <v>890.90355957341148</v>
      </c>
      <c r="BI127" s="59">
        <f ca="1">AVERAGE(OFFSET($BH$3,0,0,'Données projet'!$E$11+1,1))-AVERAGE(OFFSET($H$3,0,0,'Données projet'!$E$11+1,1))</f>
        <v>250.31277422753283</v>
      </c>
      <c r="BJ127" s="59">
        <f t="shared" si="92"/>
        <v>159.20429420478047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32.178280466846466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32.178280466846466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243</v>
      </c>
      <c r="BZ127" s="13">
        <f>BY127*VLOOKUP('Données projet'!$B$12,Paramètres!$A$1:$I$89,3,0)*VLOOKUP('Données projet'!$B$12,Paramètres!$A$1:$I$89,5,0)</f>
        <v>253.98360000000002</v>
      </c>
      <c r="CA127" s="13">
        <f t="shared" si="93"/>
        <v>61.438182405444294</v>
      </c>
      <c r="CB127" s="20">
        <f t="shared" si="64"/>
        <v>549.35960435614891</v>
      </c>
      <c r="CC127" s="59">
        <f t="shared" si="65"/>
        <v>842.69293768948228</v>
      </c>
      <c r="CD127" s="59">
        <f ca="1">AVERAGE(OFFSET($CC$3,0,0,'Données projet'!$E$12+1,1))-AVERAGE(OFFSET($H$3,0,0,'Données projet'!$E$12+1,1))</f>
        <v>322.93502595881938</v>
      </c>
      <c r="CE127" s="59">
        <f t="shared" si="94"/>
        <v>302.67072119588164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20.270838064058374</v>
      </c>
      <c r="CL127" s="21">
        <f>EXP(-LN(2)/25)*CL126+(1-EXP(-LN(2)/25))/(LN(2)/25)*Calculateur!CG127*Calculateur!CI127*VLOOKUP('Données projet'!$B$12,Paramètres!$A$1:$I$89,3,0)*0.475*44/12</f>
        <v>9.1581593155519041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29.42899737961028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278.21846622758881</v>
      </c>
      <c r="T128" s="59">
        <f t="shared" si="88"/>
        <v>245.37578316242906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67.5764817655228</v>
      </c>
      <c r="AA128" s="21">
        <f>EXP(-LN(2)/25)*AA127+(1-EXP(-LN(2)/25))/(LN(2)/25)*Calculateur!V128*Calculateur!X128*VLOOKUP('Données projet'!$B$9,Paramètres!$A$1:$I$89,3,0)*0.475*44/12</f>
        <v>10.899225009807473</v>
      </c>
      <c r="AB128" s="21">
        <f>EXP(-LN(2)/2)*AB127+(1-EXP(-LN(2)/2))/(LN(2)/2)*V128*Y128*VLOOKUP('Données projet'!$B$9,Paramètres!$A$1:$I$89,3,0)*0.475*44/12</f>
        <v>1.9678420769938862E-6</v>
      </c>
      <c r="AC128" s="22">
        <f t="shared" si="57"/>
        <v>78.475708743172362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-2.2737367544323206E-13</v>
      </c>
      <c r="AJ128" s="13">
        <f>AI128*VLOOKUP('Données projet'!$B$10,Paramètres!$A$1:$I$89,3,0)*VLOOKUP('Données projet'!$B$10,Paramètres!$A$1:$I$89,5,0)</f>
        <v>-1.3596945791505279E-13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261.13725557061468</v>
      </c>
      <c r="AO128" s="59">
        <f t="shared" si="90"/>
        <v>328.18986868293558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41.526287118642891</v>
      </c>
      <c r="AV128" s="21">
        <f>EXP(-LN(2)/25)*AV127+(1-EXP(-LN(2)/25))/(LN(2)/25)*Calculateur!AQ128*Calculateur!AS128*VLOOKUP('Données projet'!$B$10,Paramètres!$A$1:$I$89,3,0)*0.475*44/12</f>
        <v>6.5250697210512891</v>
      </c>
      <c r="AW128" s="21">
        <f>EXP(-LN(2)/2)*AW127+(1-EXP(-LN(2)/2))/(LN(2)/2)*AQ128*AT128*VLOOKUP('Données projet'!$B$10,Paramètres!$A$1:$I$89,3,0)*0.475*44/12</f>
        <v>1.6630871044937342E-9</v>
      </c>
      <c r="AX128" s="21">
        <f t="shared" si="60"/>
        <v>48.051356841357268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278.29487179487177</v>
      </c>
      <c r="BB128" s="12">
        <f>VLOOKUP(A128,'Données projet'!$A$87:$I$107,9,0)</f>
        <v>5.3066239316239274</v>
      </c>
      <c r="BC128" s="12">
        <f t="array" ref="BC128">INDEX(BB:BB,MIN(IF(ISNUMBER(BB128:BB324),ROW(BB128:BB324),"")))</f>
        <v>5.3066239316239274</v>
      </c>
      <c r="BD128" s="12">
        <f>IF('Données projet'!$A$88&gt;35,BD127+BC128-BL127,IF(A128&lt;'Données projet'!$A$88,$BA$205^A128,IF(A128='Données projet'!$A$88,'Données projet'!$B$88,BD127+BC128-BL127)))</f>
        <v>278.29487179487131</v>
      </c>
      <c r="BE128" s="13">
        <f>BD128*VLOOKUP('Données projet'!$B$11,Paramètres!$A$1:$I$89,3,0)*VLOOKUP('Données projet'!$B$11,Paramètres!$A$1:$I$89,5,0)</f>
        <v>282.19099999999952</v>
      </c>
      <c r="BF128" s="13">
        <f t="shared" si="91"/>
        <v>67.429819909567854</v>
      </c>
      <c r="BG128" s="20">
        <f t="shared" si="61"/>
        <v>608.92292800916312</v>
      </c>
      <c r="BH128" s="59">
        <f t="shared" si="62"/>
        <v>902.25626134249637</v>
      </c>
      <c r="BI128" s="59">
        <f ca="1">AVERAGE(OFFSET($BH$3,0,0,'Données projet'!$E$11+1,1))-AVERAGE(OFFSET($H$3,0,0,'Données projet'!$E$11+1,1))</f>
        <v>250.31277422753283</v>
      </c>
      <c r="BJ128" s="59">
        <f t="shared" si="92"/>
        <v>159.20429420478047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48.160256410256409</v>
      </c>
      <c r="BM128" s="16">
        <f>IF(ISNA(VLOOKUP(A128,'Données projet'!$A$87:$I$107,5,0)),0%,VLOOKUP(A128,'Données projet'!$A$87:$I$107,5,0)*VLOOKUP('Données projet'!$B$11,Paramètres!$A$1:$I$89,7,0))</f>
        <v>0.30099999999999999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47.796797081744565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47.796797081744565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243</v>
      </c>
      <c r="BZ128" s="13">
        <f>BY128*VLOOKUP('Données projet'!$B$12,Paramètres!$A$1:$I$89,3,0)*VLOOKUP('Données projet'!$B$12,Paramètres!$A$1:$I$89,5,0)</f>
        <v>253.98360000000002</v>
      </c>
      <c r="CA128" s="13">
        <f t="shared" si="93"/>
        <v>61.438182405444294</v>
      </c>
      <c r="CB128" s="20">
        <f t="shared" si="64"/>
        <v>549.35960435614891</v>
      </c>
      <c r="CC128" s="59">
        <f t="shared" si="65"/>
        <v>842.69293768948228</v>
      </c>
      <c r="CD128" s="59">
        <f ca="1">AVERAGE(OFFSET($CC$3,0,0,'Données projet'!$E$12+1,1))-AVERAGE(OFFSET($H$3,0,0,'Données projet'!$E$12+1,1))</f>
        <v>322.93502595881938</v>
      </c>
      <c r="CE128" s="59">
        <f t="shared" si="94"/>
        <v>302.67072119588164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19.873339293612567</v>
      </c>
      <c r="CL128" s="21">
        <f>EXP(-LN(2)/25)*CL127+(1-EXP(-LN(2)/25))/(LN(2)/25)*Calculateur!CG128*Calculateur!CI128*VLOOKUP('Données projet'!$B$12,Paramètres!$A$1:$I$89,3,0)*0.475*44/12</f>
        <v>8.9077289674614697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28.781068261074036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278.21846622758881</v>
      </c>
      <c r="T129" s="59">
        <f t="shared" si="88"/>
        <v>245.37578316242906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66.251348175684882</v>
      </c>
      <c r="AA129" s="21">
        <f>EXP(-LN(2)/25)*AA128+(1-EXP(-LN(2)/25))/(LN(2)/25)*Calculateur!V129*Calculateur!X129*VLOOKUP('Données projet'!$B$9,Paramètres!$A$1:$I$89,3,0)*0.475*44/12</f>
        <v>10.601185128748956</v>
      </c>
      <c r="AB129" s="21">
        <f>EXP(-LN(2)/2)*AB128+(1-EXP(-LN(2)/2))/(LN(2)/2)*V129*Y129*VLOOKUP('Données projet'!$B$9,Paramètres!$A$1:$I$89,3,0)*0.475*44/12</f>
        <v>1.3914744769465971E-6</v>
      </c>
      <c r="AC129" s="22">
        <f t="shared" si="57"/>
        <v>76.852534695908304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-2.2737367544323206E-13</v>
      </c>
      <c r="AJ129" s="13">
        <f>AI129*VLOOKUP('Données projet'!$B$10,Paramètres!$A$1:$I$89,3,0)*VLOOKUP('Données projet'!$B$10,Paramètres!$A$1:$I$89,5,0)</f>
        <v>-1.3596945791505279E-13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261.13725557061468</v>
      </c>
      <c r="AO129" s="59">
        <f t="shared" si="90"/>
        <v>328.18986868293558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40.711981956780463</v>
      </c>
      <c r="AV129" s="21">
        <f>EXP(-LN(2)/25)*AV128+(1-EXP(-LN(2)/25))/(LN(2)/25)*Calculateur!AQ129*Calculateur!AS129*VLOOKUP('Données projet'!$B$10,Paramètres!$A$1:$I$89,3,0)*0.475*44/12</f>
        <v>6.3466413463906379</v>
      </c>
      <c r="AW129" s="21">
        <f>EXP(-LN(2)/2)*AW128+(1-EXP(-LN(2)/2))/(LN(2)/2)*AQ129*AT129*VLOOKUP('Données projet'!$B$10,Paramètres!$A$1:$I$89,3,0)*0.475*44/12</f>
        <v>1.1759801692914198E-9</v>
      </c>
      <c r="AX129" s="21">
        <f t="shared" si="60"/>
        <v>47.05862330434708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5.2446581196581219</v>
      </c>
      <c r="BD129" s="12">
        <f>IF('Données projet'!$A$88&gt;35,BD128+BC129-BL128,IF(A129&lt;'Données projet'!$A$88,$BA$205^A129,IF(A129='Données projet'!$A$88,'Données projet'!$B$88,BD128+BC129-BL128)))</f>
        <v>235.37927350427304</v>
      </c>
      <c r="BE129" s="13">
        <f>BD129*VLOOKUP('Données projet'!$B$11,Paramètres!$A$1:$I$89,3,0)*VLOOKUP('Données projet'!$B$11,Paramètres!$A$1:$I$89,5,0)</f>
        <v>238.67458333333289</v>
      </c>
      <c r="BF129" s="13">
        <f t="shared" si="91"/>
        <v>58.154268783384175</v>
      </c>
      <c r="BG129" s="20">
        <f t="shared" si="61"/>
        <v>516.97691743661551</v>
      </c>
      <c r="BH129" s="59">
        <f t="shared" si="62"/>
        <v>810.31025076994888</v>
      </c>
      <c r="BI129" s="59">
        <f ca="1">AVERAGE(OFFSET($BH$3,0,0,'Données projet'!$E$11+1,1))-AVERAGE(OFFSET($H$3,0,0,'Données projet'!$E$11+1,1))</f>
        <v>250.31277422753283</v>
      </c>
      <c r="BJ129" s="59">
        <f t="shared" si="92"/>
        <v>159.20429420478047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46.859531044139139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46.859531044139139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243</v>
      </c>
      <c r="BZ129" s="13">
        <f>BY129*VLOOKUP('Données projet'!$B$12,Paramètres!$A$1:$I$89,3,0)*VLOOKUP('Données projet'!$B$12,Paramètres!$A$1:$I$89,5,0)</f>
        <v>253.98360000000002</v>
      </c>
      <c r="CA129" s="13">
        <f t="shared" si="93"/>
        <v>61.438182405444294</v>
      </c>
      <c r="CB129" s="20">
        <f t="shared" si="64"/>
        <v>549.35960435614891</v>
      </c>
      <c r="CC129" s="59">
        <f t="shared" si="65"/>
        <v>842.69293768948228</v>
      </c>
      <c r="CD129" s="59">
        <f ca="1">AVERAGE(OFFSET($CC$3,0,0,'Données projet'!$E$12+1,1))-AVERAGE(OFFSET($H$3,0,0,'Données projet'!$E$12+1,1))</f>
        <v>322.93502595881938</v>
      </c>
      <c r="CE129" s="59">
        <f t="shared" si="94"/>
        <v>302.67072119588164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19.48363523160489</v>
      </c>
      <c r="CL129" s="21">
        <f>EXP(-LN(2)/25)*CL128+(1-EXP(-LN(2)/25))/(LN(2)/25)*Calculateur!CG129*Calculateur!CI129*VLOOKUP('Données projet'!$B$12,Paramètres!$A$1:$I$89,3,0)*0.475*44/12</f>
        <v>8.664146650409128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28.147781882014016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278.21846622758881</v>
      </c>
      <c r="T130" s="59">
        <f t="shared" si="88"/>
        <v>245.37578316242906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64.952199647292005</v>
      </c>
      <c r="AA130" s="21">
        <f>EXP(-LN(2)/25)*AA129+(1-EXP(-LN(2)/25))/(LN(2)/25)*Calculateur!V130*Calculateur!X130*VLOOKUP('Données projet'!$B$9,Paramètres!$A$1:$I$89,3,0)*0.475*44/12</f>
        <v>10.311295163911218</v>
      </c>
      <c r="AB130" s="21">
        <f>EXP(-LN(2)/2)*AB129+(1-EXP(-LN(2)/2))/(LN(2)/2)*V130*Y130*VLOOKUP('Données projet'!$B$9,Paramètres!$A$1:$I$89,3,0)*0.475*44/12</f>
        <v>9.839210384969431E-7</v>
      </c>
      <c r="AC130" s="22">
        <f t="shared" si="57"/>
        <v>75.263495795124271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-2.2737367544323206E-13</v>
      </c>
      <c r="AJ130" s="13">
        <f>AI130*VLOOKUP('Données projet'!$B$10,Paramètres!$A$1:$I$89,3,0)*VLOOKUP('Données projet'!$B$10,Paramètres!$A$1:$I$89,5,0)</f>
        <v>-1.3596945791505279E-13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261.13725557061468</v>
      </c>
      <c r="AO130" s="59">
        <f t="shared" si="90"/>
        <v>328.18986868293558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39.913644822465052</v>
      </c>
      <c r="AV130" s="21">
        <f>EXP(-LN(2)/25)*AV129+(1-EXP(-LN(2)/25))/(LN(2)/25)*Calculateur!AQ130*Calculateur!AS130*VLOOKUP('Données projet'!$B$10,Paramètres!$A$1:$I$89,3,0)*0.475*44/12</f>
        <v>6.173092105018223</v>
      </c>
      <c r="AW130" s="21">
        <f>EXP(-LN(2)/2)*AW129+(1-EXP(-LN(2)/2))/(LN(2)/2)*AQ130*AT130*VLOOKUP('Données projet'!$B$10,Paramètres!$A$1:$I$89,3,0)*0.475*44/12</f>
        <v>8.3154355224686708E-10</v>
      </c>
      <c r="AX130" s="21">
        <f t="shared" si="60"/>
        <v>46.086736928314814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5.2446581196581219</v>
      </c>
      <c r="BD130" s="12">
        <f>IF('Données projet'!$A$88&gt;35,BD129+BC130-BL129,IF(A130&lt;'Données projet'!$A$88,$BA$205^A130,IF(A130='Données projet'!$A$88,'Données projet'!$B$88,BD129+BC130-BL129)))</f>
        <v>240.62393162393116</v>
      </c>
      <c r="BE130" s="13">
        <f>BD130*VLOOKUP('Données projet'!$B$11,Paramètres!$A$1:$I$89,3,0)*VLOOKUP('Données projet'!$B$11,Paramètres!$A$1:$I$89,5,0)</f>
        <v>243.9926666666662</v>
      </c>
      <c r="BF130" s="13">
        <f t="shared" si="91"/>
        <v>59.297745526958636</v>
      </c>
      <c r="BG130" s="20">
        <f t="shared" si="61"/>
        <v>528.23080123722991</v>
      </c>
      <c r="BH130" s="59">
        <f t="shared" si="62"/>
        <v>821.56413457056328</v>
      </c>
      <c r="BI130" s="59">
        <f ca="1">AVERAGE(OFFSET($BH$3,0,0,'Données projet'!$E$11+1,1))-AVERAGE(OFFSET($H$3,0,0,'Données projet'!$E$11+1,1))</f>
        <v>250.31277422753283</v>
      </c>
      <c r="BJ130" s="59">
        <f t="shared" si="92"/>
        <v>159.20429420478047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45.940644221855322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45.940644221855322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243</v>
      </c>
      <c r="BZ130" s="13">
        <f>BY130*VLOOKUP('Données projet'!$B$12,Paramètres!$A$1:$I$89,3,0)*VLOOKUP('Données projet'!$B$12,Paramètres!$A$1:$I$89,5,0)</f>
        <v>253.98360000000002</v>
      </c>
      <c r="CA130" s="13">
        <f t="shared" si="93"/>
        <v>61.438182405444294</v>
      </c>
      <c r="CB130" s="20">
        <f t="shared" si="64"/>
        <v>549.35960435614891</v>
      </c>
      <c r="CC130" s="59">
        <f t="shared" si="65"/>
        <v>842.69293768948228</v>
      </c>
      <c r="CD130" s="59">
        <f ca="1">AVERAGE(OFFSET($CC$3,0,0,'Données projet'!$E$12+1,1))-AVERAGE(OFFSET($H$3,0,0,'Données projet'!$E$12+1,1))</f>
        <v>322.93502595881938</v>
      </c>
      <c r="CE130" s="59">
        <f t="shared" si="94"/>
        <v>302.67072119588164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19.101573028557176</v>
      </c>
      <c r="CL130" s="21">
        <f>EXP(-LN(2)/25)*CL129+(1-EXP(-LN(2)/25))/(LN(2)/25)*Calculateur!CG130*Calculateur!CI130*VLOOKUP('Données projet'!$B$12,Paramètres!$A$1:$I$89,3,0)*0.475*44/12</f>
        <v>8.4272251046260198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27.528798133183194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278.21846622758881</v>
      </c>
      <c r="T131" s="59">
        <f t="shared" si="88"/>
        <v>245.37578316242906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63.678526629138545</v>
      </c>
      <c r="AA131" s="21">
        <f>EXP(-LN(2)/25)*AA130+(1-EXP(-LN(2)/25))/(LN(2)/25)*Calculateur!V131*Calculateur!X131*VLOOKUP('Données projet'!$B$9,Paramètres!$A$1:$I$89,3,0)*0.475*44/12</f>
        <v>10.02933225540662</v>
      </c>
      <c r="AB131" s="21">
        <f>EXP(-LN(2)/2)*AB130+(1-EXP(-LN(2)/2))/(LN(2)/2)*V131*Y131*VLOOKUP('Données projet'!$B$9,Paramètres!$A$1:$I$89,3,0)*0.475*44/12</f>
        <v>6.9573723847329855E-7</v>
      </c>
      <c r="AC131" s="22">
        <f t="shared" si="57"/>
        <v>73.707859580282403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-2.2737367544323206E-13</v>
      </c>
      <c r="AJ131" s="13">
        <f>AI131*VLOOKUP('Données projet'!$B$10,Paramètres!$A$1:$I$89,3,0)*VLOOKUP('Données projet'!$B$10,Paramètres!$A$1:$I$89,5,0)</f>
        <v>-1.3596945791505279E-13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261.13725557061468</v>
      </c>
      <c r="AO131" s="59">
        <f t="shared" si="90"/>
        <v>328.18986868293558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39.13096259241599</v>
      </c>
      <c r="AV131" s="21">
        <f>EXP(-LN(2)/25)*AV130+(1-EXP(-LN(2)/25))/(LN(2)/25)*Calculateur!AQ131*Calculateur!AS131*VLOOKUP('Données projet'!$B$10,Paramètres!$A$1:$I$89,3,0)*0.475*44/12</f>
        <v>6.0042885767776948</v>
      </c>
      <c r="AW131" s="21">
        <f>EXP(-LN(2)/2)*AW130+(1-EXP(-LN(2)/2))/(LN(2)/2)*AQ131*AT131*VLOOKUP('Données projet'!$B$10,Paramètres!$A$1:$I$89,3,0)*0.475*44/12</f>
        <v>5.8799008464570988E-10</v>
      </c>
      <c r="AX131" s="21">
        <f t="shared" si="60"/>
        <v>45.135251169781675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5.2446581196581219</v>
      </c>
      <c r="BD131" s="12">
        <f>IF('Données projet'!$A$88&gt;35,BD130+BC131-BL130,IF(A131&lt;'Données projet'!$A$88,$BA$205^A131,IF(A131='Données projet'!$A$88,'Données projet'!$B$88,BD130+BC131-BL130)))</f>
        <v>245.86858974358927</v>
      </c>
      <c r="BE131" s="13">
        <f>BD131*VLOOKUP('Données projet'!$B$11,Paramètres!$A$1:$I$89,3,0)*VLOOKUP('Données projet'!$B$11,Paramètres!$A$1:$I$89,5,0)</f>
        <v>249.31074999999953</v>
      </c>
      <c r="BF131" s="13">
        <f t="shared" si="91"/>
        <v>60.438324631862308</v>
      </c>
      <c r="BG131" s="20">
        <f t="shared" si="61"/>
        <v>539.47963831715936</v>
      </c>
      <c r="BH131" s="59">
        <f t="shared" si="62"/>
        <v>832.81297165049273</v>
      </c>
      <c r="BI131" s="59">
        <f ca="1">AVERAGE(OFFSET($BH$3,0,0,'Données projet'!$E$11+1,1))-AVERAGE(OFFSET($H$3,0,0,'Données projet'!$E$11+1,1))</f>
        <v>250.31277422753283</v>
      </c>
      <c r="BJ131" s="59">
        <f t="shared" si="92"/>
        <v>159.20429420478047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45.039776209690871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45.039776209690871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243</v>
      </c>
      <c r="BZ131" s="13">
        <f>BY131*VLOOKUP('Données projet'!$B$12,Paramètres!$A$1:$I$89,3,0)*VLOOKUP('Données projet'!$B$12,Paramètres!$A$1:$I$89,5,0)</f>
        <v>253.98360000000002</v>
      </c>
      <c r="CA131" s="13">
        <f t="shared" si="93"/>
        <v>61.438182405444294</v>
      </c>
      <c r="CB131" s="20">
        <f t="shared" si="64"/>
        <v>549.35960435614891</v>
      </c>
      <c r="CC131" s="59">
        <f t="shared" si="65"/>
        <v>842.69293768948228</v>
      </c>
      <c r="CD131" s="59">
        <f ca="1">AVERAGE(OFFSET($CC$3,0,0,'Données projet'!$E$12+1,1))-AVERAGE(OFFSET($H$3,0,0,'Données projet'!$E$12+1,1))</f>
        <v>322.93502595881938</v>
      </c>
      <c r="CE131" s="59">
        <f t="shared" si="94"/>
        <v>302.67072119588164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18.727002832276295</v>
      </c>
      <c r="CL131" s="21">
        <f>EXP(-LN(2)/25)*CL130+(1-EXP(-LN(2)/25))/(LN(2)/25)*Calculateur!CG131*Calculateur!CI131*VLOOKUP('Données projet'!$B$12,Paramètres!$A$1:$I$89,3,0)*0.475*44/12</f>
        <v>8.1967821909715131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26.92378502324781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278.21846622758881</v>
      </c>
      <c r="T132" s="59">
        <f t="shared" si="88"/>
        <v>245.37578316242906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62.429829562007242</v>
      </c>
      <c r="AA132" s="21">
        <f>EXP(-LN(2)/25)*AA131+(1-EXP(-LN(2)/25))/(LN(2)/25)*Calculateur!V132*Calculateur!X132*VLOOKUP('Données projet'!$B$9,Paramètres!$A$1:$I$89,3,0)*0.475*44/12</f>
        <v>9.755079637462865</v>
      </c>
      <c r="AB132" s="21">
        <f>EXP(-LN(2)/2)*AB131+(1-EXP(-LN(2)/2))/(LN(2)/2)*V132*Y132*VLOOKUP('Données projet'!$B$9,Paramètres!$A$1:$I$89,3,0)*0.475*44/12</f>
        <v>4.9196051924847155E-7</v>
      </c>
      <c r="AC132" s="22">
        <f t="shared" ref="AC132:AC153" si="111">SUM(Z132:AB132)</f>
        <v>72.184909691430633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-2.2737367544323206E-13</v>
      </c>
      <c r="AJ132" s="13">
        <f>AI132*VLOOKUP('Données projet'!$B$10,Paramètres!$A$1:$I$89,3,0)*VLOOKUP('Données projet'!$B$10,Paramètres!$A$1:$I$89,5,0)</f>
        <v>-1.3596945791505279E-13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261.13725557061468</v>
      </c>
      <c r="AO132" s="59">
        <f t="shared" si="90"/>
        <v>328.18986868293558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38.363628283509172</v>
      </c>
      <c r="AV132" s="21">
        <f>EXP(-LN(2)/25)*AV131+(1-EXP(-LN(2)/25))/(LN(2)/25)*Calculateur!AQ132*Calculateur!AS132*VLOOKUP('Données projet'!$B$10,Paramètres!$A$1:$I$89,3,0)*0.475*44/12</f>
        <v>5.8401009898938954</v>
      </c>
      <c r="AW132" s="21">
        <f>EXP(-LN(2)/2)*AW131+(1-EXP(-LN(2)/2))/(LN(2)/2)*AQ132*AT132*VLOOKUP('Données projet'!$B$10,Paramètres!$A$1:$I$89,3,0)*0.475*44/12</f>
        <v>4.1577177612343354E-10</v>
      </c>
      <c r="AX132" s="21">
        <f t="shared" ref="AX132:AX153" si="114">SUM(AU132:AW132)</f>
        <v>44.203729273818844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5.2446581196581219</v>
      </c>
      <c r="BD132" s="12">
        <f>IF('Données projet'!$A$88&gt;35,BD131+BC132-BL131,IF(A132&lt;'Données projet'!$A$88,$BA$205^A132,IF(A132='Données projet'!$A$88,'Données projet'!$B$88,BD131+BC132-BL131)))</f>
        <v>251.11324786324738</v>
      </c>
      <c r="BE132" s="13">
        <f>BD132*VLOOKUP('Données projet'!$B$11,Paramètres!$A$1:$I$89,3,0)*VLOOKUP('Données projet'!$B$11,Paramètres!$A$1:$I$89,5,0)</f>
        <v>254.62883333333286</v>
      </c>
      <c r="BF132" s="13">
        <f t="shared" si="91"/>
        <v>61.576075027678748</v>
      </c>
      <c r="BG132" s="20">
        <f t="shared" ref="BG132:BG153" si="115">(BE132+BF132)*0.475*44/12</f>
        <v>550.7235487287619</v>
      </c>
      <c r="BH132" s="59">
        <f t="shared" ref="BH132:BH195" si="116">BG132+(AY132+AZ132)*44/12</f>
        <v>844.05688206209516</v>
      </c>
      <c r="BI132" s="59">
        <f ca="1">AVERAGE(OFFSET($BH$3,0,0,'Données projet'!$E$11+1,1))-AVERAGE(OFFSET($H$3,0,0,'Données projet'!$E$11+1,1))</f>
        <v>250.31277422753283</v>
      </c>
      <c r="BJ132" s="59">
        <f t="shared" si="92"/>
        <v>159.20429420478047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44.156573669769728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44.156573669769728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243</v>
      </c>
      <c r="BZ132" s="13">
        <f>BY132*VLOOKUP('Données projet'!$B$12,Paramètres!$A$1:$I$89,3,0)*VLOOKUP('Données projet'!$B$12,Paramètres!$A$1:$I$89,5,0)</f>
        <v>253.98360000000002</v>
      </c>
      <c r="CA132" s="13">
        <f t="shared" si="93"/>
        <v>61.438182405444294</v>
      </c>
      <c r="CB132" s="20">
        <f t="shared" ref="CB132:CB153" si="118">(BZ132+CA132)*0.475*44/12</f>
        <v>549.35960435614891</v>
      </c>
      <c r="CC132" s="59">
        <f t="shared" ref="CC132:CC195" si="119">CB132+(BT132+BU132)*44/12</f>
        <v>842.69293768948228</v>
      </c>
      <c r="CD132" s="59">
        <f ca="1">AVERAGE(OFFSET($CC$3,0,0,'Données projet'!$E$12+1,1))-AVERAGE(OFFSET($H$3,0,0,'Données projet'!$E$12+1,1))</f>
        <v>322.93502595881938</v>
      </c>
      <c r="CE132" s="59">
        <f t="shared" si="94"/>
        <v>302.67072119588164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18.359777729079223</v>
      </c>
      <c r="CL132" s="21">
        <f>EXP(-LN(2)/25)*CL131+(1-EXP(-LN(2)/25))/(LN(2)/25)*Calculateur!CG132*Calculateur!CI132*VLOOKUP('Données projet'!$B$12,Paramètres!$A$1:$I$89,3,0)*0.475*44/12</f>
        <v>7.9726407509093553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26.332418479988579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278.21846622758881</v>
      </c>
      <c r="T133" s="59">
        <f t="shared" ref="T133:T196" si="142">$T$3</f>
        <v>245.37578316242906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61.205618682732378</v>
      </c>
      <c r="AA133" s="21">
        <f>EXP(-LN(2)/25)*AA132+(1-EXP(-LN(2)/25))/(LN(2)/25)*Calculateur!V133*Calculateur!X133*VLOOKUP('Données projet'!$B$9,Paramètres!$A$1:$I$89,3,0)*0.475*44/12</f>
        <v>9.4883264717791</v>
      </c>
      <c r="AB133" s="21">
        <f>EXP(-LN(2)/2)*AB132+(1-EXP(-LN(2)/2))/(LN(2)/2)*V133*Y133*VLOOKUP('Données projet'!$B$9,Paramètres!$A$1:$I$89,3,0)*0.475*44/12</f>
        <v>3.4786861923664928E-7</v>
      </c>
      <c r="AC133" s="22">
        <f t="shared" si="111"/>
        <v>70.693945502380103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-2.2737367544323206E-13</v>
      </c>
      <c r="AJ133" s="13">
        <f>AI133*VLOOKUP('Données projet'!$B$10,Paramètres!$A$1:$I$89,3,0)*VLOOKUP('Données projet'!$B$10,Paramètres!$A$1:$I$89,5,0)</f>
        <v>-1.3596945791505279E-13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261.13725557061468</v>
      </c>
      <c r="AO133" s="59">
        <f t="shared" ref="AO133:AO196" si="144">$AO$3</f>
        <v>328.18986868293558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37.6113409323723</v>
      </c>
      <c r="AV133" s="21">
        <f>EXP(-LN(2)/25)*AV132+(1-EXP(-LN(2)/25))/(LN(2)/25)*Calculateur!AQ133*Calculateur!AS133*VLOOKUP('Données projet'!$B$10,Paramètres!$A$1:$I$89,3,0)*0.475*44/12</f>
        <v>5.6804031212076831</v>
      </c>
      <c r="AW133" s="21">
        <f>EXP(-LN(2)/2)*AW132+(1-EXP(-LN(2)/2))/(LN(2)/2)*AQ133*AT133*VLOOKUP('Données projet'!$B$10,Paramètres!$A$1:$I$89,3,0)*0.475*44/12</f>
        <v>2.9399504232285494E-10</v>
      </c>
      <c r="AX133" s="21">
        <f t="shared" si="114"/>
        <v>43.291744053873977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5.2446581196581219</v>
      </c>
      <c r="BD133" s="12">
        <f>IF('Données projet'!$A$88&gt;35,BD132+BC133-BL132,IF(A133&lt;'Données projet'!$A$88,$BA$205^A133,IF(A133='Données projet'!$A$88,'Données projet'!$B$88,BD132+BC133-BL132)))</f>
        <v>256.35790598290549</v>
      </c>
      <c r="BE133" s="13">
        <f>BD133*VLOOKUP('Données projet'!$B$11,Paramètres!$A$1:$I$89,3,0)*VLOOKUP('Données projet'!$B$11,Paramètres!$A$1:$I$89,5,0)</f>
        <v>259.9469166666662</v>
      </c>
      <c r="BF133" s="13">
        <f t="shared" ref="BF133:BF153" si="145">EXP(-1.0587+0.8836*LN(BE133)+0.284)</f>
        <v>62.71106260017865</v>
      </c>
      <c r="BG133" s="20">
        <f t="shared" si="115"/>
        <v>561.96264722308808</v>
      </c>
      <c r="BH133" s="59">
        <f t="shared" si="116"/>
        <v>855.29598055642145</v>
      </c>
      <c r="BI133" s="59">
        <f ca="1">AVERAGE(OFFSET($BH$3,0,0,'Données projet'!$E$11+1,1))-AVERAGE(OFFSET($H$3,0,0,'Données projet'!$E$11+1,1))</f>
        <v>250.31277422753283</v>
      </c>
      <c r="BJ133" s="59">
        <f t="shared" ref="BJ133:BJ196" si="146">$BJ$3</f>
        <v>159.20429420478047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43.290690192956085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43.290690192956085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243</v>
      </c>
      <c r="BZ133" s="13">
        <f>BY133*VLOOKUP('Données projet'!$B$12,Paramètres!$A$1:$I$89,3,0)*VLOOKUP('Données projet'!$B$12,Paramètres!$A$1:$I$89,5,0)</f>
        <v>253.98360000000002</v>
      </c>
      <c r="CA133" s="13">
        <f t="shared" ref="CA133:CA153" si="147">EXP(-1.0587+0.8836*LN(BZ133)+0.284)</f>
        <v>61.438182405444294</v>
      </c>
      <c r="CB133" s="20">
        <f t="shared" si="118"/>
        <v>549.35960435614891</v>
      </c>
      <c r="CC133" s="59">
        <f t="shared" si="119"/>
        <v>842.69293768948228</v>
      </c>
      <c r="CD133" s="59">
        <f ca="1">AVERAGE(OFFSET($CC$3,0,0,'Données projet'!$E$12+1,1))-AVERAGE(OFFSET($H$3,0,0,'Données projet'!$E$12+1,1))</f>
        <v>322.93502595881938</v>
      </c>
      <c r="CE133" s="59">
        <f t="shared" ref="CE133:CE196" si="148">$CE$3</f>
        <v>302.67072119588164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17.999753686170649</v>
      </c>
      <c r="CL133" s="21">
        <f>EXP(-LN(2)/25)*CL132+(1-EXP(-LN(2)/25))/(LN(2)/25)*Calculateur!CG133*Calculateur!CI133*VLOOKUP('Données projet'!$B$12,Paramètres!$A$1:$I$89,3,0)*0.475*44/12</f>
        <v>7.7546284703127837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25.754382156483434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278.21846622758881</v>
      </c>
      <c r="T134" s="59">
        <f t="shared" si="142"/>
        <v>245.37578316242906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60.005413832105191</v>
      </c>
      <c r="AA134" s="21">
        <f>EXP(-LN(2)/25)*AA133+(1-EXP(-LN(2)/25))/(LN(2)/25)*Calculateur!V134*Calculateur!X134*VLOOKUP('Données projet'!$B$9,Paramètres!$A$1:$I$89,3,0)*0.475*44/12</f>
        <v>9.2288676854388978</v>
      </c>
      <c r="AB134" s="21">
        <f>EXP(-LN(2)/2)*AB133+(1-EXP(-LN(2)/2))/(LN(2)/2)*V134*Y134*VLOOKUP('Données projet'!$B$9,Paramètres!$A$1:$I$89,3,0)*0.475*44/12</f>
        <v>2.4598025962423578E-7</v>
      </c>
      <c r="AC134" s="22">
        <f t="shared" si="111"/>
        <v>69.234281763524351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-2.2737367544323206E-13</v>
      </c>
      <c r="AJ134" s="13">
        <f>AI134*VLOOKUP('Données projet'!$B$10,Paramètres!$A$1:$I$89,3,0)*VLOOKUP('Données projet'!$B$10,Paramètres!$A$1:$I$89,5,0)</f>
        <v>-1.3596945791505279E-13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261.13725557061468</v>
      </c>
      <c r="AO134" s="59">
        <f t="shared" si="144"/>
        <v>328.18986868293558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36.87380547734125</v>
      </c>
      <c r="AV134" s="21">
        <f>EXP(-LN(2)/25)*AV133+(1-EXP(-LN(2)/25))/(LN(2)/25)*Calculateur!AQ134*Calculateur!AS134*VLOOKUP('Données projet'!$B$10,Paramètres!$A$1:$I$89,3,0)*0.475*44/12</f>
        <v>5.5250721991388412</v>
      </c>
      <c r="AW134" s="21">
        <f>EXP(-LN(2)/2)*AW133+(1-EXP(-LN(2)/2))/(LN(2)/2)*AQ134*AT134*VLOOKUP('Données projet'!$B$10,Paramètres!$A$1:$I$89,3,0)*0.475*44/12</f>
        <v>2.0788588806171677E-10</v>
      </c>
      <c r="AX134" s="21">
        <f t="shared" si="114"/>
        <v>42.398877676687974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5.2446581196581219</v>
      </c>
      <c r="BD134" s="12">
        <f>IF('Données projet'!$A$88&gt;35,BD133+BC134-BL133,IF(A134&lt;'Données projet'!$A$88,$BA$205^A134,IF(A134='Données projet'!$A$88,'Données projet'!$B$88,BD133+BC134-BL133)))</f>
        <v>261.60256410256363</v>
      </c>
      <c r="BE134" s="13">
        <f>BD134*VLOOKUP('Données projet'!$B$11,Paramètres!$A$1:$I$89,3,0)*VLOOKUP('Données projet'!$B$11,Paramètres!$A$1:$I$89,5,0)</f>
        <v>265.26499999999953</v>
      </c>
      <c r="BF134" s="13">
        <f t="shared" si="145"/>
        <v>63.843350385205326</v>
      </c>
      <c r="BG134" s="20">
        <f t="shared" si="115"/>
        <v>573.19704358756508</v>
      </c>
      <c r="BH134" s="59">
        <f t="shared" si="116"/>
        <v>866.53037692089833</v>
      </c>
      <c r="BI134" s="59">
        <f ca="1">AVERAGE(OFFSET($BH$3,0,0,'Données projet'!$E$11+1,1))-AVERAGE(OFFSET($H$3,0,0,'Données projet'!$E$11+1,1))</f>
        <v>250.31277422753283</v>
      </c>
      <c r="BJ134" s="59">
        <f t="shared" si="146"/>
        <v>159.20429420478047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42.441786162985984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42.441786162985984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243</v>
      </c>
      <c r="BZ134" s="13">
        <f>BY134*VLOOKUP('Données projet'!$B$12,Paramètres!$A$1:$I$89,3,0)*VLOOKUP('Données projet'!$B$12,Paramètres!$A$1:$I$89,5,0)</f>
        <v>253.98360000000002</v>
      </c>
      <c r="CA134" s="13">
        <f t="shared" si="147"/>
        <v>61.438182405444294</v>
      </c>
      <c r="CB134" s="20">
        <f t="shared" si="118"/>
        <v>549.35960435614891</v>
      </c>
      <c r="CC134" s="59">
        <f t="shared" si="119"/>
        <v>842.69293768948228</v>
      </c>
      <c r="CD134" s="59">
        <f ca="1">AVERAGE(OFFSET($CC$3,0,0,'Données projet'!$E$12+1,1))-AVERAGE(OFFSET($H$3,0,0,'Données projet'!$E$12+1,1))</f>
        <v>322.93502595881938</v>
      </c>
      <c r="CE134" s="59">
        <f t="shared" si="148"/>
        <v>302.67072119588164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17.646789495150529</v>
      </c>
      <c r="CL134" s="21">
        <f>EXP(-LN(2)/25)*CL133+(1-EXP(-LN(2)/25))/(LN(2)/25)*Calculateur!CG134*Calculateur!CI134*VLOOKUP('Données projet'!$B$12,Paramètres!$A$1:$I$89,3,0)*0.475*44/12</f>
        <v>7.5425777469938931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25.189367242144421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278.21846622758881</v>
      </c>
      <c r="T135" s="59">
        <f t="shared" si="142"/>
        <v>245.37578316242906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58.828744266546124</v>
      </c>
      <c r="AA135" s="21">
        <f>EXP(-LN(2)/25)*AA134+(1-EXP(-LN(2)/25))/(LN(2)/25)*Calculateur!V135*Calculateur!X135*VLOOKUP('Données projet'!$B$9,Paramètres!$A$1:$I$89,3,0)*0.475*44/12</f>
        <v>8.9765038132555119</v>
      </c>
      <c r="AB135" s="21">
        <f>EXP(-LN(2)/2)*AB134+(1-EXP(-LN(2)/2))/(LN(2)/2)*V135*Y135*VLOOKUP('Données projet'!$B$9,Paramètres!$A$1:$I$89,3,0)*0.475*44/12</f>
        <v>1.7393430961832464E-7</v>
      </c>
      <c r="AC135" s="22">
        <f t="shared" si="111"/>
        <v>67.80524825373594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-2.2737367544323206E-13</v>
      </c>
      <c r="AJ135" s="13">
        <f>AI135*VLOOKUP('Données projet'!$B$10,Paramètres!$A$1:$I$89,3,0)*VLOOKUP('Données projet'!$B$10,Paramètres!$A$1:$I$89,5,0)</f>
        <v>-1.3596945791505279E-13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261.13725557061468</v>
      </c>
      <c r="AO135" s="59">
        <f t="shared" si="144"/>
        <v>328.18986868293558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36.15073264273115</v>
      </c>
      <c r="AV135" s="21">
        <f>EXP(-LN(2)/25)*AV134+(1-EXP(-LN(2)/25))/(LN(2)/25)*Calculateur!AQ135*Calculateur!AS135*VLOOKUP('Données projet'!$B$10,Paramètres!$A$1:$I$89,3,0)*0.475*44/12</f>
        <v>5.3739888093024701</v>
      </c>
      <c r="AW135" s="21">
        <f>EXP(-LN(2)/2)*AW134+(1-EXP(-LN(2)/2))/(LN(2)/2)*AQ135*AT135*VLOOKUP('Données projet'!$B$10,Paramètres!$A$1:$I$89,3,0)*0.475*44/12</f>
        <v>1.4699752116142747E-10</v>
      </c>
      <c r="AX135" s="21">
        <f t="shared" si="114"/>
        <v>41.524721452180614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5.2446581196581219</v>
      </c>
      <c r="BD135" s="12">
        <f>IF('Données projet'!$A$88&gt;35,BD134+BC135-BL134,IF(A135&lt;'Données projet'!$A$88,$BA$205^A135,IF(A135='Données projet'!$A$88,'Données projet'!$B$88,BD134+BC135-BL134)))</f>
        <v>266.84722222222177</v>
      </c>
      <c r="BE135" s="13">
        <f>BD135*VLOOKUP('Données projet'!$B$11,Paramètres!$A$1:$I$89,3,0)*VLOOKUP('Données projet'!$B$11,Paramètres!$A$1:$I$89,5,0)</f>
        <v>270.58308333333292</v>
      </c>
      <c r="BF135" s="13">
        <f t="shared" si="145"/>
        <v>64.972998746573325</v>
      </c>
      <c r="BG135" s="20">
        <f t="shared" si="115"/>
        <v>584.42684295583661</v>
      </c>
      <c r="BH135" s="59">
        <f t="shared" si="116"/>
        <v>877.76017628916998</v>
      </c>
      <c r="BI135" s="59">
        <f ca="1">AVERAGE(OFFSET($BH$3,0,0,'Données projet'!$E$11+1,1))-AVERAGE(OFFSET($H$3,0,0,'Données projet'!$E$11+1,1))</f>
        <v>250.31277422753283</v>
      </c>
      <c r="BJ135" s="59">
        <f t="shared" si="146"/>
        <v>159.20429420478047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41.609528623263266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41.609528623263266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243</v>
      </c>
      <c r="BZ135" s="13">
        <f>BY135*VLOOKUP('Données projet'!$B$12,Paramètres!$A$1:$I$89,3,0)*VLOOKUP('Données projet'!$B$12,Paramètres!$A$1:$I$89,5,0)</f>
        <v>253.98360000000002</v>
      </c>
      <c r="CA135" s="13">
        <f t="shared" si="147"/>
        <v>61.438182405444294</v>
      </c>
      <c r="CB135" s="20">
        <f t="shared" si="118"/>
        <v>549.35960435614891</v>
      </c>
      <c r="CC135" s="59">
        <f t="shared" si="119"/>
        <v>842.69293768948228</v>
      </c>
      <c r="CD135" s="59">
        <f ca="1">AVERAGE(OFFSET($CC$3,0,0,'Données projet'!$E$12+1,1))-AVERAGE(OFFSET($H$3,0,0,'Données projet'!$E$12+1,1))</f>
        <v>322.93502595881938</v>
      </c>
      <c r="CE135" s="59">
        <f t="shared" si="148"/>
        <v>302.67072119588164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17.300746716629412</v>
      </c>
      <c r="CL135" s="21">
        <f>EXP(-LN(2)/25)*CL134+(1-EXP(-LN(2)/25))/(LN(2)/25)*Calculateur!CG135*Calculateur!CI135*VLOOKUP('Données projet'!$B$12,Paramètres!$A$1:$I$89,3,0)*0.475*44/12</f>
        <v>7.3363255618554204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24.637072278484833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278.21846622758881</v>
      </c>
      <c r="T136" s="59">
        <f t="shared" si="142"/>
        <v>245.37578316242906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57.675148473470102</v>
      </c>
      <c r="AA136" s="21">
        <f>EXP(-LN(2)/25)*AA135+(1-EXP(-LN(2)/25))/(LN(2)/25)*Calculateur!V136*Calculateur!X136*VLOOKUP('Données projet'!$B$9,Paramètres!$A$1:$I$89,3,0)*0.475*44/12</f>
        <v>8.7310408444282199</v>
      </c>
      <c r="AB136" s="21">
        <f>EXP(-LN(2)/2)*AB135+(1-EXP(-LN(2)/2))/(LN(2)/2)*V136*Y136*VLOOKUP('Données projet'!$B$9,Paramètres!$A$1:$I$89,3,0)*0.475*44/12</f>
        <v>1.2299012981211789E-7</v>
      </c>
      <c r="AC136" s="22">
        <f t="shared" si="111"/>
        <v>66.406189440888454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-2.2737367544323206E-13</v>
      </c>
      <c r="AJ136" s="13">
        <f>AI136*VLOOKUP('Données projet'!$B$10,Paramètres!$A$1:$I$89,3,0)*VLOOKUP('Données projet'!$B$10,Paramètres!$A$1:$I$89,5,0)</f>
        <v>-1.3596945791505279E-13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261.13725557061468</v>
      </c>
      <c r="AO136" s="59">
        <f t="shared" si="144"/>
        <v>328.18986868293558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35.44183882537687</v>
      </c>
      <c r="AV136" s="21">
        <f>EXP(-LN(2)/25)*AV135+(1-EXP(-LN(2)/25))/(LN(2)/25)*Calculateur!AQ136*Calculateur!AS136*VLOOKUP('Données projet'!$B$10,Paramètres!$A$1:$I$89,3,0)*0.475*44/12</f>
        <v>5.227036802706305</v>
      </c>
      <c r="AW136" s="21">
        <f>EXP(-LN(2)/2)*AW135+(1-EXP(-LN(2)/2))/(LN(2)/2)*AQ136*AT136*VLOOKUP('Données projet'!$B$10,Paramètres!$A$1:$I$89,3,0)*0.475*44/12</f>
        <v>1.0394294403085838E-10</v>
      </c>
      <c r="AX136" s="21">
        <f t="shared" si="114"/>
        <v>40.668875628187116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5.2446581196581219</v>
      </c>
      <c r="BD136" s="12">
        <f>IF('Données projet'!$A$88&gt;35,BD135+BC136-BL135,IF(A136&lt;'Données projet'!$A$88,$BA$205^A136,IF(A136='Données projet'!$A$88,'Données projet'!$B$88,BD135+BC136-BL135)))</f>
        <v>272.09188034187991</v>
      </c>
      <c r="BE136" s="13">
        <f>BD136*VLOOKUP('Données projet'!$B$11,Paramètres!$A$1:$I$89,3,0)*VLOOKUP('Données projet'!$B$11,Paramètres!$A$1:$I$89,5,0)</f>
        <v>275.90116666666626</v>
      </c>
      <c r="BF136" s="13">
        <f t="shared" si="145"/>
        <v>66.100065539585671</v>
      </c>
      <c r="BG136" s="20">
        <f t="shared" si="115"/>
        <v>595.65214609255543</v>
      </c>
      <c r="BH136" s="59">
        <f t="shared" si="116"/>
        <v>888.9854794258888</v>
      </c>
      <c r="BI136" s="59">
        <f ca="1">AVERAGE(OFFSET($BH$3,0,0,'Données projet'!$E$11+1,1))-AVERAGE(OFFSET($H$3,0,0,'Données projet'!$E$11+1,1))</f>
        <v>250.31277422753283</v>
      </c>
      <c r="BJ136" s="59">
        <f t="shared" si="146"/>
        <v>159.20429420478047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40.793591146267538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40.793591146267538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243</v>
      </c>
      <c r="BZ136" s="13">
        <f>BY136*VLOOKUP('Données projet'!$B$12,Paramètres!$A$1:$I$89,3,0)*VLOOKUP('Données projet'!$B$12,Paramètres!$A$1:$I$89,5,0)</f>
        <v>253.98360000000002</v>
      </c>
      <c r="CA136" s="13">
        <f t="shared" si="147"/>
        <v>61.438182405444294</v>
      </c>
      <c r="CB136" s="20">
        <f t="shared" si="118"/>
        <v>549.35960435614891</v>
      </c>
      <c r="CC136" s="59">
        <f t="shared" si="119"/>
        <v>842.69293768948228</v>
      </c>
      <c r="CD136" s="59">
        <f ca="1">AVERAGE(OFFSET($CC$3,0,0,'Données projet'!$E$12+1,1))-AVERAGE(OFFSET($H$3,0,0,'Données projet'!$E$12+1,1))</f>
        <v>322.93502595881938</v>
      </c>
      <c r="CE136" s="59">
        <f t="shared" si="148"/>
        <v>302.67072119588164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16.961489625929843</v>
      </c>
      <c r="CL136" s="21">
        <f>EXP(-LN(2)/25)*CL135+(1-EXP(-LN(2)/25))/(LN(2)/25)*Calculateur!CG136*Calculateur!CI136*VLOOKUP('Données projet'!$B$12,Paramètres!$A$1:$I$89,3,0)*0.475*44/12</f>
        <v>7.1357133535658903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24.097202979495734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278.21846622758881</v>
      </c>
      <c r="T137" s="59">
        <f t="shared" si="142"/>
        <v>245.37578316242906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56.544173990272348</v>
      </c>
      <c r="AA137" s="21">
        <f>EXP(-LN(2)/25)*AA136+(1-EXP(-LN(2)/25))/(LN(2)/25)*Calculateur!V137*Calculateur!X137*VLOOKUP('Données projet'!$B$9,Paramètres!$A$1:$I$89,3,0)*0.475*44/12</f>
        <v>8.4922900733918478</v>
      </c>
      <c r="AB137" s="21">
        <f>EXP(-LN(2)/2)*AB136+(1-EXP(-LN(2)/2))/(LN(2)/2)*V137*Y137*VLOOKUP('Données projet'!$B$9,Paramètres!$A$1:$I$89,3,0)*0.475*44/12</f>
        <v>8.6967154809162319E-8</v>
      </c>
      <c r="AC137" s="22">
        <f t="shared" si="111"/>
        <v>65.036464150631346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-2.2737367544323206E-13</v>
      </c>
      <c r="AJ137" s="13">
        <f>AI137*VLOOKUP('Données projet'!$B$10,Paramètres!$A$1:$I$89,3,0)*VLOOKUP('Données projet'!$B$10,Paramètres!$A$1:$I$89,5,0)</f>
        <v>-1.3596945791505279E-13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261.13725557061468</v>
      </c>
      <c r="AO137" s="59">
        <f t="shared" si="144"/>
        <v>328.18986868293558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34.746845983398373</v>
      </c>
      <c r="AV137" s="21">
        <f>EXP(-LN(2)/25)*AV136+(1-EXP(-LN(2)/25))/(LN(2)/25)*Calculateur!AQ137*Calculateur!AS137*VLOOKUP('Données projet'!$B$10,Paramètres!$A$1:$I$89,3,0)*0.475*44/12</f>
        <v>5.0841032064583818</v>
      </c>
      <c r="AW137" s="21">
        <f>EXP(-LN(2)/2)*AW136+(1-EXP(-LN(2)/2))/(LN(2)/2)*AQ137*AT137*VLOOKUP('Données projet'!$B$10,Paramètres!$A$1:$I$89,3,0)*0.475*44/12</f>
        <v>7.3498760580713735E-11</v>
      </c>
      <c r="AX137" s="21">
        <f t="shared" si="114"/>
        <v>39.830949189930251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5.2446581196581219</v>
      </c>
      <c r="BD137" s="12">
        <f>IF('Données projet'!$A$88&gt;35,BD136+BC137-BL136,IF(A137&lt;'Données projet'!$A$88,$BA$205^A137,IF(A137='Données projet'!$A$88,'Données projet'!$B$88,BD136+BC137-BL136)))</f>
        <v>277.33653846153805</v>
      </c>
      <c r="BE137" s="13">
        <f>BD137*VLOOKUP('Données projet'!$B$11,Paramètres!$A$1:$I$89,3,0)*VLOOKUP('Données projet'!$B$11,Paramètres!$A$1:$I$89,5,0)</f>
        <v>281.21924999999965</v>
      </c>
      <c r="BF137" s="13">
        <f t="shared" si="145"/>
        <v>67.224606261587638</v>
      </c>
      <c r="BG137" s="20">
        <f t="shared" si="115"/>
        <v>606.87304965559781</v>
      </c>
      <c r="BH137" s="59">
        <f t="shared" si="116"/>
        <v>900.20638298893118</v>
      </c>
      <c r="BI137" s="59">
        <f ca="1">AVERAGE(OFFSET($BH$3,0,0,'Données projet'!$E$11+1,1))-AVERAGE(OFFSET($H$3,0,0,'Données projet'!$E$11+1,1))</f>
        <v>250.31277422753283</v>
      </c>
      <c r="BJ137" s="59">
        <f t="shared" si="146"/>
        <v>159.20429420478047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39.993653705522973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39.993653705522973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243</v>
      </c>
      <c r="BZ137" s="13">
        <f>BY137*VLOOKUP('Données projet'!$B$12,Paramètres!$A$1:$I$89,3,0)*VLOOKUP('Données projet'!$B$12,Paramètres!$A$1:$I$89,5,0)</f>
        <v>253.98360000000002</v>
      </c>
      <c r="CA137" s="13">
        <f t="shared" si="147"/>
        <v>61.438182405444294</v>
      </c>
      <c r="CB137" s="20">
        <f t="shared" si="118"/>
        <v>549.35960435614891</v>
      </c>
      <c r="CC137" s="59">
        <f t="shared" si="119"/>
        <v>842.69293768948228</v>
      </c>
      <c r="CD137" s="59">
        <f ca="1">AVERAGE(OFFSET($CC$3,0,0,'Données projet'!$E$12+1,1))-AVERAGE(OFFSET($H$3,0,0,'Données projet'!$E$12+1,1))</f>
        <v>322.93502595881938</v>
      </c>
      <c r="CE137" s="59">
        <f t="shared" si="148"/>
        <v>302.67072119588164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16.628885159852498</v>
      </c>
      <c r="CL137" s="21">
        <f>EXP(-LN(2)/25)*CL136+(1-EXP(-LN(2)/25))/(LN(2)/25)*Calculateur!CG137*Calculateur!CI137*VLOOKUP('Données projet'!$B$12,Paramètres!$A$1:$I$89,3,0)*0.475*44/12</f>
        <v>6.9405868966617748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23.569472056514272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278.21846622758881</v>
      </c>
      <c r="T138" s="59">
        <f t="shared" si="142"/>
        <v>245.37578316242906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55.435377226863778</v>
      </c>
      <c r="AA138" s="21">
        <f>EXP(-LN(2)/25)*AA137+(1-EXP(-LN(2)/25))/(LN(2)/25)*Calculateur!V138*Calculateur!X138*VLOOKUP('Données projet'!$B$9,Paramètres!$A$1:$I$89,3,0)*0.475*44/12</f>
        <v>8.260067954744823</v>
      </c>
      <c r="AB138" s="21">
        <f>EXP(-LN(2)/2)*AB137+(1-EXP(-LN(2)/2))/(LN(2)/2)*V138*Y138*VLOOKUP('Données projet'!$B$9,Paramètres!$A$1:$I$89,3,0)*0.475*44/12</f>
        <v>6.1495064906058944E-8</v>
      </c>
      <c r="AC138" s="22">
        <f t="shared" si="111"/>
        <v>63.69544524310367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-2.2737367544323206E-13</v>
      </c>
      <c r="AJ138" s="13">
        <f>AI138*VLOOKUP('Données projet'!$B$10,Paramètres!$A$1:$I$89,3,0)*VLOOKUP('Données projet'!$B$10,Paramètres!$A$1:$I$89,5,0)</f>
        <v>-1.3596945791505279E-13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261.13725557061468</v>
      </c>
      <c r="AO138" s="59">
        <f t="shared" si="144"/>
        <v>328.18986868293558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34.065481527147298</v>
      </c>
      <c r="AV138" s="21">
        <f>EXP(-LN(2)/25)*AV137+(1-EXP(-LN(2)/25))/(LN(2)/25)*Calculateur!AQ138*Calculateur!AS138*VLOOKUP('Données projet'!$B$10,Paramètres!$A$1:$I$89,3,0)*0.475*44/12</f>
        <v>4.9450781369164094</v>
      </c>
      <c r="AW138" s="21">
        <f>EXP(-LN(2)/2)*AW137+(1-EXP(-LN(2)/2))/(LN(2)/2)*AQ138*AT138*VLOOKUP('Données projet'!$B$10,Paramètres!$A$1:$I$89,3,0)*0.475*44/12</f>
        <v>5.1971472015429192E-11</v>
      </c>
      <c r="AX138" s="21">
        <f t="shared" si="114"/>
        <v>39.010559664115675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5.2446581196581219</v>
      </c>
      <c r="BD138" s="12">
        <f>IF('Données projet'!$A$88&gt;35,BD137+BC138-BL137,IF(A138&lt;'Données projet'!$A$88,$BA$205^A138,IF(A138='Données projet'!$A$88,'Données projet'!$B$88,BD137+BC138-BL137)))</f>
        <v>282.5811965811962</v>
      </c>
      <c r="BE138" s="13">
        <f>BD138*VLOOKUP('Données projet'!$B$11,Paramètres!$A$1:$I$89,3,0)*VLOOKUP('Données projet'!$B$11,Paramètres!$A$1:$I$89,5,0)</f>
        <v>286.53733333333292</v>
      </c>
      <c r="BF138" s="13">
        <f t="shared" si="145"/>
        <v>68.346674190809836</v>
      </c>
      <c r="BG138" s="20">
        <f t="shared" si="115"/>
        <v>618.08964643788192</v>
      </c>
      <c r="BH138" s="59">
        <f t="shared" si="116"/>
        <v>911.4229797712153</v>
      </c>
      <c r="BI138" s="59">
        <f ca="1">AVERAGE(OFFSET($BH$3,0,0,'Données projet'!$E$11+1,1))-AVERAGE(OFFSET($H$3,0,0,'Données projet'!$E$11+1,1))</f>
        <v>250.31277422753283</v>
      </c>
      <c r="BJ138" s="59">
        <f t="shared" si="146"/>
        <v>159.20429420478047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39.209402550077748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39.209402550077748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243</v>
      </c>
      <c r="BZ138" s="13">
        <f>BY138*VLOOKUP('Données projet'!$B$12,Paramètres!$A$1:$I$89,3,0)*VLOOKUP('Données projet'!$B$12,Paramètres!$A$1:$I$89,5,0)</f>
        <v>253.98360000000002</v>
      </c>
      <c r="CA138" s="13">
        <f t="shared" si="147"/>
        <v>61.438182405444294</v>
      </c>
      <c r="CB138" s="20">
        <f t="shared" si="118"/>
        <v>549.35960435614891</v>
      </c>
      <c r="CC138" s="59">
        <f t="shared" si="119"/>
        <v>842.69293768948228</v>
      </c>
      <c r="CD138" s="59">
        <f ca="1">AVERAGE(OFFSET($CC$3,0,0,'Données projet'!$E$12+1,1))-AVERAGE(OFFSET($H$3,0,0,'Données projet'!$E$12+1,1))</f>
        <v>322.93502595881938</v>
      </c>
      <c r="CE138" s="59">
        <f t="shared" si="148"/>
        <v>302.67072119588164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16.302802864486239</v>
      </c>
      <c r="CL138" s="21">
        <f>EXP(-LN(2)/25)*CL137+(1-EXP(-LN(2)/25))/(LN(2)/25)*Calculateur!CG138*Calculateur!CI138*VLOOKUP('Données projet'!$B$12,Paramètres!$A$1:$I$89,3,0)*0.475*44/12</f>
        <v>6.7507961829829561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23.053599047469195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278.21846622758881</v>
      </c>
      <c r="T139" s="59">
        <f t="shared" si="142"/>
        <v>245.37578316242906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54.348323291686405</v>
      </c>
      <c r="AA139" s="21">
        <f>EXP(-LN(2)/25)*AA138+(1-EXP(-LN(2)/25))/(LN(2)/25)*Calculateur!V139*Calculateur!X139*VLOOKUP('Données projet'!$B$9,Paramètres!$A$1:$I$89,3,0)*0.475*44/12</f>
        <v>8.0341959621442314</v>
      </c>
      <c r="AB139" s="21">
        <f>EXP(-LN(2)/2)*AB138+(1-EXP(-LN(2)/2))/(LN(2)/2)*V139*Y139*VLOOKUP('Données projet'!$B$9,Paramètres!$A$1:$I$89,3,0)*0.475*44/12</f>
        <v>4.348357740458116E-8</v>
      </c>
      <c r="AC139" s="22">
        <f t="shared" si="111"/>
        <v>62.382519297314211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-2.2737367544323206E-13</v>
      </c>
      <c r="AJ139" s="13">
        <f>AI139*VLOOKUP('Données projet'!$B$10,Paramètres!$A$1:$I$89,3,0)*VLOOKUP('Données projet'!$B$10,Paramètres!$A$1:$I$89,5,0)</f>
        <v>-1.3596945791505279E-13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261.13725557061468</v>
      </c>
      <c r="AO139" s="59">
        <f t="shared" si="144"/>
        <v>328.18986868293558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33.397478212292022</v>
      </c>
      <c r="AV139" s="21">
        <f>EXP(-LN(2)/25)*AV138+(1-EXP(-LN(2)/25))/(LN(2)/25)*Calculateur!AQ139*Calculateur!AS139*VLOOKUP('Données projet'!$B$10,Paramètres!$A$1:$I$89,3,0)*0.475*44/12</f>
        <v>4.8098547152120732</v>
      </c>
      <c r="AW139" s="21">
        <f>EXP(-LN(2)/2)*AW138+(1-EXP(-LN(2)/2))/(LN(2)/2)*AQ139*AT139*VLOOKUP('Données projet'!$B$10,Paramètres!$A$1:$I$89,3,0)*0.475*44/12</f>
        <v>3.6749380290356867E-11</v>
      </c>
      <c r="AX139" s="21">
        <f t="shared" si="114"/>
        <v>38.207332927540847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5.2446581196581219</v>
      </c>
      <c r="BD139" s="12">
        <f>IF('Données projet'!$A$88&gt;35,BD138+BC139-BL138,IF(A139&lt;'Données projet'!$A$88,$BA$205^A139,IF(A139='Données projet'!$A$88,'Données projet'!$B$88,BD138+BC139-BL138)))</f>
        <v>287.82585470085434</v>
      </c>
      <c r="BE139" s="13">
        <f>BD139*VLOOKUP('Données projet'!$B$11,Paramètres!$A$1:$I$89,3,0)*VLOOKUP('Données projet'!$B$11,Paramètres!$A$1:$I$89,5,0)</f>
        <v>291.85541666666631</v>
      </c>
      <c r="BF139" s="13">
        <f t="shared" si="145"/>
        <v>69.466320514612647</v>
      </c>
      <c r="BG139" s="20">
        <f t="shared" si="115"/>
        <v>629.30202559072757</v>
      </c>
      <c r="BH139" s="59">
        <f t="shared" si="116"/>
        <v>922.63535892406094</v>
      </c>
      <c r="BI139" s="59">
        <f ca="1">AVERAGE(OFFSET($BH$3,0,0,'Données projet'!$E$11+1,1))-AVERAGE(OFFSET($H$3,0,0,'Données projet'!$E$11+1,1))</f>
        <v>250.31277422753283</v>
      </c>
      <c r="BJ139" s="59">
        <f t="shared" si="146"/>
        <v>159.20429420478047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38.440530081444834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38.440530081444834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243</v>
      </c>
      <c r="BZ139" s="13">
        <f>BY139*VLOOKUP('Données projet'!$B$12,Paramètres!$A$1:$I$89,3,0)*VLOOKUP('Données projet'!$B$12,Paramètres!$A$1:$I$89,5,0)</f>
        <v>253.98360000000002</v>
      </c>
      <c r="CA139" s="13">
        <f t="shared" si="147"/>
        <v>61.438182405444294</v>
      </c>
      <c r="CB139" s="20">
        <f t="shared" si="118"/>
        <v>549.35960435614891</v>
      </c>
      <c r="CC139" s="59">
        <f t="shared" si="119"/>
        <v>842.69293768948228</v>
      </c>
      <c r="CD139" s="59">
        <f ca="1">AVERAGE(OFFSET($CC$3,0,0,'Données projet'!$E$12+1,1))-AVERAGE(OFFSET($H$3,0,0,'Données projet'!$E$12+1,1))</f>
        <v>322.93502595881938</v>
      </c>
      <c r="CE139" s="59">
        <f t="shared" si="148"/>
        <v>302.67072119588164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15.98311484404155</v>
      </c>
      <c r="CL139" s="21">
        <f>EXP(-LN(2)/25)*CL138+(1-EXP(-LN(2)/25))/(LN(2)/25)*Calculateur!CG139*Calculateur!CI139*VLOOKUP('Données projet'!$B$12,Paramètres!$A$1:$I$89,3,0)*0.475*44/12</f>
        <v>6.5661953063503447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22.549310150391896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278.21846622758881</v>
      </c>
      <c r="T140" s="59">
        <f t="shared" si="142"/>
        <v>245.37578316242906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53.28258582114043</v>
      </c>
      <c r="AA140" s="21">
        <f>EXP(-LN(2)/25)*AA139+(1-EXP(-LN(2)/25))/(LN(2)/25)*Calculateur!V140*Calculateur!X140*VLOOKUP('Données projet'!$B$9,Paramètres!$A$1:$I$89,3,0)*0.475*44/12</f>
        <v>7.8145004510593941</v>
      </c>
      <c r="AB140" s="21">
        <f>EXP(-LN(2)/2)*AB139+(1-EXP(-LN(2)/2))/(LN(2)/2)*V140*Y140*VLOOKUP('Données projet'!$B$9,Paramètres!$A$1:$I$89,3,0)*0.475*44/12</f>
        <v>3.0747532453029472E-8</v>
      </c>
      <c r="AC140" s="22">
        <f t="shared" si="111"/>
        <v>61.097086302947353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-2.2737367544323206E-13</v>
      </c>
      <c r="AJ140" s="13">
        <f>AI140*VLOOKUP('Données projet'!$B$10,Paramètres!$A$1:$I$89,3,0)*VLOOKUP('Données projet'!$B$10,Paramètres!$A$1:$I$89,5,0)</f>
        <v>-1.3596945791505279E-13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261.13725557061468</v>
      </c>
      <c r="AO140" s="59">
        <f t="shared" si="144"/>
        <v>328.18986868293558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32.742574034999272</v>
      </c>
      <c r="AV140" s="21">
        <f>EXP(-LN(2)/25)*AV139+(1-EXP(-LN(2)/25))/(LN(2)/25)*Calculateur!AQ140*Calculateur!AS140*VLOOKUP('Données projet'!$B$10,Paramètres!$A$1:$I$89,3,0)*0.475*44/12</f>
        <v>4.6783289850853329</v>
      </c>
      <c r="AW140" s="21">
        <f>EXP(-LN(2)/2)*AW139+(1-EXP(-LN(2)/2))/(LN(2)/2)*AQ140*AT140*VLOOKUP('Données projet'!$B$10,Paramètres!$A$1:$I$89,3,0)*0.475*44/12</f>
        <v>2.5985736007714596E-11</v>
      </c>
      <c r="AX140" s="21">
        <f t="shared" si="114"/>
        <v>37.420903020110593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293.07051282051282</v>
      </c>
      <c r="BB140" s="12">
        <f>VLOOKUP(A140,'Données projet'!$A$87:$I$107,9,0)</f>
        <v>5.2446581196581219</v>
      </c>
      <c r="BC140" s="12">
        <f t="array" ref="BC140">INDEX(BB:BB,MIN(IF(ISNUMBER(BB140:BB336),ROW(BB140:BB336),"")))</f>
        <v>5.2446581196581219</v>
      </c>
      <c r="BD140" s="12">
        <f>IF('Données projet'!$A$88&gt;35,BD139+BC140-BL139,IF(A140&lt;'Données projet'!$A$88,$BA$205^A140,IF(A140='Données projet'!$A$88,'Données projet'!$B$88,BD139+BC140-BL139)))</f>
        <v>293.07051282051248</v>
      </c>
      <c r="BE140" s="13">
        <f>BD140*VLOOKUP('Données projet'!$B$11,Paramètres!$A$1:$I$89,3,0)*VLOOKUP('Données projet'!$B$11,Paramètres!$A$1:$I$89,5,0)</f>
        <v>297.17349999999965</v>
      </c>
      <c r="BF140" s="13">
        <f t="shared" si="145"/>
        <v>70.583594448118191</v>
      </c>
      <c r="BG140" s="20">
        <f t="shared" si="115"/>
        <v>640.51027283047199</v>
      </c>
      <c r="BH140" s="59">
        <f t="shared" si="116"/>
        <v>933.84360616380536</v>
      </c>
      <c r="BI140" s="59">
        <f ca="1">AVERAGE(OFFSET($BH$3,0,0,'Données projet'!$E$11+1,1))-AVERAGE(OFFSET($H$3,0,0,'Données projet'!$E$11+1,1))</f>
        <v>250.31277422753283</v>
      </c>
      <c r="BJ140" s="59">
        <f t="shared" si="146"/>
        <v>159.20429420478047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51.160256410256409</v>
      </c>
      <c r="BM140" s="16">
        <f>IF(ISNA(VLOOKUP(A140,'Données projet'!$A$87:$I$107,5,0)),0%,VLOOKUP(A140,'Données projet'!$A$87:$I$107,5,0)*VLOOKUP('Données projet'!$B$11,Paramètres!$A$1:$I$89,7,0))</f>
        <v>0.30099999999999999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54.948462910252076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54.948462910252076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243</v>
      </c>
      <c r="BZ140" s="13">
        <f>BY140*VLOOKUP('Données projet'!$B$12,Paramètres!$A$1:$I$89,3,0)*VLOOKUP('Données projet'!$B$12,Paramètres!$A$1:$I$89,5,0)</f>
        <v>253.98360000000002</v>
      </c>
      <c r="CA140" s="13">
        <f t="shared" si="147"/>
        <v>61.438182405444294</v>
      </c>
      <c r="CB140" s="20">
        <f t="shared" si="118"/>
        <v>549.35960435614891</v>
      </c>
      <c r="CC140" s="59">
        <f t="shared" si="119"/>
        <v>842.69293768948228</v>
      </c>
      <c r="CD140" s="59">
        <f ca="1">AVERAGE(OFFSET($CC$3,0,0,'Données projet'!$E$12+1,1))-AVERAGE(OFFSET($H$3,0,0,'Données projet'!$E$12+1,1))</f>
        <v>322.93502595881938</v>
      </c>
      <c r="CE140" s="59">
        <f t="shared" si="148"/>
        <v>302.67072119588164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15.669695710687343</v>
      </c>
      <c r="CL140" s="21">
        <f>EXP(-LN(2)/25)*CL139+(1-EXP(-LN(2)/25))/(LN(2)/25)*Calculateur!CG140*Calculateur!CI140*VLOOKUP('Données projet'!$B$12,Paramètres!$A$1:$I$89,3,0)*0.475*44/12</f>
        <v>6.3866423503969907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22.056338061084332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278.21846622758881</v>
      </c>
      <c r="T141" s="59">
        <f t="shared" si="142"/>
        <v>245.37578316242906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52.237746812356193</v>
      </c>
      <c r="AA141" s="21">
        <f>EXP(-LN(2)/25)*AA140+(1-EXP(-LN(2)/25))/(LN(2)/25)*Calculateur!V141*Calculateur!X141*VLOOKUP('Données projet'!$B$9,Paramètres!$A$1:$I$89,3,0)*0.475*44/12</f>
        <v>7.6008125252784566</v>
      </c>
      <c r="AB141" s="21">
        <f>EXP(-LN(2)/2)*AB140+(1-EXP(-LN(2)/2))/(LN(2)/2)*V141*Y141*VLOOKUP('Données projet'!$B$9,Paramètres!$A$1:$I$89,3,0)*0.475*44/12</f>
        <v>2.174178870229058E-8</v>
      </c>
      <c r="AC141" s="22">
        <f t="shared" si="111"/>
        <v>59.83855935937644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-2.2737367544323206E-13</v>
      </c>
      <c r="AJ141" s="13">
        <f>AI141*VLOOKUP('Données projet'!$B$10,Paramètres!$A$1:$I$89,3,0)*VLOOKUP('Données projet'!$B$10,Paramètres!$A$1:$I$89,5,0)</f>
        <v>-1.3596945791505279E-13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261.13725557061468</v>
      </c>
      <c r="AO141" s="59">
        <f t="shared" si="144"/>
        <v>328.18986868293558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32.100512129171129</v>
      </c>
      <c r="AV141" s="21">
        <f>EXP(-LN(2)/25)*AV140+(1-EXP(-LN(2)/25))/(LN(2)/25)*Calculateur!AQ141*Calculateur!AS141*VLOOKUP('Données projet'!$B$10,Paramètres!$A$1:$I$89,3,0)*0.475*44/12</f>
        <v>4.550399832965546</v>
      </c>
      <c r="AW141" s="21">
        <f>EXP(-LN(2)/2)*AW140+(1-EXP(-LN(2)/2))/(LN(2)/2)*AQ141*AT141*VLOOKUP('Données projet'!$B$10,Paramètres!$A$1:$I$89,3,0)*0.475*44/12</f>
        <v>1.8374690145178434E-11</v>
      </c>
      <c r="AX141" s="21">
        <f t="shared" si="114"/>
        <v>36.65091196215505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5.1063034188034209</v>
      </c>
      <c r="BD141" s="12">
        <f>IF('Données projet'!$A$88&gt;35,BD140+BC141-BL140,IF(A141&lt;'Données projet'!$A$88,$BA$205^A141,IF(A141='Données projet'!$A$88,'Données projet'!$B$88,BD140+BC141-BL140)))</f>
        <v>247.01655982905947</v>
      </c>
      <c r="BE141" s="13">
        <f>BD141*VLOOKUP('Données projet'!$B$11,Paramètres!$A$1:$I$89,3,0)*VLOOKUP('Données projet'!$B$11,Paramètres!$A$1:$I$89,5,0)</f>
        <v>250.47479166666631</v>
      </c>
      <c r="BF141" s="13">
        <f t="shared" si="145"/>
        <v>60.687599112090453</v>
      </c>
      <c r="BG141" s="20">
        <f t="shared" si="115"/>
        <v>541.94116393966794</v>
      </c>
      <c r="BH141" s="59">
        <f t="shared" si="116"/>
        <v>835.27449727300132</v>
      </c>
      <c r="BI141" s="59">
        <f ca="1">AVERAGE(OFFSET($BH$3,0,0,'Données projet'!$E$11+1,1))-AVERAGE(OFFSET($H$3,0,0,'Données projet'!$E$11+1,1))</f>
        <v>250.31277422753283</v>
      </c>
      <c r="BJ141" s="59">
        <f t="shared" si="146"/>
        <v>159.20429420478047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53.87095706783505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53.87095706783505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243</v>
      </c>
      <c r="BZ141" s="13">
        <f>BY141*VLOOKUP('Données projet'!$B$12,Paramètres!$A$1:$I$89,3,0)*VLOOKUP('Données projet'!$B$12,Paramètres!$A$1:$I$89,5,0)</f>
        <v>253.98360000000002</v>
      </c>
      <c r="CA141" s="13">
        <f t="shared" si="147"/>
        <v>61.438182405444294</v>
      </c>
      <c r="CB141" s="20">
        <f t="shared" si="118"/>
        <v>549.35960435614891</v>
      </c>
      <c r="CC141" s="59">
        <f t="shared" si="119"/>
        <v>842.69293768948228</v>
      </c>
      <c r="CD141" s="59">
        <f ca="1">AVERAGE(OFFSET($CC$3,0,0,'Données projet'!$E$12+1,1))-AVERAGE(OFFSET($H$3,0,0,'Données projet'!$E$12+1,1))</f>
        <v>322.93502595881938</v>
      </c>
      <c r="CE141" s="59">
        <f t="shared" si="148"/>
        <v>302.67072119588164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15.362422535371415</v>
      </c>
      <c r="CL141" s="21">
        <f>EXP(-LN(2)/25)*CL140+(1-EXP(-LN(2)/25))/(LN(2)/25)*Calculateur!CG141*Calculateur!CI141*VLOOKUP('Données projet'!$B$12,Paramètres!$A$1:$I$89,3,0)*0.475*44/12</f>
        <v>6.2119992794664602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21.574421814837876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278.21846622758881</v>
      </c>
      <c r="T142" s="59">
        <f t="shared" si="142"/>
        <v>245.37578316242906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51.213396459245345</v>
      </c>
      <c r="AA142" s="21">
        <f>EXP(-LN(2)/25)*AA141+(1-EXP(-LN(2)/25))/(LN(2)/25)*Calculateur!V142*Calculateur!X142*VLOOKUP('Données projet'!$B$9,Paramètres!$A$1:$I$89,3,0)*0.475*44/12</f>
        <v>7.3929679070653584</v>
      </c>
      <c r="AB142" s="21">
        <f>EXP(-LN(2)/2)*AB141+(1-EXP(-LN(2)/2))/(LN(2)/2)*V142*Y142*VLOOKUP('Données projet'!$B$9,Paramètres!$A$1:$I$89,3,0)*0.475*44/12</f>
        <v>1.5373766226514736E-8</v>
      </c>
      <c r="AC142" s="22">
        <f t="shared" si="111"/>
        <v>58.606364381684465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-2.2737367544323206E-13</v>
      </c>
      <c r="AJ142" s="13">
        <f>AI142*VLOOKUP('Données projet'!$B$10,Paramètres!$A$1:$I$89,3,0)*VLOOKUP('Données projet'!$B$10,Paramètres!$A$1:$I$89,5,0)</f>
        <v>-1.3596945791505279E-13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261.13725557061468</v>
      </c>
      <c r="AO142" s="59">
        <f t="shared" si="144"/>
        <v>328.18986868293558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31.471040665697178</v>
      </c>
      <c r="AV142" s="21">
        <f>EXP(-LN(2)/25)*AV141+(1-EXP(-LN(2)/25))/(LN(2)/25)*Calculateur!AQ142*Calculateur!AS142*VLOOKUP('Données projet'!$B$10,Paramètres!$A$1:$I$89,3,0)*0.475*44/12</f>
        <v>4.4259689102379758</v>
      </c>
      <c r="AW142" s="21">
        <f>EXP(-LN(2)/2)*AW141+(1-EXP(-LN(2)/2))/(LN(2)/2)*AQ142*AT142*VLOOKUP('Données projet'!$B$10,Paramètres!$A$1:$I$89,3,0)*0.475*44/12</f>
        <v>1.2992868003857298E-11</v>
      </c>
      <c r="AX142" s="21">
        <f t="shared" si="114"/>
        <v>35.897009575948147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5.1063034188034209</v>
      </c>
      <c r="BD142" s="12">
        <f>IF('Données projet'!$A$88&gt;35,BD141+BC142-BL141,IF(A142&lt;'Données projet'!$A$88,$BA$205^A142,IF(A142='Données projet'!$A$88,'Données projet'!$B$88,BD141+BC142-BL141)))</f>
        <v>252.12286324786288</v>
      </c>
      <c r="BE142" s="13">
        <f>BD142*VLOOKUP('Données projet'!$B$11,Paramètres!$A$1:$I$89,3,0)*VLOOKUP('Données projet'!$B$11,Paramètres!$A$1:$I$89,5,0)</f>
        <v>255.65258333333296</v>
      </c>
      <c r="BF142" s="13">
        <f t="shared" si="145"/>
        <v>61.794776930172596</v>
      </c>
      <c r="BG142" s="20">
        <f t="shared" si="115"/>
        <v>552.88748579227229</v>
      </c>
      <c r="BH142" s="59">
        <f t="shared" si="116"/>
        <v>846.22081912560566</v>
      </c>
      <c r="BI142" s="59">
        <f ca="1">AVERAGE(OFFSET($BH$3,0,0,'Données projet'!$E$11+1,1))-AVERAGE(OFFSET($H$3,0,0,'Données projet'!$E$11+1,1))</f>
        <v>250.31277422753283</v>
      </c>
      <c r="BJ142" s="59">
        <f t="shared" si="146"/>
        <v>159.20429420478047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52.814580457774156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52.814580457774156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243</v>
      </c>
      <c r="BZ142" s="13">
        <f>BY142*VLOOKUP('Données projet'!$B$12,Paramètres!$A$1:$I$89,3,0)*VLOOKUP('Données projet'!$B$12,Paramètres!$A$1:$I$89,5,0)</f>
        <v>253.98360000000002</v>
      </c>
      <c r="CA142" s="13">
        <f t="shared" si="147"/>
        <v>61.438182405444294</v>
      </c>
      <c r="CB142" s="20">
        <f t="shared" si="118"/>
        <v>549.35960435614891</v>
      </c>
      <c r="CC142" s="59">
        <f t="shared" si="119"/>
        <v>842.69293768948228</v>
      </c>
      <c r="CD142" s="59">
        <f ca="1">AVERAGE(OFFSET($CC$3,0,0,'Données projet'!$E$12+1,1))-AVERAGE(OFFSET($H$3,0,0,'Données projet'!$E$12+1,1))</f>
        <v>322.93502595881938</v>
      </c>
      <c r="CE142" s="59">
        <f t="shared" si="148"/>
        <v>302.67072119588164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15.061174799605302</v>
      </c>
      <c r="CL142" s="21">
        <f>EXP(-LN(2)/25)*CL141+(1-EXP(-LN(2)/25))/(LN(2)/25)*Calculateur!CG142*Calculateur!CI142*VLOOKUP('Données projet'!$B$12,Paramètres!$A$1:$I$89,3,0)*0.475*44/12</f>
        <v>6.0421318324946052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21.103306632099908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278.21846622758881</v>
      </c>
      <c r="T143" s="59">
        <f t="shared" si="142"/>
        <v>245.37578316242906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50.209132991766978</v>
      </c>
      <c r="AA143" s="21">
        <f>EXP(-LN(2)/25)*AA142+(1-EXP(-LN(2)/25))/(LN(2)/25)*Calculateur!V143*Calculateur!X143*VLOOKUP('Données projet'!$B$9,Paramètres!$A$1:$I$89,3,0)*0.475*44/12</f>
        <v>7.1908068108673708</v>
      </c>
      <c r="AB143" s="21">
        <f>EXP(-LN(2)/2)*AB142+(1-EXP(-LN(2)/2))/(LN(2)/2)*V143*Y143*VLOOKUP('Données projet'!$B$9,Paramètres!$A$1:$I$89,3,0)*0.475*44/12</f>
        <v>1.087089435114529E-8</v>
      </c>
      <c r="AC143" s="22">
        <f t="shared" si="111"/>
        <v>57.399939813505242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-2.2737367544323206E-13</v>
      </c>
      <c r="AJ143" s="13">
        <f>AI143*VLOOKUP('Données projet'!$B$10,Paramètres!$A$1:$I$89,3,0)*VLOOKUP('Données projet'!$B$10,Paramètres!$A$1:$I$89,5,0)</f>
        <v>-1.3596945791505279E-13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261.13725557061468</v>
      </c>
      <c r="AO143" s="59">
        <f t="shared" si="144"/>
        <v>328.18986868293558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30.85391275368227</v>
      </c>
      <c r="AV143" s="21">
        <f>EXP(-LN(2)/25)*AV142+(1-EXP(-LN(2)/25))/(LN(2)/25)*Calculateur!AQ143*Calculateur!AS143*VLOOKUP('Données projet'!$B$10,Paramètres!$A$1:$I$89,3,0)*0.475*44/12</f>
        <v>4.3049405576359288</v>
      </c>
      <c r="AW143" s="21">
        <f>EXP(-LN(2)/2)*AW142+(1-EXP(-LN(2)/2))/(LN(2)/2)*AQ143*AT143*VLOOKUP('Données projet'!$B$10,Paramètres!$A$1:$I$89,3,0)*0.475*44/12</f>
        <v>9.1873450725892168E-12</v>
      </c>
      <c r="AX143" s="21">
        <f t="shared" si="114"/>
        <v>35.158853311327384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5.1063034188034209</v>
      </c>
      <c r="BD143" s="12">
        <f>IF('Données projet'!$A$88&gt;35,BD142+BC143-BL142,IF(A143&lt;'Données projet'!$A$88,$BA$205^A143,IF(A143='Données projet'!$A$88,'Données projet'!$B$88,BD142+BC143-BL142)))</f>
        <v>257.22916666666629</v>
      </c>
      <c r="BE143" s="13">
        <f>BD143*VLOOKUP('Données projet'!$B$11,Paramètres!$A$1:$I$89,3,0)*VLOOKUP('Données projet'!$B$11,Paramètres!$A$1:$I$89,5,0)</f>
        <v>260.83037499999961</v>
      </c>
      <c r="BF143" s="13">
        <f t="shared" si="145"/>
        <v>62.899347488444107</v>
      </c>
      <c r="BG143" s="20">
        <f t="shared" si="115"/>
        <v>563.82926666737285</v>
      </c>
      <c r="BH143" s="59">
        <f t="shared" si="116"/>
        <v>857.16260000070611</v>
      </c>
      <c r="BI143" s="59">
        <f ca="1">AVERAGE(OFFSET($BH$3,0,0,'Données projet'!$E$11+1,1))-AVERAGE(OFFSET($H$3,0,0,'Données projet'!$E$11+1,1))</f>
        <v>250.31277422753283</v>
      </c>
      <c r="BJ143" s="59">
        <f t="shared" si="146"/>
        <v>159.20429420478047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51.778918748710446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51.778918748710446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243</v>
      </c>
      <c r="BZ143" s="13">
        <f>BY143*VLOOKUP('Données projet'!$B$12,Paramètres!$A$1:$I$89,3,0)*VLOOKUP('Données projet'!$B$12,Paramètres!$A$1:$I$89,5,0)</f>
        <v>253.98360000000002</v>
      </c>
      <c r="CA143" s="13">
        <f t="shared" si="147"/>
        <v>61.438182405444294</v>
      </c>
      <c r="CB143" s="20">
        <f t="shared" si="118"/>
        <v>549.35960435614891</v>
      </c>
      <c r="CC143" s="59">
        <f t="shared" si="119"/>
        <v>842.69293768948228</v>
      </c>
      <c r="CD143" s="59">
        <f ca="1">AVERAGE(OFFSET($CC$3,0,0,'Données projet'!$E$12+1,1))-AVERAGE(OFFSET($H$3,0,0,'Données projet'!$E$12+1,1))</f>
        <v>322.93502595881938</v>
      </c>
      <c r="CE143" s="59">
        <f t="shared" si="148"/>
        <v>302.67072119588164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14.765834348194588</v>
      </c>
      <c r="CL143" s="21">
        <f>EXP(-LN(2)/25)*CL142+(1-EXP(-LN(2)/25))/(LN(2)/25)*Calculateur!CG143*Calculateur!CI143*VLOOKUP('Données projet'!$B$12,Paramètres!$A$1:$I$89,3,0)*0.475*44/12</f>
        <v>5.8769094197931366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20.642743767987724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278.21846622758881</v>
      </c>
      <c r="T144" s="59">
        <f t="shared" si="142"/>
        <v>245.37578316242906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49.224562518345628</v>
      </c>
      <c r="AA144" s="21">
        <f>EXP(-LN(2)/25)*AA143+(1-EXP(-LN(2)/25))/(LN(2)/25)*Calculateur!V144*Calculateur!X144*VLOOKUP('Données projet'!$B$9,Paramètres!$A$1:$I$89,3,0)*0.475*44/12</f>
        <v>6.9941738204761075</v>
      </c>
      <c r="AB144" s="21">
        <f>EXP(-LN(2)/2)*AB143+(1-EXP(-LN(2)/2))/(LN(2)/2)*V144*Y144*VLOOKUP('Données projet'!$B$9,Paramètres!$A$1:$I$89,3,0)*0.475*44/12</f>
        <v>7.686883113257368E-9</v>
      </c>
      <c r="AC144" s="22">
        <f t="shared" si="111"/>
        <v>56.218736346508621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-2.2737367544323206E-13</v>
      </c>
      <c r="AJ144" s="13">
        <f>AI144*VLOOKUP('Données projet'!$B$10,Paramètres!$A$1:$I$89,3,0)*VLOOKUP('Données projet'!$B$10,Paramètres!$A$1:$I$89,5,0)</f>
        <v>-1.3596945791505279E-13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261.13725557061468</v>
      </c>
      <c r="AO144" s="59">
        <f t="shared" si="144"/>
        <v>328.18986868293558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30.248886343611115</v>
      </c>
      <c r="AV144" s="21">
        <f>EXP(-LN(2)/25)*AV143+(1-EXP(-LN(2)/25))/(LN(2)/25)*Calculateur!AQ144*Calculateur!AS144*VLOOKUP('Données projet'!$B$10,Paramètres!$A$1:$I$89,3,0)*0.475*44/12</f>
        <v>4.1872217317003892</v>
      </c>
      <c r="AW144" s="21">
        <f>EXP(-LN(2)/2)*AW143+(1-EXP(-LN(2)/2))/(LN(2)/2)*AQ144*AT144*VLOOKUP('Données projet'!$B$10,Paramètres!$A$1:$I$89,3,0)*0.475*44/12</f>
        <v>6.496434001928649E-12</v>
      </c>
      <c r="AX144" s="21">
        <f t="shared" si="114"/>
        <v>34.436108075317996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5.1063034188034209</v>
      </c>
      <c r="BD144" s="12">
        <f>IF('Données projet'!$A$88&gt;35,BD143+BC144-BL143,IF(A144&lt;'Données projet'!$A$88,$BA$205^A144,IF(A144='Données projet'!$A$88,'Données projet'!$B$88,BD143+BC144-BL143)))</f>
        <v>262.33547008546969</v>
      </c>
      <c r="BE144" s="13">
        <f>BD144*VLOOKUP('Données projet'!$B$11,Paramètres!$A$1:$I$89,3,0)*VLOOKUP('Données projet'!$B$11,Paramètres!$A$1:$I$89,5,0)</f>
        <v>266.00816666666628</v>
      </c>
      <c r="BF144" s="13">
        <f t="shared" si="145"/>
        <v>64.00136850958036</v>
      </c>
      <c r="BG144" s="20">
        <f t="shared" si="115"/>
        <v>574.76660709862961</v>
      </c>
      <c r="BH144" s="59">
        <f t="shared" si="116"/>
        <v>868.09994043196298</v>
      </c>
      <c r="BI144" s="59">
        <f ca="1">AVERAGE(OFFSET($BH$3,0,0,'Données projet'!$E$11+1,1))-AVERAGE(OFFSET($H$3,0,0,'Données projet'!$E$11+1,1))</f>
        <v>250.31277422753283</v>
      </c>
      <c r="BJ144" s="59">
        <f t="shared" si="146"/>
        <v>159.20429420478047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50.763565734070205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50.763565734070205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243</v>
      </c>
      <c r="BZ144" s="13">
        <f>BY144*VLOOKUP('Données projet'!$B$12,Paramètres!$A$1:$I$89,3,0)*VLOOKUP('Données projet'!$B$12,Paramètres!$A$1:$I$89,5,0)</f>
        <v>253.98360000000002</v>
      </c>
      <c r="CA144" s="13">
        <f t="shared" si="147"/>
        <v>61.438182405444294</v>
      </c>
      <c r="CB144" s="20">
        <f t="shared" si="118"/>
        <v>549.35960435614891</v>
      </c>
      <c r="CC144" s="59">
        <f t="shared" si="119"/>
        <v>842.69293768948228</v>
      </c>
      <c r="CD144" s="59">
        <f ca="1">AVERAGE(OFFSET($CC$3,0,0,'Données projet'!$E$12+1,1))-AVERAGE(OFFSET($H$3,0,0,'Données projet'!$E$12+1,1))</f>
        <v>322.93502595881938</v>
      </c>
      <c r="CE144" s="59">
        <f t="shared" si="148"/>
        <v>302.67072119588164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14.47628534289615</v>
      </c>
      <c r="CL144" s="21">
        <f>EXP(-LN(2)/25)*CL143+(1-EXP(-LN(2)/25))/(LN(2)/25)*Calculateur!CG144*Calculateur!CI144*VLOOKUP('Données projet'!$B$12,Paramètres!$A$1:$I$89,3,0)*0.475*44/12</f>
        <v>5.7162050226556591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20.192490365551809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278.21846622758881</v>
      </c>
      <c r="T145" s="59">
        <f t="shared" si="142"/>
        <v>245.37578316242906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48.259298871379379</v>
      </c>
      <c r="AA145" s="21">
        <f>EXP(-LN(2)/25)*AA144+(1-EXP(-LN(2)/25))/(LN(2)/25)*Calculateur!V145*Calculateur!X145*VLOOKUP('Données projet'!$B$9,Paramètres!$A$1:$I$89,3,0)*0.475*44/12</f>
        <v>6.8029177695475722</v>
      </c>
      <c r="AB145" s="21">
        <f>EXP(-LN(2)/2)*AB144+(1-EXP(-LN(2)/2))/(LN(2)/2)*V145*Y145*VLOOKUP('Données projet'!$B$9,Paramètres!$A$1:$I$89,3,0)*0.475*44/12</f>
        <v>5.4354471755726449E-9</v>
      </c>
      <c r="AC145" s="22">
        <f t="shared" si="111"/>
        <v>55.062216646362394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-2.2737367544323206E-13</v>
      </c>
      <c r="AJ145" s="13">
        <f>AI145*VLOOKUP('Données projet'!$B$10,Paramètres!$A$1:$I$89,3,0)*VLOOKUP('Données projet'!$B$10,Paramètres!$A$1:$I$89,5,0)</f>
        <v>-1.3596945791505279E-13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261.13725557061468</v>
      </c>
      <c r="AO145" s="59">
        <f t="shared" si="144"/>
        <v>328.18986868293558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29.655724132411784</v>
      </c>
      <c r="AV145" s="21">
        <f>EXP(-LN(2)/25)*AV144+(1-EXP(-LN(2)/25))/(LN(2)/25)*Calculateur!AQ145*Calculateur!AS145*VLOOKUP('Données projet'!$B$10,Paramètres!$A$1:$I$89,3,0)*0.475*44/12</f>
        <v>4.0727219332506213</v>
      </c>
      <c r="AW145" s="21">
        <f>EXP(-LN(2)/2)*AW144+(1-EXP(-LN(2)/2))/(LN(2)/2)*AQ145*AT145*VLOOKUP('Données projet'!$B$10,Paramètres!$A$1:$I$89,3,0)*0.475*44/12</f>
        <v>4.5936725362946084E-12</v>
      </c>
      <c r="AX145" s="21">
        <f t="shared" si="114"/>
        <v>33.728446065667001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5.1063034188034209</v>
      </c>
      <c r="BD145" s="12">
        <f>IF('Données projet'!$A$88&gt;35,BD144+BC145-BL144,IF(A145&lt;'Données projet'!$A$88,$BA$205^A145,IF(A145='Données projet'!$A$88,'Données projet'!$B$88,BD144+BC145-BL144)))</f>
        <v>267.4417735042731</v>
      </c>
      <c r="BE145" s="13">
        <f>BD145*VLOOKUP('Données projet'!$B$11,Paramètres!$A$1:$I$89,3,0)*VLOOKUP('Données projet'!$B$11,Paramètres!$A$1:$I$89,5,0)</f>
        <v>271.18595833333296</v>
      </c>
      <c r="BF145" s="13">
        <f t="shared" si="145"/>
        <v>65.100895340597489</v>
      </c>
      <c r="BG145" s="20">
        <f t="shared" si="115"/>
        <v>585.69960348209554</v>
      </c>
      <c r="BH145" s="59">
        <f t="shared" si="116"/>
        <v>879.03293681542891</v>
      </c>
      <c r="BI145" s="59">
        <f ca="1">AVERAGE(OFFSET($BH$3,0,0,'Données projet'!$E$11+1,1))-AVERAGE(OFFSET($H$3,0,0,'Données projet'!$E$11+1,1))</f>
        <v>250.31277422753283</v>
      </c>
      <c r="BJ145" s="59">
        <f t="shared" si="146"/>
        <v>159.20429420478047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49.768123172742875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49.768123172742875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243</v>
      </c>
      <c r="BZ145" s="13">
        <f>BY145*VLOOKUP('Données projet'!$B$12,Paramètres!$A$1:$I$89,3,0)*VLOOKUP('Données projet'!$B$12,Paramètres!$A$1:$I$89,5,0)</f>
        <v>253.98360000000002</v>
      </c>
      <c r="CA145" s="13">
        <f t="shared" si="147"/>
        <v>61.438182405444294</v>
      </c>
      <c r="CB145" s="20">
        <f t="shared" si="118"/>
        <v>549.35960435614891</v>
      </c>
      <c r="CC145" s="59">
        <f t="shared" si="119"/>
        <v>842.69293768948228</v>
      </c>
      <c r="CD145" s="59">
        <f ca="1">AVERAGE(OFFSET($CC$3,0,0,'Données projet'!$E$12+1,1))-AVERAGE(OFFSET($H$3,0,0,'Données projet'!$E$12+1,1))</f>
        <v>322.93502595881938</v>
      </c>
      <c r="CE145" s="59">
        <f t="shared" si="148"/>
        <v>302.67072119588164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14.192414216984158</v>
      </c>
      <c r="CL145" s="21">
        <f>EXP(-LN(2)/25)*CL144+(1-EXP(-LN(2)/25))/(LN(2)/25)*Calculateur!CG145*Calculateur!CI145*VLOOKUP('Données projet'!$B$12,Paramètres!$A$1:$I$89,3,0)*0.475*44/12</f>
        <v>5.5598950957089821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19.752309312693139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278.21846622758881</v>
      </c>
      <c r="T146" s="59">
        <f t="shared" si="142"/>
        <v>245.37578316242906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47.312963455777449</v>
      </c>
      <c r="AA146" s="21">
        <f>EXP(-LN(2)/25)*AA145+(1-EXP(-LN(2)/25))/(LN(2)/25)*Calculateur!V146*Calculateur!X146*VLOOKUP('Données projet'!$B$9,Paramètres!$A$1:$I$89,3,0)*0.475*44/12</f>
        <v>6.616891625389397</v>
      </c>
      <c r="AB146" s="21">
        <f>EXP(-LN(2)/2)*AB145+(1-EXP(-LN(2)/2))/(LN(2)/2)*V146*Y146*VLOOKUP('Données projet'!$B$9,Paramètres!$A$1:$I$89,3,0)*0.475*44/12</f>
        <v>3.843441556628684E-9</v>
      </c>
      <c r="AC146" s="22">
        <f t="shared" si="111"/>
        <v>53.929855085010288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-2.2737367544323206E-13</v>
      </c>
      <c r="AJ146" s="13">
        <f>AI146*VLOOKUP('Données projet'!$B$10,Paramètres!$A$1:$I$89,3,0)*VLOOKUP('Données projet'!$B$10,Paramètres!$A$1:$I$89,5,0)</f>
        <v>-1.3596945791505279E-13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261.13725557061468</v>
      </c>
      <c r="AO146" s="59">
        <f t="shared" si="144"/>
        <v>328.18986868293558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29.074193470380848</v>
      </c>
      <c r="AV146" s="21">
        <f>EXP(-LN(2)/25)*AV145+(1-EXP(-LN(2)/25))/(LN(2)/25)*Calculateur!AQ146*Calculateur!AS146*VLOOKUP('Données projet'!$B$10,Paramètres!$A$1:$I$89,3,0)*0.475*44/12</f>
        <v>3.9613531378107449</v>
      </c>
      <c r="AW146" s="21">
        <f>EXP(-LN(2)/2)*AW145+(1-EXP(-LN(2)/2))/(LN(2)/2)*AQ146*AT146*VLOOKUP('Données projet'!$B$10,Paramètres!$A$1:$I$89,3,0)*0.475*44/12</f>
        <v>3.2482170009643245E-12</v>
      </c>
      <c r="AX146" s="21">
        <f t="shared" si="114"/>
        <v>33.035546608194842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5.1063034188034209</v>
      </c>
      <c r="BD146" s="12">
        <f>IF('Données projet'!$A$88&gt;35,BD145+BC146-BL145,IF(A146&lt;'Données projet'!$A$88,$BA$205^A146,IF(A146='Données projet'!$A$88,'Données projet'!$B$88,BD145+BC146-BL145)))</f>
        <v>272.54807692307651</v>
      </c>
      <c r="BE146" s="13">
        <f>BD146*VLOOKUP('Données projet'!$B$11,Paramètres!$A$1:$I$89,3,0)*VLOOKUP('Données projet'!$B$11,Paramètres!$A$1:$I$89,5,0)</f>
        <v>276.36374999999958</v>
      </c>
      <c r="BF146" s="13">
        <f t="shared" si="145"/>
        <v>66.19798109408589</v>
      </c>
      <c r="BG146" s="20">
        <f t="shared" si="115"/>
        <v>596.6283483221988</v>
      </c>
      <c r="BH146" s="59">
        <f t="shared" si="116"/>
        <v>889.96168165553217</v>
      </c>
      <c r="BI146" s="59">
        <f ca="1">AVERAGE(OFFSET($BH$3,0,0,'Données projet'!$E$11+1,1))-AVERAGE(OFFSET($H$3,0,0,'Données projet'!$E$11+1,1))</f>
        <v>250.31277422753283</v>
      </c>
      <c r="BJ146" s="59">
        <f t="shared" si="146"/>
        <v>159.20429420478047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48.792200632883159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48.792200632883159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243</v>
      </c>
      <c r="BZ146" s="13">
        <f>BY146*VLOOKUP('Données projet'!$B$12,Paramètres!$A$1:$I$89,3,0)*VLOOKUP('Données projet'!$B$12,Paramètres!$A$1:$I$89,5,0)</f>
        <v>253.98360000000002</v>
      </c>
      <c r="CA146" s="13">
        <f t="shared" si="147"/>
        <v>61.438182405444294</v>
      </c>
      <c r="CB146" s="20">
        <f t="shared" si="118"/>
        <v>549.35960435614891</v>
      </c>
      <c r="CC146" s="59">
        <f t="shared" si="119"/>
        <v>842.69293768948228</v>
      </c>
      <c r="CD146" s="59">
        <f ca="1">AVERAGE(OFFSET($CC$3,0,0,'Données projet'!$E$12+1,1))-AVERAGE(OFFSET($H$3,0,0,'Données projet'!$E$12+1,1))</f>
        <v>322.93502595881938</v>
      </c>
      <c r="CE146" s="59">
        <f t="shared" si="148"/>
        <v>302.67072119588164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13.914109630707012</v>
      </c>
      <c r="CL146" s="21">
        <f>EXP(-LN(2)/25)*CL145+(1-EXP(-LN(2)/25))/(LN(2)/25)*Calculateur!CG146*Calculateur!CI146*VLOOKUP('Données projet'!$B$12,Paramètres!$A$1:$I$89,3,0)*0.475*44/12</f>
        <v>5.4078594719346444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19.321969102641656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278.21846622758881</v>
      </c>
      <c r="T147" s="59">
        <f t="shared" si="142"/>
        <v>245.37578316242906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46.385185100467865</v>
      </c>
      <c r="AA147" s="21">
        <f>EXP(-LN(2)/25)*AA146+(1-EXP(-LN(2)/25))/(LN(2)/25)*Calculateur!V147*Calculateur!X147*VLOOKUP('Données projet'!$B$9,Paramètres!$A$1:$I$89,3,0)*0.475*44/12</f>
        <v>6.4359523759259165</v>
      </c>
      <c r="AB147" s="21">
        <f>EXP(-LN(2)/2)*AB146+(1-EXP(-LN(2)/2))/(LN(2)/2)*V147*Y147*VLOOKUP('Données projet'!$B$9,Paramètres!$A$1:$I$89,3,0)*0.475*44/12</f>
        <v>2.7177235877863225E-9</v>
      </c>
      <c r="AC147" s="22">
        <f t="shared" si="111"/>
        <v>52.821137479111506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-2.2737367544323206E-13</v>
      </c>
      <c r="AJ147" s="13">
        <f>AI147*VLOOKUP('Données projet'!$B$10,Paramètres!$A$1:$I$89,3,0)*VLOOKUP('Données projet'!$B$10,Paramètres!$A$1:$I$89,5,0)</f>
        <v>-1.3596945791505279E-13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261.13725557061468</v>
      </c>
      <c r="AO147" s="59">
        <f t="shared" si="144"/>
        <v>328.18986868293558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28.504066269933659</v>
      </c>
      <c r="AV147" s="21">
        <f>EXP(-LN(2)/25)*AV146+(1-EXP(-LN(2)/25))/(LN(2)/25)*Calculateur!AQ147*Calculateur!AS147*VLOOKUP('Données projet'!$B$10,Paramètres!$A$1:$I$89,3,0)*0.475*44/12</f>
        <v>3.8530297279388024</v>
      </c>
      <c r="AW147" s="21">
        <f>EXP(-LN(2)/2)*AW146+(1-EXP(-LN(2)/2))/(LN(2)/2)*AQ147*AT147*VLOOKUP('Données projet'!$B$10,Paramètres!$A$1:$I$89,3,0)*0.475*44/12</f>
        <v>2.2968362681473042E-12</v>
      </c>
      <c r="AX147" s="21">
        <f t="shared" si="114"/>
        <v>32.357095997874758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5.1063034188034209</v>
      </c>
      <c r="BD147" s="12">
        <f>IF('Données projet'!$A$88&gt;35,BD146+BC147-BL146,IF(A147&lt;'Données projet'!$A$88,$BA$205^A147,IF(A147='Données projet'!$A$88,'Données projet'!$B$88,BD146+BC147-BL146)))</f>
        <v>277.65438034187991</v>
      </c>
      <c r="BE147" s="13">
        <f>BD147*VLOOKUP('Données projet'!$B$11,Paramètres!$A$1:$I$89,3,0)*VLOOKUP('Données projet'!$B$11,Paramètres!$A$1:$I$89,5,0)</f>
        <v>281.54154166666626</v>
      </c>
      <c r="BF147" s="13">
        <f t="shared" si="145"/>
        <v>67.292676778560462</v>
      </c>
      <c r="BG147" s="20">
        <f t="shared" si="115"/>
        <v>607.55293045876988</v>
      </c>
      <c r="BH147" s="59">
        <f t="shared" si="116"/>
        <v>900.88626379210314</v>
      </c>
      <c r="BI147" s="59">
        <f ca="1">AVERAGE(OFFSET($BH$3,0,0,'Données projet'!$E$11+1,1))-AVERAGE(OFFSET($H$3,0,0,'Données projet'!$E$11+1,1))</f>
        <v>250.31277422753283</v>
      </c>
      <c r="BJ147" s="59">
        <f t="shared" si="146"/>
        <v>159.20429420478047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47.835415338776123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47.835415338776123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243</v>
      </c>
      <c r="BZ147" s="13">
        <f>BY147*VLOOKUP('Données projet'!$B$12,Paramètres!$A$1:$I$89,3,0)*VLOOKUP('Données projet'!$B$12,Paramètres!$A$1:$I$89,5,0)</f>
        <v>253.98360000000002</v>
      </c>
      <c r="CA147" s="13">
        <f t="shared" si="147"/>
        <v>61.438182405444294</v>
      </c>
      <c r="CB147" s="20">
        <f t="shared" si="118"/>
        <v>549.35960435614891</v>
      </c>
      <c r="CC147" s="59">
        <f t="shared" si="119"/>
        <v>842.69293768948228</v>
      </c>
      <c r="CD147" s="59">
        <f ca="1">AVERAGE(OFFSET($CC$3,0,0,'Données projet'!$E$12+1,1))-AVERAGE(OFFSET($H$3,0,0,'Données projet'!$E$12+1,1))</f>
        <v>322.93502595881938</v>
      </c>
      <c r="CE147" s="59">
        <f t="shared" si="148"/>
        <v>302.67072119588164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13.641262427617724</v>
      </c>
      <c r="CL147" s="21">
        <f>EXP(-LN(2)/25)*CL146+(1-EXP(-LN(2)/25))/(LN(2)/25)*Calculateur!CG147*Calculateur!CI147*VLOOKUP('Données projet'!$B$12,Paramètres!$A$1:$I$89,3,0)*0.475*44/12</f>
        <v>5.2599812702876214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18.901243697905343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278.21846622758881</v>
      </c>
      <c r="T148" s="59">
        <f t="shared" si="142"/>
        <v>245.37578316242906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45.475599912816982</v>
      </c>
      <c r="AA148" s="21">
        <f>EXP(-LN(2)/25)*AA147+(1-EXP(-LN(2)/25))/(LN(2)/25)*Calculateur!V148*Calculateur!X148*VLOOKUP('Données projet'!$B$9,Paramètres!$A$1:$I$89,3,0)*0.475*44/12</f>
        <v>6.2599609197541968</v>
      </c>
      <c r="AB148" s="21">
        <f>EXP(-LN(2)/2)*AB147+(1-EXP(-LN(2)/2))/(LN(2)/2)*V148*Y148*VLOOKUP('Données projet'!$B$9,Paramètres!$A$1:$I$89,3,0)*0.475*44/12</f>
        <v>1.921720778314342E-9</v>
      </c>
      <c r="AC148" s="22">
        <f t="shared" si="111"/>
        <v>51.735560834492901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-2.2737367544323206E-13</v>
      </c>
      <c r="AJ148" s="13">
        <f>AI148*VLOOKUP('Données projet'!$B$10,Paramètres!$A$1:$I$89,3,0)*VLOOKUP('Données projet'!$B$10,Paramètres!$A$1:$I$89,5,0)</f>
        <v>-1.3596945791505279E-13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261.13725557061468</v>
      </c>
      <c r="AO148" s="59">
        <f t="shared" si="144"/>
        <v>328.18986868293558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27.945118916143983</v>
      </c>
      <c r="AV148" s="21">
        <f>EXP(-LN(2)/25)*AV147+(1-EXP(-LN(2)/25))/(LN(2)/25)*Calculateur!AQ148*Calculateur!AS148*VLOOKUP('Données projet'!$B$10,Paramètres!$A$1:$I$89,3,0)*0.475*44/12</f>
        <v>3.7476684274062886</v>
      </c>
      <c r="AW148" s="21">
        <f>EXP(-LN(2)/2)*AW147+(1-EXP(-LN(2)/2))/(LN(2)/2)*AQ148*AT148*VLOOKUP('Données projet'!$B$10,Paramètres!$A$1:$I$89,3,0)*0.475*44/12</f>
        <v>1.6241085004821623E-12</v>
      </c>
      <c r="AX148" s="21">
        <f t="shared" si="114"/>
        <v>31.692787343551895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5.1063034188034209</v>
      </c>
      <c r="BD148" s="12">
        <f>IF('Données projet'!$A$88&gt;35,BD147+BC148-BL147,IF(A148&lt;'Données projet'!$A$88,$BA$205^A148,IF(A148='Données projet'!$A$88,'Données projet'!$B$88,BD147+BC148-BL147)))</f>
        <v>282.76068376068332</v>
      </c>
      <c r="BE148" s="13">
        <f>BD148*VLOOKUP('Données projet'!$B$11,Paramètres!$A$1:$I$89,3,0)*VLOOKUP('Données projet'!$B$11,Paramètres!$A$1:$I$89,5,0)</f>
        <v>286.71933333333288</v>
      </c>
      <c r="BF148" s="13">
        <f t="shared" si="145"/>
        <v>68.38503141894958</v>
      </c>
      <c r="BG148" s="20">
        <f t="shared" si="115"/>
        <v>618.47343527689191</v>
      </c>
      <c r="BH148" s="59">
        <f t="shared" si="116"/>
        <v>911.80676861022516</v>
      </c>
      <c r="BI148" s="59">
        <f ca="1">AVERAGE(OFFSET($BH$3,0,0,'Données projet'!$E$11+1,1))-AVERAGE(OFFSET($H$3,0,0,'Données projet'!$E$11+1,1))</f>
        <v>250.31277422753283</v>
      </c>
      <c r="BJ148" s="59">
        <f t="shared" si="146"/>
        <v>159.20429420478047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46.897392020705119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46.897392020705119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243</v>
      </c>
      <c r="BZ148" s="13">
        <f>BY148*VLOOKUP('Données projet'!$B$12,Paramètres!$A$1:$I$89,3,0)*VLOOKUP('Données projet'!$B$12,Paramètres!$A$1:$I$89,5,0)</f>
        <v>253.98360000000002</v>
      </c>
      <c r="CA148" s="13">
        <f t="shared" si="147"/>
        <v>61.438182405444294</v>
      </c>
      <c r="CB148" s="20">
        <f t="shared" si="118"/>
        <v>549.35960435614891</v>
      </c>
      <c r="CC148" s="59">
        <f t="shared" si="119"/>
        <v>842.69293768948228</v>
      </c>
      <c r="CD148" s="59">
        <f ca="1">AVERAGE(OFFSET($CC$3,0,0,'Données projet'!$E$12+1,1))-AVERAGE(OFFSET($H$3,0,0,'Données projet'!$E$12+1,1))</f>
        <v>322.93502595881938</v>
      </c>
      <c r="CE148" s="59">
        <f t="shared" si="148"/>
        <v>302.67072119588164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13.373765591760655</v>
      </c>
      <c r="CL148" s="21">
        <f>EXP(-LN(2)/25)*CL147+(1-EXP(-LN(2)/25))/(LN(2)/25)*Calculateur!CG148*Calculateur!CI148*VLOOKUP('Données projet'!$B$12,Paramètres!$A$1:$I$89,3,0)*0.475*44/12</f>
        <v>5.116146805841213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18.48991239760187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278.21846622758881</v>
      </c>
      <c r="T149" s="59">
        <f t="shared" si="142"/>
        <v>245.37578316242906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44.58385113590375</v>
      </c>
      <c r="AA149" s="21">
        <f>EXP(-LN(2)/25)*AA148+(1-EXP(-LN(2)/25))/(LN(2)/25)*Calculateur!V149*Calculateur!X149*VLOOKUP('Données projet'!$B$9,Paramètres!$A$1:$I$89,3,0)*0.475*44/12</f>
        <v>6.0887819592064805</v>
      </c>
      <c r="AB149" s="21">
        <f>EXP(-LN(2)/2)*AB148+(1-EXP(-LN(2)/2))/(LN(2)/2)*V149*Y149*VLOOKUP('Données projet'!$B$9,Paramètres!$A$1:$I$89,3,0)*0.475*44/12</f>
        <v>1.3588617938931612E-9</v>
      </c>
      <c r="AC149" s="22">
        <f t="shared" si="111"/>
        <v>50.672633096469092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-2.2737367544323206E-13</v>
      </c>
      <c r="AJ149" s="13">
        <f>AI149*VLOOKUP('Données projet'!$B$10,Paramètres!$A$1:$I$89,3,0)*VLOOKUP('Données projet'!$B$10,Paramètres!$A$1:$I$89,5,0)</f>
        <v>-1.3596945791505279E-13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261.13725557061468</v>
      </c>
      <c r="AO149" s="59">
        <f t="shared" si="144"/>
        <v>328.18986868293558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27.3971321790379</v>
      </c>
      <c r="AV149" s="21">
        <f>EXP(-LN(2)/25)*AV148+(1-EXP(-LN(2)/25))/(LN(2)/25)*Calculateur!AQ149*Calculateur!AS149*VLOOKUP('Données projet'!$B$10,Paramètres!$A$1:$I$89,3,0)*0.475*44/12</f>
        <v>3.6451882371775466</v>
      </c>
      <c r="AW149" s="21">
        <f>EXP(-LN(2)/2)*AW148+(1-EXP(-LN(2)/2))/(LN(2)/2)*AQ149*AT149*VLOOKUP('Données projet'!$B$10,Paramètres!$A$1:$I$89,3,0)*0.475*44/12</f>
        <v>1.1484181340736521E-12</v>
      </c>
      <c r="AX149" s="21">
        <f t="shared" si="114"/>
        <v>31.042320416216594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5.1063034188034209</v>
      </c>
      <c r="BD149" s="12">
        <f>IF('Données projet'!$A$88&gt;35,BD148+BC149-BL148,IF(A149&lt;'Données projet'!$A$88,$BA$205^A149,IF(A149='Données projet'!$A$88,'Données projet'!$B$88,BD148+BC149-BL148)))</f>
        <v>287.86698717948673</v>
      </c>
      <c r="BE149" s="13">
        <f>BD149*VLOOKUP('Données projet'!$B$11,Paramètres!$A$1:$I$89,3,0)*VLOOKUP('Données projet'!$B$11,Paramètres!$A$1:$I$89,5,0)</f>
        <v>291.89712499999956</v>
      </c>
      <c r="BF149" s="13">
        <f t="shared" si="145"/>
        <v>69.47509216813539</v>
      </c>
      <c r="BG149" s="20">
        <f t="shared" si="115"/>
        <v>629.38994490116841</v>
      </c>
      <c r="BH149" s="59">
        <f t="shared" si="116"/>
        <v>922.72327823450178</v>
      </c>
      <c r="BI149" s="59">
        <f ca="1">AVERAGE(OFFSET($BH$3,0,0,'Données projet'!$E$11+1,1))-AVERAGE(OFFSET($H$3,0,0,'Données projet'!$E$11+1,1))</f>
        <v>250.31277422753283</v>
      </c>
      <c r="BJ149" s="59">
        <f t="shared" si="146"/>
        <v>159.20429420478047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45.977762767763757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45.977762767763757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243</v>
      </c>
      <c r="BZ149" s="13">
        <f>BY149*VLOOKUP('Données projet'!$B$12,Paramètres!$A$1:$I$89,3,0)*VLOOKUP('Données projet'!$B$12,Paramètres!$A$1:$I$89,5,0)</f>
        <v>253.98360000000002</v>
      </c>
      <c r="CA149" s="13">
        <f t="shared" si="147"/>
        <v>61.438182405444294</v>
      </c>
      <c r="CB149" s="20">
        <f t="shared" si="118"/>
        <v>549.35960435614891</v>
      </c>
      <c r="CC149" s="59">
        <f t="shared" si="119"/>
        <v>842.69293768948228</v>
      </c>
      <c r="CD149" s="59">
        <f ca="1">AVERAGE(OFFSET($CC$3,0,0,'Données projet'!$E$12+1,1))-AVERAGE(OFFSET($H$3,0,0,'Données projet'!$E$12+1,1))</f>
        <v>322.93502595881938</v>
      </c>
      <c r="CE149" s="59">
        <f t="shared" si="148"/>
        <v>302.67072119588164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13.111514205697784</v>
      </c>
      <c r="CL149" s="21">
        <f>EXP(-LN(2)/25)*CL148+(1-EXP(-LN(2)/25))/(LN(2)/25)*Calculateur!CG149*Calculateur!CI149*VLOOKUP('Données projet'!$B$12,Paramètres!$A$1:$I$89,3,0)*0.475*44/12</f>
        <v>4.976245502389018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18.0877597080868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278.21846622758881</v>
      </c>
      <c r="T150" s="59">
        <f t="shared" si="142"/>
        <v>245.37578316242906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43.709589008592737</v>
      </c>
      <c r="AA150" s="21">
        <f>EXP(-LN(2)/25)*AA149+(1-EXP(-LN(2)/25))/(LN(2)/25)*Calculateur!V150*Calculateur!X150*VLOOKUP('Données projet'!$B$9,Paramètres!$A$1:$I$89,3,0)*0.475*44/12</f>
        <v>5.922283896336852</v>
      </c>
      <c r="AB150" s="21">
        <f>EXP(-LN(2)/2)*AB149+(1-EXP(-LN(2)/2))/(LN(2)/2)*V150*Y150*VLOOKUP('Données projet'!$B$9,Paramètres!$A$1:$I$89,3,0)*0.475*44/12</f>
        <v>9.60860389157171E-10</v>
      </c>
      <c r="AC150" s="22">
        <f t="shared" si="111"/>
        <v>49.631872905890447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-2.2737367544323206E-13</v>
      </c>
      <c r="AJ150" s="13">
        <f>AI150*VLOOKUP('Données projet'!$B$10,Paramètres!$A$1:$I$89,3,0)*VLOOKUP('Données projet'!$B$10,Paramètres!$A$1:$I$89,5,0)</f>
        <v>-1.3596945791505279E-13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261.13725557061468</v>
      </c>
      <c r="AO150" s="59">
        <f t="shared" si="144"/>
        <v>328.18986868293558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26.859891127607561</v>
      </c>
      <c r="AV150" s="21">
        <f>EXP(-LN(2)/25)*AV149+(1-EXP(-LN(2)/25))/(LN(2)/25)*Calculateur!AQ150*Calculateur!AS150*VLOOKUP('Données projet'!$B$10,Paramètres!$A$1:$I$89,3,0)*0.475*44/12</f>
        <v>3.5455103731398085</v>
      </c>
      <c r="AW150" s="21">
        <f>EXP(-LN(2)/2)*AW149+(1-EXP(-LN(2)/2))/(LN(2)/2)*AQ150*AT150*VLOOKUP('Données projet'!$B$10,Paramètres!$A$1:$I$89,3,0)*0.475*44/12</f>
        <v>8.1205425024108113E-13</v>
      </c>
      <c r="AX150" s="21">
        <f t="shared" si="114"/>
        <v>30.405401500748184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5.1063034188034209</v>
      </c>
      <c r="BD150" s="12">
        <f>IF('Données projet'!$A$88&gt;35,BD149+BC150-BL149,IF(A150&lt;'Données projet'!$A$88,$BA$205^A150,IF(A150='Données projet'!$A$88,'Données projet'!$B$88,BD149+BC150-BL149)))</f>
        <v>292.97329059829013</v>
      </c>
      <c r="BE150" s="13">
        <f>BD150*VLOOKUP('Données projet'!$B$11,Paramètres!$A$1:$I$89,3,0)*VLOOKUP('Données projet'!$B$11,Paramètres!$A$1:$I$89,5,0)</f>
        <v>297.07491666666618</v>
      </c>
      <c r="BF150" s="13">
        <f t="shared" si="145"/>
        <v>70.562904410355046</v>
      </c>
      <c r="BG150" s="20">
        <f t="shared" si="115"/>
        <v>640.30253837581188</v>
      </c>
      <c r="BH150" s="59">
        <f t="shared" si="116"/>
        <v>933.63587170914525</v>
      </c>
      <c r="BI150" s="59">
        <f ca="1">AVERAGE(OFFSET($BH$3,0,0,'Données projet'!$E$11+1,1))-AVERAGE(OFFSET($H$3,0,0,'Données projet'!$E$11+1,1))</f>
        <v>250.31277422753283</v>
      </c>
      <c r="BJ150" s="59">
        <f t="shared" si="146"/>
        <v>159.20429420478047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45.076166883554116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45.076166883554116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243</v>
      </c>
      <c r="BZ150" s="13">
        <f>BY150*VLOOKUP('Données projet'!$B$12,Paramètres!$A$1:$I$89,3,0)*VLOOKUP('Données projet'!$B$12,Paramètres!$A$1:$I$89,5,0)</f>
        <v>253.98360000000002</v>
      </c>
      <c r="CA150" s="13">
        <f t="shared" si="147"/>
        <v>61.438182405444294</v>
      </c>
      <c r="CB150" s="20">
        <f t="shared" si="118"/>
        <v>549.35960435614891</v>
      </c>
      <c r="CC150" s="59">
        <f t="shared" si="119"/>
        <v>842.69293768948228</v>
      </c>
      <c r="CD150" s="59">
        <f ca="1">AVERAGE(OFFSET($CC$3,0,0,'Données projet'!$E$12+1,1))-AVERAGE(OFFSET($H$3,0,0,'Données projet'!$E$12+1,1))</f>
        <v>322.93502595881938</v>
      </c>
      <c r="CE150" s="59">
        <f t="shared" si="148"/>
        <v>302.67072119588164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12.854405409358055</v>
      </c>
      <c r="CL150" s="21">
        <f>EXP(-LN(2)/25)*CL149+(1-EXP(-LN(2)/25))/(LN(2)/25)*Calculateur!CG150*Calculateur!CI150*VLOOKUP('Données projet'!$B$12,Paramètres!$A$1:$I$89,3,0)*0.475*44/12</f>
        <v>4.8401698074368129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17.694575216794867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278.21846622758881</v>
      </c>
      <c r="T151" s="59">
        <f t="shared" si="142"/>
        <v>245.37578316242906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42.85247062835105</v>
      </c>
      <c r="AA151" s="21">
        <f>EXP(-LN(2)/25)*AA150+(1-EXP(-LN(2)/25))/(LN(2)/25)*Calculateur!V151*Calculateur!X151*VLOOKUP('Données projet'!$B$9,Paramètres!$A$1:$I$89,3,0)*0.475*44/12</f>
        <v>5.7603387317521459</v>
      </c>
      <c r="AB151" s="21">
        <f>EXP(-LN(2)/2)*AB150+(1-EXP(-LN(2)/2))/(LN(2)/2)*V151*Y151*VLOOKUP('Données projet'!$B$9,Paramètres!$A$1:$I$89,3,0)*0.475*44/12</f>
        <v>6.7943089694658062E-10</v>
      </c>
      <c r="AC151" s="22">
        <f t="shared" si="111"/>
        <v>48.612809360782627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-2.2737367544323206E-13</v>
      </c>
      <c r="AJ151" s="13">
        <f>AI151*VLOOKUP('Données projet'!$B$10,Paramètres!$A$1:$I$89,3,0)*VLOOKUP('Données projet'!$B$10,Paramètres!$A$1:$I$89,5,0)</f>
        <v>-1.3596945791505279E-13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261.13725557061468</v>
      </c>
      <c r="AO151" s="59">
        <f t="shared" si="144"/>
        <v>328.18986868293558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26.333185045511087</v>
      </c>
      <c r="AV151" s="21">
        <f>EXP(-LN(2)/25)*AV150+(1-EXP(-LN(2)/25))/(LN(2)/25)*Calculateur!AQ151*Calculateur!AS151*VLOOKUP('Données projet'!$B$10,Paramètres!$A$1:$I$89,3,0)*0.475*44/12</f>
        <v>3.4485582055360133</v>
      </c>
      <c r="AW151" s="21">
        <f>EXP(-LN(2)/2)*AW150+(1-EXP(-LN(2)/2))/(LN(2)/2)*AQ151*AT151*VLOOKUP('Données projet'!$B$10,Paramètres!$A$1:$I$89,3,0)*0.475*44/12</f>
        <v>5.7420906703682605E-13</v>
      </c>
      <c r="AX151" s="21">
        <f t="shared" si="114"/>
        <v>29.781743251047676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5.1063034188034209</v>
      </c>
      <c r="BD151" s="12">
        <f>IF('Données projet'!$A$88&gt;35,BD150+BC151-BL150,IF(A151&lt;'Données projet'!$A$88,$BA$205^A151,IF(A151='Données projet'!$A$88,'Données projet'!$B$88,BD150+BC151-BL150)))</f>
        <v>298.07959401709354</v>
      </c>
      <c r="BE151" s="13">
        <f>BD151*VLOOKUP('Données projet'!$B$11,Paramètres!$A$1:$I$89,3,0)*VLOOKUP('Données projet'!$B$11,Paramètres!$A$1:$I$89,5,0)</f>
        <v>302.25270833333286</v>
      </c>
      <c r="BF151" s="13">
        <f t="shared" si="145"/>
        <v>71.648511857189575</v>
      </c>
      <c r="BG151" s="20">
        <f t="shared" si="115"/>
        <v>651.21129183182666</v>
      </c>
      <c r="BH151" s="59">
        <f t="shared" si="116"/>
        <v>944.54462516515991</v>
      </c>
      <c r="BI151" s="59">
        <f ca="1">AVERAGE(OFFSET($BH$3,0,0,'Données projet'!$E$11+1,1))-AVERAGE(OFFSET($H$3,0,0,'Données projet'!$E$11+1,1))</f>
        <v>250.31277422753283</v>
      </c>
      <c r="BJ151" s="59">
        <f t="shared" si="146"/>
        <v>159.20429420478047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44.192250744714634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44.192250744714634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243</v>
      </c>
      <c r="BZ151" s="13">
        <f>BY151*VLOOKUP('Données projet'!$B$12,Paramètres!$A$1:$I$89,3,0)*VLOOKUP('Données projet'!$B$12,Paramètres!$A$1:$I$89,5,0)</f>
        <v>253.98360000000002</v>
      </c>
      <c r="CA151" s="13">
        <f t="shared" si="147"/>
        <v>61.438182405444294</v>
      </c>
      <c r="CB151" s="20">
        <f t="shared" si="118"/>
        <v>549.35960435614891</v>
      </c>
      <c r="CC151" s="59">
        <f t="shared" si="119"/>
        <v>842.69293768948228</v>
      </c>
      <c r="CD151" s="59">
        <f ca="1">AVERAGE(OFFSET($CC$3,0,0,'Données projet'!$E$12+1,1))-AVERAGE(OFFSET($H$3,0,0,'Données projet'!$E$12+1,1))</f>
        <v>322.93502595881938</v>
      </c>
      <c r="CE151" s="59">
        <f t="shared" si="148"/>
        <v>302.67072119588164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12.602338359693666</v>
      </c>
      <c r="CL151" s="21">
        <f>EXP(-LN(2)/25)*CL150+(1-EXP(-LN(2)/25))/(LN(2)/25)*Calculateur!CG151*Calculateur!CI151*VLOOKUP('Données projet'!$B$12,Paramètres!$A$1:$I$89,3,0)*0.475*44/12</f>
        <v>4.7078151095189851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17.310153469212651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278.21846622758881</v>
      </c>
      <c r="T152" s="59">
        <f t="shared" si="142"/>
        <v>245.37578316242906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42.012159816755315</v>
      </c>
      <c r="AA152" s="21">
        <f>EXP(-LN(2)/25)*AA151+(1-EXP(-LN(2)/25))/(LN(2)/25)*Calculateur!V152*Calculateur!X152*VLOOKUP('Données projet'!$B$9,Paramètres!$A$1:$I$89,3,0)*0.475*44/12</f>
        <v>5.6028219662093353</v>
      </c>
      <c r="AB152" s="21">
        <f>EXP(-LN(2)/2)*AB151+(1-EXP(-LN(2)/2))/(LN(2)/2)*V152*Y152*VLOOKUP('Données projet'!$B$9,Paramètres!$A$1:$I$89,3,0)*0.475*44/12</f>
        <v>4.804301945785855E-10</v>
      </c>
      <c r="AC152" s="22">
        <f t="shared" si="111"/>
        <v>47.614981783445081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-2.2737367544323206E-13</v>
      </c>
      <c r="AJ152" s="13">
        <f>AI152*VLOOKUP('Données projet'!$B$10,Paramètres!$A$1:$I$89,3,0)*VLOOKUP('Données projet'!$B$10,Paramètres!$A$1:$I$89,5,0)</f>
        <v>-1.3596945791505279E-13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261.13725557061468</v>
      </c>
      <c r="AO152" s="59">
        <f t="shared" si="144"/>
        <v>328.18986868293558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25.816807348425534</v>
      </c>
      <c r="AV152" s="21">
        <f>EXP(-LN(2)/25)*AV151+(1-EXP(-LN(2)/25))/(LN(2)/25)*Calculateur!AQ152*Calculateur!AS152*VLOOKUP('Données projet'!$B$10,Paramètres!$A$1:$I$89,3,0)*0.475*44/12</f>
        <v>3.3542572000538367</v>
      </c>
      <c r="AW152" s="21">
        <f>EXP(-LN(2)/2)*AW151+(1-EXP(-LN(2)/2))/(LN(2)/2)*AQ152*AT152*VLOOKUP('Données projet'!$B$10,Paramètres!$A$1:$I$89,3,0)*0.475*44/12</f>
        <v>4.0602712512054057E-13</v>
      </c>
      <c r="AX152" s="21">
        <f t="shared" si="114"/>
        <v>29.171064548479777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303.18589743589746</v>
      </c>
      <c r="BB152" s="12">
        <f>VLOOKUP(A152,'Données projet'!$A$87:$I$107,9,0)</f>
        <v>5.1063034188034209</v>
      </c>
      <c r="BC152" s="12">
        <f t="array" ref="BC152">INDEX(BB:BB,MIN(IF(ISNUMBER(BB152:BB348),ROW(BB152:BB348),"")))</f>
        <v>5.1063034188034209</v>
      </c>
      <c r="BD152" s="12">
        <f>IF('Données projet'!$A$88&gt;35,BD151+BC152-BL151,IF(A152&lt;'Données projet'!$A$88,$BA$205^A152,IF(A152='Données projet'!$A$88,'Données projet'!$B$88,BD151+BC152-BL151)))</f>
        <v>303.18589743589695</v>
      </c>
      <c r="BE152" s="13">
        <f>BD152*VLOOKUP('Données projet'!$B$11,Paramètres!$A$1:$I$89,3,0)*VLOOKUP('Données projet'!$B$11,Paramètres!$A$1:$I$89,5,0)</f>
        <v>307.43049999999948</v>
      </c>
      <c r="BF152" s="13">
        <f t="shared" si="145"/>
        <v>72.731956636788439</v>
      </c>
      <c r="BG152" s="20">
        <f t="shared" si="115"/>
        <v>662.11627864240563</v>
      </c>
      <c r="BH152" s="59">
        <f t="shared" si="116"/>
        <v>955.44961197573889</v>
      </c>
      <c r="BI152" s="59">
        <f ca="1">AVERAGE(OFFSET($BH$3,0,0,'Données projet'!$E$11+1,1))-AVERAGE(OFFSET($H$3,0,0,'Données projet'!$E$11+1,1))</f>
        <v>250.31277422753283</v>
      </c>
      <c r="BJ152" s="59">
        <f t="shared" si="146"/>
        <v>159.20429420478047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120.50641025641026</v>
      </c>
      <c r="BM152" s="16">
        <f>IF(ISNA(VLOOKUP(A152,'Données projet'!$A$87:$I$107,5,0)),0%,VLOOKUP(A152,'Données projet'!$A$87:$I$107,5,0)*VLOOKUP('Données projet'!$B$11,Paramètres!$A$1:$I$89,7,0))</f>
        <v>0.38700000000000001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95.602128758127037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95.602128758127037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243</v>
      </c>
      <c r="BZ152" s="13">
        <f>BY152*VLOOKUP('Données projet'!$B$12,Paramètres!$A$1:$I$89,3,0)*VLOOKUP('Données projet'!$B$12,Paramètres!$A$1:$I$89,5,0)</f>
        <v>253.98360000000002</v>
      </c>
      <c r="CA152" s="13">
        <f t="shared" si="147"/>
        <v>61.438182405444294</v>
      </c>
      <c r="CB152" s="20">
        <f t="shared" si="118"/>
        <v>549.35960435614891</v>
      </c>
      <c r="CC152" s="59">
        <f t="shared" si="119"/>
        <v>842.69293768948228</v>
      </c>
      <c r="CD152" s="59">
        <f ca="1">AVERAGE(OFFSET($CC$3,0,0,'Données projet'!$E$12+1,1))-AVERAGE(OFFSET($H$3,0,0,'Données projet'!$E$12+1,1))</f>
        <v>322.93502595881938</v>
      </c>
      <c r="CE152" s="59">
        <f t="shared" si="148"/>
        <v>302.67072119588164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12.355214191127478</v>
      </c>
      <c r="CL152" s="21">
        <f>EXP(-LN(2)/25)*CL151+(1-EXP(-LN(2)/25))/(LN(2)/25)*Calculateur!CG152*Calculateur!CI152*VLOOKUP('Données projet'!$B$12,Paramètres!$A$1:$I$89,3,0)*0.475*44/12</f>
        <v>4.5790796577759521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16.93429384890343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278.21846622758881</v>
      </c>
      <c r="T153" s="59">
        <f t="shared" si="142"/>
        <v>245.37578316242906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41.188326987635982</v>
      </c>
      <c r="AA153" s="21">
        <f>EXP(-LN(2)/25)*AA152+(1-EXP(-LN(2)/25))/(LN(2)/25)*Calculateur!V153*Calculateur!X153*VLOOKUP('Données projet'!$B$9,Paramètres!$A$1:$I$89,3,0)*0.475*44/12</f>
        <v>5.4496125049037394</v>
      </c>
      <c r="AB153" s="21">
        <f>EXP(-LN(2)/2)*AB152+(1-EXP(-LN(2)/2))/(LN(2)/2)*V153*Y153*VLOOKUP('Données projet'!$B$9,Paramètres!$A$1:$I$89,3,0)*0.475*44/12</f>
        <v>3.3971544847329031E-10</v>
      </c>
      <c r="AC153" s="22">
        <f t="shared" si="111"/>
        <v>46.63793949287944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-2.2737367544323206E-13</v>
      </c>
      <c r="AJ153" s="13">
        <f>AI153*VLOOKUP('Données projet'!$B$10,Paramètres!$A$1:$I$89,3,0)*VLOOKUP('Données projet'!$B$10,Paramètres!$A$1:$I$89,5,0)</f>
        <v>-1.3596945791505279E-13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261.13725557061468</v>
      </c>
      <c r="AO153" s="59">
        <f t="shared" si="144"/>
        <v>328.18986868293558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25.310555503020534</v>
      </c>
      <c r="AV153" s="21">
        <f>EXP(-LN(2)/25)*AV152+(1-EXP(-LN(2)/25))/(LN(2)/25)*Calculateur!AQ153*Calculateur!AS153*VLOOKUP('Données projet'!$B$10,Paramètres!$A$1:$I$89,3,0)*0.475*44/12</f>
        <v>3.2625348605256446</v>
      </c>
      <c r="AW153" s="21">
        <f>EXP(-LN(2)/2)*AW152+(1-EXP(-LN(2)/2))/(LN(2)/2)*AQ153*AT153*VLOOKUP('Données projet'!$B$10,Paramètres!$A$1:$I$89,3,0)*0.475*44/12</f>
        <v>2.8710453351841303E-13</v>
      </c>
      <c r="AX153" s="21">
        <f t="shared" si="114"/>
        <v>28.573090363546466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3.0945512820512704</v>
      </c>
      <c r="BD153" s="12">
        <f>IF('Données projet'!$A$88&gt;35,BD152+BC153-BL152,IF(A153&lt;'Données projet'!$A$88,$BA$205^A153,IF(A153='Données projet'!$A$88,'Données projet'!$B$88,BD152+BC153-BL152)))</f>
        <v>185.77403846153794</v>
      </c>
      <c r="BE153" s="13">
        <f>BD153*VLOOKUP('Données projet'!$B$11,Paramètres!$A$1:$I$89,3,0)*VLOOKUP('Données projet'!$B$11,Paramètres!$A$1:$I$89,5,0)</f>
        <v>188.37487499999949</v>
      </c>
      <c r="BF153" s="13">
        <f t="shared" si="145"/>
        <v>47.180481359608336</v>
      </c>
      <c r="BG153" s="20">
        <f t="shared" si="115"/>
        <v>410.25891232631693</v>
      </c>
      <c r="BH153" s="59">
        <f t="shared" si="116"/>
        <v>703.59224565965019</v>
      </c>
      <c r="BI153" s="59">
        <f ca="1">AVERAGE(OFFSET($BH$3,0,0,'Données projet'!$E$11+1,1))-AVERAGE(OFFSET($H$3,0,0,'Données projet'!$E$11+1,1))</f>
        <v>250.31277422753283</v>
      </c>
      <c r="BJ153" s="59">
        <f t="shared" si="146"/>
        <v>159.20429420478047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93.727429324720916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93.727429324720916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243</v>
      </c>
      <c r="BZ153" s="13">
        <f>BY153*VLOOKUP('Données projet'!$B$12,Paramètres!$A$1:$I$89,3,0)*VLOOKUP('Données projet'!$B$12,Paramètres!$A$1:$I$89,5,0)</f>
        <v>253.98360000000002</v>
      </c>
      <c r="CA153" s="13">
        <f t="shared" si="147"/>
        <v>61.438182405444294</v>
      </c>
      <c r="CB153" s="20">
        <f t="shared" si="118"/>
        <v>549.35960435614891</v>
      </c>
      <c r="CC153" s="59">
        <f t="shared" si="119"/>
        <v>842.69293768948228</v>
      </c>
      <c r="CD153" s="59">
        <f ca="1">AVERAGE(OFFSET($CC$3,0,0,'Données projet'!$E$12+1,1))-AVERAGE(OFFSET($H$3,0,0,'Données projet'!$E$12+1,1))</f>
        <v>322.93502595881938</v>
      </c>
      <c r="CE153" s="59">
        <f t="shared" si="148"/>
        <v>302.67072119588164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12.112935976776013</v>
      </c>
      <c r="CL153" s="21">
        <f>EXP(-LN(2)/25)*CL152+(1-EXP(-LN(2)/25))/(LN(2)/25)*Calculateur!CG153*Calculateur!CI153*VLOOKUP('Données projet'!$B$12,Paramètres!$A$1:$I$89,3,0)*0.475*44/12</f>
        <v>4.4538644837307348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16.566800460506748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278.21846622758881</v>
      </c>
      <c r="T154" s="59">
        <f t="shared" si="142"/>
        <v>245.37578316242906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40.380649017807272</v>
      </c>
      <c r="AA154" s="21">
        <f>EXP(-LN(2)/25)*AA153+(1-EXP(-LN(2)/25))/(LN(2)/25)*Calculateur!V154*Calculateur!X154*VLOOKUP('Données projet'!$B$9,Paramètres!$A$1:$I$89,3,0)*0.475*44/12</f>
        <v>5.3005925643744805</v>
      </c>
      <c r="AB154" s="21">
        <f>EXP(-LN(2)/2)*AB153+(1-EXP(-LN(2)/2))/(LN(2)/2)*V154*Y154*VLOOKUP('Données projet'!$B$9,Paramètres!$A$1:$I$89,3,0)*0.475*44/12</f>
        <v>2.4021509728929275E-10</v>
      </c>
      <c r="AC154" s="22">
        <f t="shared" ref="AC154:AC203" si="163">SUM(Z154:AB154)</f>
        <v>45.681241582421968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-1.3596945791505279E-13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261.13725557061468</v>
      </c>
      <c r="AO154" s="59">
        <f t="shared" si="144"/>
        <v>328.18986868293558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24.814230947520791</v>
      </c>
      <c r="AV154" s="21">
        <f>EXP(-LN(2)/25)*AV153+(1-EXP(-LN(2)/25))/(LN(2)/25)*Calculateur!AQ154*Calculateur!AS154*VLOOKUP('Données projet'!$B$10,Paramètres!$A$1:$I$89,3,0)*0.475*44/12</f>
        <v>3.173320673195319</v>
      </c>
      <c r="AW154" s="21">
        <f>EXP(-LN(2)/2)*AW153+(1-EXP(-LN(2)/2))/(LN(2)/2)*AQ154*AT154*VLOOKUP('Données projet'!$B$10,Paramètres!$A$1:$I$89,3,0)*0.475*44/12</f>
        <v>2.0301356256027028E-13</v>
      </c>
      <c r="AX154" s="21">
        <f t="shared" ref="AX154:AX203" si="166">SUM(AU154:AW154)</f>
        <v>27.987551620716314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3.0945512820512704</v>
      </c>
      <c r="BD154" s="12">
        <f>IF('Données projet'!$A$88&gt;35,BD153+BC154-BL153,IF(A154&lt;'Données projet'!$A$88,$BA$205^A154,IF(A154='Données projet'!$A$88,'Données projet'!$B$88,BD153+BC154-BL153)))</f>
        <v>188.86858974358921</v>
      </c>
      <c r="BE154" s="13">
        <f>BD154*VLOOKUP('Données projet'!$B$11,Paramètres!$A$1:$I$89,3,0)*VLOOKUP('Données projet'!$B$11,Paramètres!$A$1:$I$89,5,0)</f>
        <v>191.51274999999947</v>
      </c>
      <c r="BF154" s="13">
        <f t="shared" ref="BF154:BF203" si="167">EXP(-1.0587+0.8836*LN(BE154)+0.284)</f>
        <v>47.874245879088207</v>
      </c>
      <c r="BG154" s="20">
        <f t="shared" ref="BG154:BG203" si="168">(BE154+BF154)*0.475*44/12</f>
        <v>416.93235115607769</v>
      </c>
      <c r="BH154" s="59">
        <f t="shared" si="116"/>
        <v>710.265684489411</v>
      </c>
      <c r="BI154" s="59">
        <f ca="1">AVERAGE(OFFSET($BH$3,0,0,'Données projet'!$E$11+1,1))-AVERAGE(OFFSET($H$3,0,0,'Données projet'!$E$11+1,1))</f>
        <v>250.31277422753283</v>
      </c>
      <c r="BJ154" s="59">
        <f t="shared" si="146"/>
        <v>159.20429420478047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91.889491603750145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91.889491603750145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243</v>
      </c>
      <c r="BZ154" s="13">
        <f>BY154*VLOOKUP('Données projet'!$B$12,Paramètres!$A$1:$I$89,3,0)*VLOOKUP('Données projet'!$B$12,Paramètres!$A$1:$I$89,5,0)</f>
        <v>253.98360000000002</v>
      </c>
      <c r="CA154" s="13">
        <f t="shared" ref="CA154:CA203" si="170">EXP(-1.0587+0.8836*LN(BZ154)+0.284)</f>
        <v>61.438182405444294</v>
      </c>
      <c r="CB154" s="20">
        <f t="shared" ref="CB154:CB203" si="171">(BZ154+CA154)*0.475*44/12</f>
        <v>549.35960435614891</v>
      </c>
      <c r="CC154" s="59">
        <f t="shared" si="119"/>
        <v>842.69293768948228</v>
      </c>
      <c r="CD154" s="59">
        <f ca="1">AVERAGE(OFFSET($CC$3,0,0,'Données projet'!$E$12+1,1))-AVERAGE(OFFSET($H$3,0,0,'Données projet'!$E$12+1,1))</f>
        <v>322.93502595881938</v>
      </c>
      <c r="CE154" s="59">
        <f t="shared" si="148"/>
        <v>302.67072119588164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11.875408690432861</v>
      </c>
      <c r="CL154" s="21">
        <f>EXP(-LN(2)/25)*CL153+(1-EXP(-LN(2)/25))/(LN(2)/25)*Calculateur!CG154*Calculateur!CI154*VLOOKUP('Données projet'!$B$12,Paramètres!$A$1:$I$89,3,0)*0.475*44/12</f>
        <v>4.332073325204564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16.207482015637424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278.21846622758881</v>
      </c>
      <c r="T155" s="59">
        <f t="shared" si="142"/>
        <v>245.37578316242906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39.588809120331987</v>
      </c>
      <c r="AA155" s="21">
        <f>EXP(-LN(2)/25)*AA154+(1-EXP(-LN(2)/25))/(LN(2)/25)*Calculateur!V155*Calculateur!X155*VLOOKUP('Données projet'!$B$9,Paramètres!$A$1:$I$89,3,0)*0.475*44/12</f>
        <v>5.1556475819556118</v>
      </c>
      <c r="AB155" s="21">
        <f>EXP(-LN(2)/2)*AB154+(1-EXP(-LN(2)/2))/(LN(2)/2)*V155*Y155*VLOOKUP('Données projet'!$B$9,Paramètres!$A$1:$I$89,3,0)*0.475*44/12</f>
        <v>1.6985772423664515E-10</v>
      </c>
      <c r="AC155" s="22">
        <f t="shared" si="163"/>
        <v>44.744456702457455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-1.3596945791505279E-13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261.13725557061468</v>
      </c>
      <c r="AO155" s="59">
        <f t="shared" si="144"/>
        <v>328.18986868293558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24.32763901382631</v>
      </c>
      <c r="AV155" s="21">
        <f>EXP(-LN(2)/25)*AV154+(1-EXP(-LN(2)/25))/(LN(2)/25)*Calculateur!AQ155*Calculateur!AS155*VLOOKUP('Données projet'!$B$10,Paramètres!$A$1:$I$89,3,0)*0.475*44/12</f>
        <v>3.0865460525091115</v>
      </c>
      <c r="AW155" s="21">
        <f>EXP(-LN(2)/2)*AW154+(1-EXP(-LN(2)/2))/(LN(2)/2)*AQ155*AT155*VLOOKUP('Données projet'!$B$10,Paramètres!$A$1:$I$89,3,0)*0.475*44/12</f>
        <v>1.4355226675920651E-13</v>
      </c>
      <c r="AX155" s="21">
        <f t="shared" si="166"/>
        <v>27.414185066335563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3.0945512820512704</v>
      </c>
      <c r="BD155" s="12">
        <f>IF('Données projet'!$A$88&gt;35,BD154+BC155-BL154,IF(A155&lt;'Données projet'!$A$88,$BA$205^A155,IF(A155='Données projet'!$A$88,'Données projet'!$B$88,BD154+BC155-BL154)))</f>
        <v>191.96314102564048</v>
      </c>
      <c r="BE155" s="13">
        <f>BD155*VLOOKUP('Données projet'!$B$11,Paramètres!$A$1:$I$89,3,0)*VLOOKUP('Données projet'!$B$11,Paramètres!$A$1:$I$89,5,0)</f>
        <v>194.65062499999945</v>
      </c>
      <c r="BF155" s="13">
        <f t="shared" si="167"/>
        <v>48.566688465444784</v>
      </c>
      <c r="BG155" s="20">
        <f t="shared" si="168"/>
        <v>423.60348761898211</v>
      </c>
      <c r="BH155" s="59">
        <f t="shared" si="116"/>
        <v>716.93682095231543</v>
      </c>
      <c r="BI155" s="59">
        <f ca="1">AVERAGE(OFFSET($BH$3,0,0,'Données projet'!$E$11+1,1))-AVERAGE(OFFSET($H$3,0,0,'Données projet'!$E$11+1,1))</f>
        <v>250.31277422753283</v>
      </c>
      <c r="BJ155" s="59">
        <f t="shared" si="146"/>
        <v>159.20429420478047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90.087594720456295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90.087594720456295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243</v>
      </c>
      <c r="BZ155" s="13">
        <f>BY155*VLOOKUP('Données projet'!$B$12,Paramètres!$A$1:$I$89,3,0)*VLOOKUP('Données projet'!$B$12,Paramètres!$A$1:$I$89,5,0)</f>
        <v>253.98360000000002</v>
      </c>
      <c r="CA155" s="13">
        <f t="shared" si="170"/>
        <v>61.438182405444294</v>
      </c>
      <c r="CB155" s="20">
        <f t="shared" si="171"/>
        <v>549.35960435614891</v>
      </c>
      <c r="CC155" s="59">
        <f t="shared" si="119"/>
        <v>842.69293768948228</v>
      </c>
      <c r="CD155" s="59">
        <f ca="1">AVERAGE(OFFSET($CC$3,0,0,'Données projet'!$E$12+1,1))-AVERAGE(OFFSET($H$3,0,0,'Données projet'!$E$12+1,1))</f>
        <v>322.93502595881938</v>
      </c>
      <c r="CE155" s="59">
        <f t="shared" si="148"/>
        <v>302.67072119588164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11.642539169297558</v>
      </c>
      <c r="CL155" s="21">
        <f>EXP(-LN(2)/25)*CL154+(1-EXP(-LN(2)/25))/(LN(2)/25)*Calculateur!CG155*Calculateur!CI155*VLOOKUP('Données projet'!$B$12,Paramètres!$A$1:$I$89,3,0)*0.475*44/12</f>
        <v>4.2136125523130099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15.856151721610569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278.21846622758881</v>
      </c>
      <c r="T156" s="59">
        <f t="shared" si="142"/>
        <v>245.37578316242906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38.81249672027154</v>
      </c>
      <c r="AA156" s="21">
        <f>EXP(-LN(2)/25)*AA155+(1-EXP(-LN(2)/25))/(LN(2)/25)*Calculateur!V156*Calculateur!X156*VLOOKUP('Données projet'!$B$9,Paramètres!$A$1:$I$89,3,0)*0.475*44/12</f>
        <v>5.0146661277033129</v>
      </c>
      <c r="AB156" s="21">
        <f>EXP(-LN(2)/2)*AB155+(1-EXP(-LN(2)/2))/(LN(2)/2)*V156*Y156*VLOOKUP('Données projet'!$B$9,Paramètres!$A$1:$I$89,3,0)*0.475*44/12</f>
        <v>1.2010754864464638E-10</v>
      </c>
      <c r="AC156" s="22">
        <f t="shared" si="163"/>
        <v>43.827162848094964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-1.3596945791505279E-13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261.13725557061468</v>
      </c>
      <c r="AO156" s="59">
        <f t="shared" si="144"/>
        <v>328.18986868293558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23.850588851159806</v>
      </c>
      <c r="AV156" s="21">
        <f>EXP(-LN(2)/25)*AV155+(1-EXP(-LN(2)/25))/(LN(2)/25)*Calculateur!AQ156*Calculateur!AS156*VLOOKUP('Données projet'!$B$10,Paramètres!$A$1:$I$89,3,0)*0.475*44/12</f>
        <v>3.0021442883888474</v>
      </c>
      <c r="AW156" s="21">
        <f>EXP(-LN(2)/2)*AW155+(1-EXP(-LN(2)/2))/(LN(2)/2)*AQ156*AT156*VLOOKUP('Données projet'!$B$10,Paramètres!$A$1:$I$89,3,0)*0.475*44/12</f>
        <v>1.0150678128013514E-13</v>
      </c>
      <c r="AX156" s="21">
        <f t="shared" si="166"/>
        <v>26.852733139548757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195.05769230769226</v>
      </c>
      <c r="BB156" s="12">
        <f>VLOOKUP(A156,'Données projet'!$A$87:$I$107,9,0)</f>
        <v>3.0945512820512704</v>
      </c>
      <c r="BC156" s="12">
        <f t="array" ref="BC156">INDEX(BB:BB,MIN(IF(ISNUMBER(BB156:BB352),ROW(BB156:BB352),"")))</f>
        <v>3.0945512820512704</v>
      </c>
      <c r="BD156" s="12">
        <f>IF('Données projet'!$A$88&gt;35,BD155+BC156-BL155,IF(A156&lt;'Données projet'!$A$88,$BA$205^A156,IF(A156='Données projet'!$A$88,'Données projet'!$B$88,BD155+BC156-BL155)))</f>
        <v>195.05769230769175</v>
      </c>
      <c r="BE156" s="13">
        <f>BD156*VLOOKUP('Données projet'!$B$11,Paramètres!$A$1:$I$89,3,0)*VLOOKUP('Données projet'!$B$11,Paramètres!$A$1:$I$89,5,0)</f>
        <v>197.78849999999943</v>
      </c>
      <c r="BF156" s="13">
        <f t="shared" si="167"/>
        <v>49.257832889250977</v>
      </c>
      <c r="BG156" s="20">
        <f t="shared" si="168"/>
        <v>430.27236311544448</v>
      </c>
      <c r="BH156" s="59">
        <f t="shared" si="116"/>
        <v>723.60569644877773</v>
      </c>
      <c r="BI156" s="59">
        <f ca="1">AVERAGE(OFFSET($BH$3,0,0,'Données projet'!$E$11+1,1))-AVERAGE(OFFSET($H$3,0,0,'Données projet'!$E$11+1,1))</f>
        <v>250.31277422753283</v>
      </c>
      <c r="BJ156" s="59">
        <f t="shared" si="146"/>
        <v>159.20429420478047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70.115384615384613</v>
      </c>
      <c r="BM156" s="16">
        <f>IF(ISNA(VLOOKUP(A156,'Données projet'!$A$87:$I$107,5,0)),0%,VLOOKUP(A156,'Données projet'!$A$87:$I$107,5,0)*VLOOKUP('Données projet'!$B$11,Paramètres!$A$1:$I$89,7,0))</f>
        <v>0.38700000000000001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118.73753980699942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118.73753980699942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243</v>
      </c>
      <c r="BZ156" s="13">
        <f>BY156*VLOOKUP('Données projet'!$B$12,Paramètres!$A$1:$I$89,3,0)*VLOOKUP('Données projet'!$B$12,Paramètres!$A$1:$I$89,5,0)</f>
        <v>253.98360000000002</v>
      </c>
      <c r="CA156" s="13">
        <f t="shared" si="170"/>
        <v>61.438182405444294</v>
      </c>
      <c r="CB156" s="20">
        <f t="shared" si="171"/>
        <v>549.35960435614891</v>
      </c>
      <c r="CC156" s="59">
        <f t="shared" si="119"/>
        <v>842.69293768948228</v>
      </c>
      <c r="CD156" s="59">
        <f ca="1">AVERAGE(OFFSET($CC$3,0,0,'Données projet'!$E$12+1,1))-AVERAGE(OFFSET($H$3,0,0,'Données projet'!$E$12+1,1))</f>
        <v>322.93502595881938</v>
      </c>
      <c r="CE156" s="59">
        <f t="shared" si="148"/>
        <v>302.67072119588164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11.414236077435337</v>
      </c>
      <c r="CL156" s="21">
        <f>EXP(-LN(2)/25)*CL155+(1-EXP(-LN(2)/25))/(LN(2)/25)*Calculateur!CG156*Calculateur!CI156*VLOOKUP('Données projet'!$B$12,Paramètres!$A$1:$I$89,3,0)*0.475*44/12</f>
        <v>4.0983910954857565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15.512627172921093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278.21846622758881</v>
      </c>
      <c r="T157" s="59">
        <f t="shared" si="142"/>
        <v>245.37578316242906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38.051407332872472</v>
      </c>
      <c r="AA157" s="21">
        <f>EXP(-LN(2)/25)*AA156+(1-EXP(-LN(2)/25))/(LN(2)/25)*Calculateur!V157*Calculateur!X157*VLOOKUP('Données projet'!$B$9,Paramètres!$A$1:$I$89,3,0)*0.475*44/12</f>
        <v>4.8775398187314352</v>
      </c>
      <c r="AB157" s="21">
        <f>EXP(-LN(2)/2)*AB156+(1-EXP(-LN(2)/2))/(LN(2)/2)*V157*Y157*VLOOKUP('Données projet'!$B$9,Paramètres!$A$1:$I$89,3,0)*0.475*44/12</f>
        <v>8.4928862118322577E-11</v>
      </c>
      <c r="AC157" s="22">
        <f t="shared" si="163"/>
        <v>42.928947151688838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-1.3596945791505279E-13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261.13725557061468</v>
      </c>
      <c r="AO157" s="59">
        <f t="shared" si="144"/>
        <v>328.18986868293558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23.382893351211322</v>
      </c>
      <c r="AV157" s="21">
        <f>EXP(-LN(2)/25)*AV156+(1-EXP(-LN(2)/25))/(LN(2)/25)*Calculateur!AQ157*Calculateur!AS157*VLOOKUP('Données projet'!$B$10,Paramètres!$A$1:$I$89,3,0)*0.475*44/12</f>
        <v>2.9200504949469477</v>
      </c>
      <c r="AW157" s="21">
        <f>EXP(-LN(2)/2)*AW156+(1-EXP(-LN(2)/2))/(LN(2)/2)*AQ157*AT157*VLOOKUP('Données projet'!$B$10,Paramètres!$A$1:$I$89,3,0)*0.475*44/12</f>
        <v>7.1776133379603257E-14</v>
      </c>
      <c r="AX157" s="21">
        <f t="shared" si="166"/>
        <v>26.302943846158342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1.8717948717948829</v>
      </c>
      <c r="BD157" s="12">
        <f>IF('Données projet'!$A$88&gt;35,BD156+BC157-BL156,IF(A157&lt;'Données projet'!$A$88,$BA$205^A157,IF(A157='Données projet'!$A$88,'Données projet'!$B$88,BD156+BC157-BL156)))</f>
        <v>126.81410256410203</v>
      </c>
      <c r="BE157" s="13">
        <f>BD157*VLOOKUP('Données projet'!$B$11,Paramètres!$A$1:$I$89,3,0)*VLOOKUP('Données projet'!$B$11,Paramètres!$A$1:$I$89,5,0)</f>
        <v>128.58949999999948</v>
      </c>
      <c r="BF157" s="13">
        <f t="shared" si="167"/>
        <v>33.670227547903842</v>
      </c>
      <c r="BG157" s="20">
        <f t="shared" si="168"/>
        <v>282.60235881259825</v>
      </c>
      <c r="BH157" s="59">
        <f t="shared" si="116"/>
        <v>575.93569214593163</v>
      </c>
      <c r="BI157" s="59">
        <f ca="1">AVERAGE(OFFSET($BH$3,0,0,'Données projet'!$E$11+1,1))-AVERAGE(OFFSET($H$3,0,0,'Données projet'!$E$11+1,1))</f>
        <v>250.31277422753283</v>
      </c>
      <c r="BJ157" s="59">
        <f t="shared" si="146"/>
        <v>159.20429420478047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116.40916907413229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116.40916907413229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243</v>
      </c>
      <c r="BZ157" s="13">
        <f>BY157*VLOOKUP('Données projet'!$B$12,Paramètres!$A$1:$I$89,3,0)*VLOOKUP('Données projet'!$B$12,Paramètres!$A$1:$I$89,5,0)</f>
        <v>253.98360000000002</v>
      </c>
      <c r="CA157" s="13">
        <f t="shared" si="170"/>
        <v>61.438182405444294</v>
      </c>
      <c r="CB157" s="20">
        <f t="shared" si="171"/>
        <v>549.35960435614891</v>
      </c>
      <c r="CC157" s="59">
        <f t="shared" si="119"/>
        <v>842.69293768948228</v>
      </c>
      <c r="CD157" s="59">
        <f ca="1">AVERAGE(OFFSET($CC$3,0,0,'Données projet'!$E$12+1,1))-AVERAGE(OFFSET($H$3,0,0,'Données projet'!$E$12+1,1))</f>
        <v>322.93502595881938</v>
      </c>
      <c r="CE157" s="59">
        <f t="shared" si="148"/>
        <v>302.67072119588164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11.190409869953397</v>
      </c>
      <c r="CL157" s="21">
        <f>EXP(-LN(2)/25)*CL156+(1-EXP(-LN(2)/25))/(LN(2)/25)*Calculateur!CG157*Calculateur!CI157*VLOOKUP('Données projet'!$B$12,Paramètres!$A$1:$I$89,3,0)*0.475*44/12</f>
        <v>3.9863203754546777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15.176730245408075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278.21846622758881</v>
      </c>
      <c r="T158" s="59">
        <f t="shared" si="142"/>
        <v>245.37578316242906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37.305242444141612</v>
      </c>
      <c r="AA158" s="21">
        <f>EXP(-LN(2)/25)*AA157+(1-EXP(-LN(2)/25))/(LN(2)/25)*Calculateur!V158*Calculateur!X158*VLOOKUP('Données projet'!$B$9,Paramètres!$A$1:$I$89,3,0)*0.475*44/12</f>
        <v>4.7441632358895527</v>
      </c>
      <c r="AB158" s="21">
        <f>EXP(-LN(2)/2)*AB157+(1-EXP(-LN(2)/2))/(LN(2)/2)*V158*Y158*VLOOKUP('Données projet'!$B$9,Paramètres!$A$1:$I$89,3,0)*0.475*44/12</f>
        <v>6.0053774322323188E-11</v>
      </c>
      <c r="AC158" s="22">
        <f t="shared" si="163"/>
        <v>42.049405680091219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-1.3596945791505279E-13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261.13725557061468</v>
      </c>
      <c r="AO158" s="59">
        <f t="shared" si="144"/>
        <v>328.18986868293558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22.924369074750743</v>
      </c>
      <c r="AV158" s="21">
        <f>EXP(-LN(2)/25)*AV157+(1-EXP(-LN(2)/25))/(LN(2)/25)*Calculateur!AQ158*Calculateur!AS158*VLOOKUP('Données projet'!$B$10,Paramètres!$A$1:$I$89,3,0)*0.475*44/12</f>
        <v>2.8402015606038415</v>
      </c>
      <c r="AW158" s="21">
        <f>EXP(-LN(2)/2)*AW157+(1-EXP(-LN(2)/2))/(LN(2)/2)*AQ158*AT158*VLOOKUP('Données projet'!$B$10,Paramètres!$A$1:$I$89,3,0)*0.475*44/12</f>
        <v>5.0753390640067571E-14</v>
      </c>
      <c r="AX158" s="21">
        <f t="shared" si="166"/>
        <v>25.764570635354634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1.8717948717948829</v>
      </c>
      <c r="BD158" s="12">
        <f>IF('Données projet'!$A$88&gt;35,BD157+BC158-BL157,IF(A158&lt;'Données projet'!$A$88,$BA$205^A158,IF(A158='Données projet'!$A$88,'Données projet'!$B$88,BD157+BC158-BL157)))</f>
        <v>128.68589743589692</v>
      </c>
      <c r="BE158" s="13">
        <f>BD158*VLOOKUP('Données projet'!$B$11,Paramètres!$A$1:$I$89,3,0)*VLOOKUP('Données projet'!$B$11,Paramètres!$A$1:$I$89,5,0)</f>
        <v>130.4874999999995</v>
      </c>
      <c r="BF158" s="13">
        <f t="shared" si="167"/>
        <v>34.108981718044198</v>
      </c>
      <c r="BG158" s="20">
        <f t="shared" si="168"/>
        <v>286.67220565892609</v>
      </c>
      <c r="BH158" s="59">
        <f t="shared" si="116"/>
        <v>580.0055389922594</v>
      </c>
      <c r="BI158" s="59">
        <f ca="1">AVERAGE(OFFSET($BH$3,0,0,'Données projet'!$E$11+1,1))-AVERAGE(OFFSET($H$3,0,0,'Données projet'!$E$11+1,1))</f>
        <v>250.31277422753283</v>
      </c>
      <c r="BJ158" s="59">
        <f t="shared" si="146"/>
        <v>159.20429420478047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114.12645627117077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114.12645627117077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243</v>
      </c>
      <c r="BZ158" s="13">
        <f>BY158*VLOOKUP('Données projet'!$B$12,Paramètres!$A$1:$I$89,3,0)*VLOOKUP('Données projet'!$B$12,Paramètres!$A$1:$I$89,5,0)</f>
        <v>253.98360000000002</v>
      </c>
      <c r="CA158" s="13">
        <f t="shared" si="170"/>
        <v>61.438182405444294</v>
      </c>
      <c r="CB158" s="20">
        <f t="shared" si="171"/>
        <v>549.35960435614891</v>
      </c>
      <c r="CC158" s="59">
        <f t="shared" si="119"/>
        <v>842.69293768948228</v>
      </c>
      <c r="CD158" s="59">
        <f ca="1">AVERAGE(OFFSET($CC$3,0,0,'Données projet'!$E$12+1,1))-AVERAGE(OFFSET($H$3,0,0,'Données projet'!$E$12+1,1))</f>
        <v>322.93502595881938</v>
      </c>
      <c r="CE158" s="59">
        <f t="shared" si="148"/>
        <v>302.67072119588164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10.970972757879672</v>
      </c>
      <c r="CL158" s="21">
        <f>EXP(-LN(2)/25)*CL157+(1-EXP(-LN(2)/25))/(LN(2)/25)*Calculateur!CG158*Calculateur!CI158*VLOOKUP('Données projet'!$B$12,Paramètres!$A$1:$I$89,3,0)*0.475*44/12</f>
        <v>3.8773142351563918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14.848286993036064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278.21846622758881</v>
      </c>
      <c r="T159" s="59">
        <f t="shared" si="142"/>
        <v>245.37578316242906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36.573709393763117</v>
      </c>
      <c r="AA159" s="21">
        <f>EXP(-LN(2)/25)*AA158+(1-EXP(-LN(2)/25))/(LN(2)/25)*Calculateur!V159*Calculateur!X159*VLOOKUP('Données projet'!$B$9,Paramètres!$A$1:$I$89,3,0)*0.475*44/12</f>
        <v>4.6144338427194516</v>
      </c>
      <c r="AB159" s="21">
        <f>EXP(-LN(2)/2)*AB158+(1-EXP(-LN(2)/2))/(LN(2)/2)*V159*Y159*VLOOKUP('Données projet'!$B$9,Paramètres!$A$1:$I$89,3,0)*0.475*44/12</f>
        <v>4.2464431059161289E-11</v>
      </c>
      <c r="AC159" s="22">
        <f t="shared" si="163"/>
        <v>41.188143236525029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-1.3596945791505279E-13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261.13725557061468</v>
      </c>
      <c r="AO159" s="59">
        <f t="shared" si="144"/>
        <v>328.18986868293558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22.474836179679361</v>
      </c>
      <c r="AV159" s="21">
        <f>EXP(-LN(2)/25)*AV158+(1-EXP(-LN(2)/25))/(LN(2)/25)*Calculateur!AQ159*Calculateur!AS159*VLOOKUP('Données projet'!$B$10,Paramètres!$A$1:$I$89,3,0)*0.475*44/12</f>
        <v>2.7625360995694206</v>
      </c>
      <c r="AW159" s="21">
        <f>EXP(-LN(2)/2)*AW158+(1-EXP(-LN(2)/2))/(LN(2)/2)*AQ159*AT159*VLOOKUP('Données projet'!$B$10,Paramètres!$A$1:$I$89,3,0)*0.475*44/12</f>
        <v>3.5888066689801628E-14</v>
      </c>
      <c r="AX159" s="21">
        <f t="shared" si="166"/>
        <v>25.237372279248817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1.8717948717948829</v>
      </c>
      <c r="BD159" s="12">
        <f>IF('Données projet'!$A$88&gt;35,BD158+BC159-BL158,IF(A159&lt;'Données projet'!$A$88,$BA$205^A159,IF(A159='Données projet'!$A$88,'Données projet'!$B$88,BD158+BC159-BL158)))</f>
        <v>130.55769230769181</v>
      </c>
      <c r="BE159" s="13">
        <f>BD159*VLOOKUP('Données projet'!$B$11,Paramètres!$A$1:$I$89,3,0)*VLOOKUP('Données projet'!$B$11,Paramètres!$A$1:$I$89,5,0)</f>
        <v>132.38549999999952</v>
      </c>
      <c r="BF159" s="13">
        <f t="shared" si="167"/>
        <v>34.546993638315641</v>
      </c>
      <c r="BG159" s="20">
        <f t="shared" si="168"/>
        <v>290.74075975339895</v>
      </c>
      <c r="BH159" s="59">
        <f t="shared" si="116"/>
        <v>584.07409308673232</v>
      </c>
      <c r="BI159" s="59">
        <f ca="1">AVERAGE(OFFSET($BH$3,0,0,'Données projet'!$E$11+1,1))-AVERAGE(OFFSET($H$3,0,0,'Données projet'!$E$11+1,1))</f>
        <v>250.31277422753283</v>
      </c>
      <c r="BJ159" s="59">
        <f t="shared" si="146"/>
        <v>159.20429420478047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111.88850607395798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111.88850607395798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243</v>
      </c>
      <c r="BZ159" s="13">
        <f>BY159*VLOOKUP('Données projet'!$B$12,Paramètres!$A$1:$I$89,3,0)*VLOOKUP('Données projet'!$B$12,Paramètres!$A$1:$I$89,5,0)</f>
        <v>253.98360000000002</v>
      </c>
      <c r="CA159" s="13">
        <f t="shared" si="170"/>
        <v>61.438182405444294</v>
      </c>
      <c r="CB159" s="20">
        <f t="shared" si="171"/>
        <v>549.35960435614891</v>
      </c>
      <c r="CC159" s="59">
        <f t="shared" si="119"/>
        <v>842.69293768948228</v>
      </c>
      <c r="CD159" s="59">
        <f ca="1">AVERAGE(OFFSET($CC$3,0,0,'Données projet'!$E$12+1,1))-AVERAGE(OFFSET($H$3,0,0,'Données projet'!$E$12+1,1))</f>
        <v>322.93502595881938</v>
      </c>
      <c r="CE159" s="59">
        <f t="shared" si="148"/>
        <v>302.67072119588164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10.75583867373029</v>
      </c>
      <c r="CL159" s="21">
        <f>EXP(-LN(2)/25)*CL158+(1-EXP(-LN(2)/25))/(LN(2)/25)*Calculateur!CG159*Calculateur!CI159*VLOOKUP('Données projet'!$B$12,Paramètres!$A$1:$I$89,3,0)*0.475*44/12</f>
        <v>3.7712888734969465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14.527127547227236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278.21846622758881</v>
      </c>
      <c r="T160" s="59">
        <f t="shared" si="142"/>
        <v>245.37578316242906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35.856521260311446</v>
      </c>
      <c r="AA160" s="21">
        <f>EXP(-LN(2)/25)*AA159+(1-EXP(-LN(2)/25))/(LN(2)/25)*Calculateur!V160*Calculateur!X160*VLOOKUP('Données projet'!$B$9,Paramètres!$A$1:$I$89,3,0)*0.475*44/12</f>
        <v>4.4882519066277586</v>
      </c>
      <c r="AB160" s="21">
        <f>EXP(-LN(2)/2)*AB159+(1-EXP(-LN(2)/2))/(LN(2)/2)*V160*Y160*VLOOKUP('Données projet'!$B$9,Paramètres!$A$1:$I$89,3,0)*0.475*44/12</f>
        <v>3.0026887161161594E-11</v>
      </c>
      <c r="AC160" s="22">
        <f t="shared" si="163"/>
        <v>40.344773166969233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-1.3596945791505279E-13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261.13725557061468</v>
      </c>
      <c r="AO160" s="59">
        <f t="shared" si="144"/>
        <v>328.18986868293558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22.034118350492335</v>
      </c>
      <c r="AV160" s="21">
        <f>EXP(-LN(2)/25)*AV159+(1-EXP(-LN(2)/25))/(LN(2)/25)*Calculateur!AQ160*Calculateur!AS160*VLOOKUP('Données projet'!$B$10,Paramètres!$A$1:$I$89,3,0)*0.475*44/12</f>
        <v>2.6869944046512351</v>
      </c>
      <c r="AW160" s="21">
        <f>EXP(-LN(2)/2)*AW159+(1-EXP(-LN(2)/2))/(LN(2)/2)*AQ160*AT160*VLOOKUP('Données projet'!$B$10,Paramètres!$A$1:$I$89,3,0)*0.475*44/12</f>
        <v>2.5376695320033785E-14</v>
      </c>
      <c r="AX160" s="21">
        <f t="shared" si="166"/>
        <v>24.721112755143594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132.42948717948718</v>
      </c>
      <c r="BB160" s="12">
        <f>VLOOKUP(A160,'Données projet'!$A$87:$I$107,9,0)</f>
        <v>1.8717948717948829</v>
      </c>
      <c r="BC160" s="12">
        <f t="array" ref="BC160">INDEX(BB:BB,MIN(IF(ISNUMBER(BB160:BB356),ROW(BB160:BB356),"")))</f>
        <v>1.8717948717948829</v>
      </c>
      <c r="BD160" s="12">
        <f>IF('Données projet'!$A$88&gt;35,BD159+BC160-BL159,IF(A160&lt;'Données projet'!$A$88,$BA$205^A160,IF(A160='Données projet'!$A$88,'Données projet'!$B$88,BD159+BC160-BL159)))</f>
        <v>132.4294871794867</v>
      </c>
      <c r="BE160" s="13">
        <f>BD160*VLOOKUP('Données projet'!$B$11,Paramètres!$A$1:$I$89,3,0)*VLOOKUP('Données projet'!$B$11,Paramètres!$A$1:$I$89,5,0)</f>
        <v>134.28349999999952</v>
      </c>
      <c r="BF160" s="13">
        <f t="shared" si="167"/>
        <v>34.984275179883873</v>
      </c>
      <c r="BG160" s="20">
        <f t="shared" si="168"/>
        <v>294.80804177163026</v>
      </c>
      <c r="BH160" s="59">
        <f t="shared" si="116"/>
        <v>588.14137510496357</v>
      </c>
      <c r="BI160" s="59">
        <f ca="1">AVERAGE(OFFSET($BH$3,0,0,'Données projet'!$E$11+1,1))-AVERAGE(OFFSET($H$3,0,0,'Données projet'!$E$11+1,1))</f>
        <v>250.31277422753283</v>
      </c>
      <c r="BJ160" s="59">
        <f t="shared" si="146"/>
        <v>159.20429420478047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45.71153846153846</v>
      </c>
      <c r="BM160" s="16">
        <f>IF(ISNA(VLOOKUP(A160,'Données projet'!$A$87:$I$107,5,0)),0%,VLOOKUP(A160,'Données projet'!$A$87:$I$107,5,0)*VLOOKUP('Données projet'!$B$11,Paramètres!$A$1:$I$89,7,0))</f>
        <v>0.38700000000000001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129.52440210000634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129.52440210000634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243</v>
      </c>
      <c r="BZ160" s="13">
        <f>BY160*VLOOKUP('Données projet'!$B$12,Paramètres!$A$1:$I$89,3,0)*VLOOKUP('Données projet'!$B$12,Paramètres!$A$1:$I$89,5,0)</f>
        <v>253.98360000000002</v>
      </c>
      <c r="CA160" s="13">
        <f t="shared" si="170"/>
        <v>61.438182405444294</v>
      </c>
      <c r="CB160" s="20">
        <f t="shared" si="171"/>
        <v>549.35960435614891</v>
      </c>
      <c r="CC160" s="59">
        <f t="shared" si="119"/>
        <v>842.69293768948228</v>
      </c>
      <c r="CD160" s="59">
        <f ca="1">AVERAGE(OFFSET($CC$3,0,0,'Données projet'!$E$12+1,1))-AVERAGE(OFFSET($H$3,0,0,'Données projet'!$E$12+1,1))</f>
        <v>322.93502595881938</v>
      </c>
      <c r="CE160" s="59">
        <f t="shared" si="148"/>
        <v>302.67072119588164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10.544923237752243</v>
      </c>
      <c r="CL160" s="21">
        <f>EXP(-LN(2)/25)*CL159+(1-EXP(-LN(2)/25))/(LN(2)/25)*Calculateur!CG160*Calculateur!CI160*VLOOKUP('Données projet'!$B$12,Paramètres!$A$1:$I$89,3,0)*0.475*44/12</f>
        <v>3.6681627809277102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14.213086018679954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278.21846622758881</v>
      </c>
      <c r="T161" s="59">
        <f t="shared" si="142"/>
        <v>245.37578316242906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35.153396748715195</v>
      </c>
      <c r="AA161" s="21">
        <f>EXP(-LN(2)/25)*AA160+(1-EXP(-LN(2)/25))/(LN(2)/25)*Calculateur!V161*Calculateur!X161*VLOOKUP('Données projet'!$B$9,Paramètres!$A$1:$I$89,3,0)*0.475*44/12</f>
        <v>4.3655204222141126</v>
      </c>
      <c r="AB161" s="21">
        <f>EXP(-LN(2)/2)*AB160+(1-EXP(-LN(2)/2))/(LN(2)/2)*V161*Y161*VLOOKUP('Données projet'!$B$9,Paramètres!$A$1:$I$89,3,0)*0.475*44/12</f>
        <v>2.1232215529580644E-11</v>
      </c>
      <c r="AC161" s="22">
        <f t="shared" si="163"/>
        <v>39.518917170950537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-1.3596945791505279E-13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261.13725557061468</v>
      </c>
      <c r="AO161" s="59">
        <f t="shared" si="144"/>
        <v>328.18986868293558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21.602042729124335</v>
      </c>
      <c r="AV161" s="21">
        <f>EXP(-LN(2)/25)*AV160+(1-EXP(-LN(2)/25))/(LN(2)/25)*Calculateur!AQ161*Calculateur!AS161*VLOOKUP('Données projet'!$B$10,Paramètres!$A$1:$I$89,3,0)*0.475*44/12</f>
        <v>2.6135184013531525</v>
      </c>
      <c r="AW161" s="21">
        <f>EXP(-LN(2)/2)*AW160+(1-EXP(-LN(2)/2))/(LN(2)/2)*AQ161*AT161*VLOOKUP('Données projet'!$B$10,Paramètres!$A$1:$I$89,3,0)*0.475*44/12</f>
        <v>1.7944033344900814E-14</v>
      </c>
      <c r="AX161" s="21">
        <f t="shared" si="166"/>
        <v>24.215561130477507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1.1618589743589709</v>
      </c>
      <c r="BD161" s="12">
        <f>IF('Données projet'!$A$88&gt;35,BD160+BC161-BL160,IF(A161&lt;'Données projet'!$A$88,$BA$205^A161,IF(A161='Données projet'!$A$88,'Données projet'!$B$88,BD160+BC161-BL160)))</f>
        <v>87.879807692307224</v>
      </c>
      <c r="BE161" s="13">
        <f>BD161*VLOOKUP('Données projet'!$B$11,Paramètres!$A$1:$I$89,3,0)*VLOOKUP('Données projet'!$B$11,Paramètres!$A$1:$I$89,5,0)</f>
        <v>89.110124999999528</v>
      </c>
      <c r="BF161" s="13">
        <f t="shared" si="167"/>
        <v>24.350484613685058</v>
      </c>
      <c r="BG161" s="20">
        <f t="shared" si="168"/>
        <v>197.61056174383398</v>
      </c>
      <c r="BH161" s="59">
        <f t="shared" si="116"/>
        <v>490.94389507716733</v>
      </c>
      <c r="BI161" s="59">
        <f ca="1">AVERAGE(OFFSET($BH$3,0,0,'Données projet'!$E$11+1,1))-AVERAGE(OFFSET($H$3,0,0,'Données projet'!$E$11+1,1))</f>
        <v>250.31277422753283</v>
      </c>
      <c r="BJ161" s="59">
        <f t="shared" si="146"/>
        <v>159.20429420478047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126.98450757690969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126.98450757690969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243</v>
      </c>
      <c r="BZ161" s="13">
        <f>BY161*VLOOKUP('Données projet'!$B$12,Paramètres!$A$1:$I$89,3,0)*VLOOKUP('Données projet'!$B$12,Paramètres!$A$1:$I$89,5,0)</f>
        <v>253.98360000000002</v>
      </c>
      <c r="CA161" s="13">
        <f t="shared" si="170"/>
        <v>61.438182405444294</v>
      </c>
      <c r="CB161" s="20">
        <f t="shared" si="171"/>
        <v>549.35960435614891</v>
      </c>
      <c r="CC161" s="59">
        <f t="shared" si="119"/>
        <v>842.69293768948228</v>
      </c>
      <c r="CD161" s="59">
        <f ca="1">AVERAGE(OFFSET($CC$3,0,0,'Données projet'!$E$12+1,1))-AVERAGE(OFFSET($H$3,0,0,'Données projet'!$E$12+1,1))</f>
        <v>322.93502595881938</v>
      </c>
      <c r="CE161" s="59">
        <f t="shared" si="148"/>
        <v>302.67072119588164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10.338143724828013</v>
      </c>
      <c r="CL161" s="21">
        <f>EXP(-LN(2)/25)*CL160+(1-EXP(-LN(2)/25))/(LN(2)/25)*Calculateur!CG161*Calculateur!CI161*VLOOKUP('Données projet'!$B$12,Paramètres!$A$1:$I$89,3,0)*0.475*44/12</f>
        <v>3.5678566767829452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13.906000401610958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278.21846622758881</v>
      </c>
      <c r="T162" s="59">
        <f t="shared" si="142"/>
        <v>245.37578316242906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34.464060079927741</v>
      </c>
      <c r="AA162" s="21">
        <f>EXP(-LN(2)/25)*AA161+(1-EXP(-LN(2)/25))/(LN(2)/25)*Calculateur!V162*Calculateur!X162*VLOOKUP('Données projet'!$B$9,Paramètres!$A$1:$I$89,3,0)*0.475*44/12</f>
        <v>4.2461450366959266</v>
      </c>
      <c r="AB162" s="21">
        <f>EXP(-LN(2)/2)*AB161+(1-EXP(-LN(2)/2))/(LN(2)/2)*V162*Y162*VLOOKUP('Données projet'!$B$9,Paramètres!$A$1:$I$89,3,0)*0.475*44/12</f>
        <v>1.5013443580580797E-11</v>
      </c>
      <c r="AC162" s="22">
        <f t="shared" si="163"/>
        <v>38.710205116638683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-1.3596945791505279E-13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261.13725557061468</v>
      </c>
      <c r="AO162" s="59">
        <f t="shared" si="144"/>
        <v>328.18986868293558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21.178439847151257</v>
      </c>
      <c r="AV162" s="21">
        <f>EXP(-LN(2)/25)*AV161+(1-EXP(-LN(2)/25))/(LN(2)/25)*Calculateur!AQ162*Calculateur!AS162*VLOOKUP('Données projet'!$B$10,Paramètres!$A$1:$I$89,3,0)*0.475*44/12</f>
        <v>2.5420516032291909</v>
      </c>
      <c r="AW162" s="21">
        <f>EXP(-LN(2)/2)*AW161+(1-EXP(-LN(2)/2))/(LN(2)/2)*AQ162*AT162*VLOOKUP('Données projet'!$B$10,Paramètres!$A$1:$I$89,3,0)*0.475*44/12</f>
        <v>1.2688347660016893E-14</v>
      </c>
      <c r="AX162" s="21">
        <f t="shared" si="166"/>
        <v>23.720491450380461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1.1618589743589709</v>
      </c>
      <c r="BD162" s="12">
        <f>IF('Données projet'!$A$88&gt;35,BD161+BC162-BL161,IF(A162&lt;'Données projet'!$A$88,$BA$205^A162,IF(A162='Données projet'!$A$88,'Données projet'!$B$88,BD161+BC162-BL161)))</f>
        <v>89.041666666666202</v>
      </c>
      <c r="BE162" s="13">
        <f>BD162*VLOOKUP('Données projet'!$B$11,Paramètres!$A$1:$I$89,3,0)*VLOOKUP('Données projet'!$B$11,Paramètres!$A$1:$I$89,5,0)</f>
        <v>90.288249999999536</v>
      </c>
      <c r="BF162" s="13">
        <f t="shared" si="167"/>
        <v>24.634731009832841</v>
      </c>
      <c r="BG162" s="20">
        <f t="shared" si="168"/>
        <v>200.15752525879137</v>
      </c>
      <c r="BH162" s="59">
        <f t="shared" si="116"/>
        <v>493.49085859212471</v>
      </c>
      <c r="BI162" s="59">
        <f ca="1">AVERAGE(OFFSET($BH$3,0,0,'Données projet'!$E$11+1,1))-AVERAGE(OFFSET($H$3,0,0,'Données projet'!$E$11+1,1))</f>
        <v>250.31277422753283</v>
      </c>
      <c r="BJ162" s="59">
        <f t="shared" si="146"/>
        <v>159.20429420478047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124.49441883622828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124.49441883622828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243</v>
      </c>
      <c r="BZ162" s="13">
        <f>BY162*VLOOKUP('Données projet'!$B$12,Paramètres!$A$1:$I$89,3,0)*VLOOKUP('Données projet'!$B$12,Paramètres!$A$1:$I$89,5,0)</f>
        <v>253.98360000000002</v>
      </c>
      <c r="CA162" s="13">
        <f t="shared" si="170"/>
        <v>61.438182405444294</v>
      </c>
      <c r="CB162" s="20">
        <f t="shared" si="171"/>
        <v>549.35960435614891</v>
      </c>
      <c r="CC162" s="59">
        <f t="shared" si="119"/>
        <v>842.69293768948228</v>
      </c>
      <c r="CD162" s="59">
        <f ca="1">AVERAGE(OFFSET($CC$3,0,0,'Données projet'!$E$12+1,1))-AVERAGE(OFFSET($H$3,0,0,'Données projet'!$E$12+1,1))</f>
        <v>322.93502595881938</v>
      </c>
      <c r="CE162" s="59">
        <f t="shared" si="148"/>
        <v>302.67072119588164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10.135419032029178</v>
      </c>
      <c r="CL162" s="21">
        <f>EXP(-LN(2)/25)*CL161+(1-EXP(-LN(2)/25))/(LN(2)/25)*Calculateur!CG162*Calculateur!CI162*VLOOKUP('Données projet'!$B$12,Paramètres!$A$1:$I$89,3,0)*0.475*44/12</f>
        <v>3.4702934483308874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13.605712480360065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278.21846622758881</v>
      </c>
      <c r="T163" s="59">
        <f t="shared" si="142"/>
        <v>245.37578316242906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33.788240882761357</v>
      </c>
      <c r="AA163" s="21">
        <f>EXP(-LN(2)/25)*AA162+(1-EXP(-LN(2)/25))/(LN(2)/25)*Calculateur!V163*Calculateur!X163*VLOOKUP('Données projet'!$B$9,Paramètres!$A$1:$I$89,3,0)*0.475*44/12</f>
        <v>4.1300339773724133</v>
      </c>
      <c r="AB163" s="21">
        <f>EXP(-LN(2)/2)*AB162+(1-EXP(-LN(2)/2))/(LN(2)/2)*V163*Y163*VLOOKUP('Données projet'!$B$9,Paramètres!$A$1:$I$89,3,0)*0.475*44/12</f>
        <v>1.0616107764790322E-11</v>
      </c>
      <c r="AC163" s="22">
        <f t="shared" si="163"/>
        <v>37.918274860144386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-1.3596945791505279E-13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261.13725557061468</v>
      </c>
      <c r="AO163" s="59">
        <f t="shared" si="144"/>
        <v>328.18986868293558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20.763143559321424</v>
      </c>
      <c r="AV163" s="21">
        <f>EXP(-LN(2)/25)*AV162+(1-EXP(-LN(2)/25))/(LN(2)/25)*Calculateur!AQ163*Calculateur!AS163*VLOOKUP('Données projet'!$B$10,Paramètres!$A$1:$I$89,3,0)*0.475*44/12</f>
        <v>2.4725390684582047</v>
      </c>
      <c r="AW163" s="21">
        <f>EXP(-LN(2)/2)*AW162+(1-EXP(-LN(2)/2))/(LN(2)/2)*AQ163*AT163*VLOOKUP('Données projet'!$B$10,Paramètres!$A$1:$I$89,3,0)*0.475*44/12</f>
        <v>8.9720166724504071E-15</v>
      </c>
      <c r="AX163" s="21">
        <f t="shared" si="166"/>
        <v>23.235682627779639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1.1618589743589709</v>
      </c>
      <c r="BD163" s="12">
        <f>IF('Données projet'!$A$88&gt;35,BD162+BC163-BL162,IF(A163&lt;'Données projet'!$A$88,$BA$205^A163,IF(A163='Données projet'!$A$88,'Données projet'!$B$88,BD162+BC163-BL162)))</f>
        <v>90.20352564102518</v>
      </c>
      <c r="BE163" s="13">
        <f>BD163*VLOOKUP('Données projet'!$B$11,Paramètres!$A$1:$I$89,3,0)*VLOOKUP('Données projet'!$B$11,Paramètres!$A$1:$I$89,5,0)</f>
        <v>91.466374999999545</v>
      </c>
      <c r="BF163" s="13">
        <f t="shared" si="167"/>
        <v>24.918545994850898</v>
      </c>
      <c r="BG163" s="20">
        <f t="shared" si="168"/>
        <v>202.70373739936451</v>
      </c>
      <c r="BH163" s="59">
        <f t="shared" si="116"/>
        <v>496.03707073269783</v>
      </c>
      <c r="BI163" s="59">
        <f ca="1">AVERAGE(OFFSET($BH$3,0,0,'Données projet'!$E$11+1,1))-AVERAGE(OFFSET($H$3,0,0,'Données projet'!$E$11+1,1))</f>
        <v>250.31277422753283</v>
      </c>
      <c r="BJ163" s="59">
        <f t="shared" si="146"/>
        <v>159.20429420478047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122.05315921694746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122.05315921694746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243</v>
      </c>
      <c r="BZ163" s="13">
        <f>BY163*VLOOKUP('Données projet'!$B$12,Paramètres!$A$1:$I$89,3,0)*VLOOKUP('Données projet'!$B$12,Paramètres!$A$1:$I$89,5,0)</f>
        <v>253.98360000000002</v>
      </c>
      <c r="CA163" s="13">
        <f t="shared" si="170"/>
        <v>61.438182405444294</v>
      </c>
      <c r="CB163" s="20">
        <f t="shared" si="171"/>
        <v>549.35960435614891</v>
      </c>
      <c r="CC163" s="59">
        <f t="shared" si="119"/>
        <v>842.69293768948228</v>
      </c>
      <c r="CD163" s="59">
        <f ca="1">AVERAGE(OFFSET($CC$3,0,0,'Données projet'!$E$12+1,1))-AVERAGE(OFFSET($H$3,0,0,'Données projet'!$E$12+1,1))</f>
        <v>322.93502595881938</v>
      </c>
      <c r="CE163" s="59">
        <f t="shared" si="148"/>
        <v>302.67072119588164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9.9366696468062745</v>
      </c>
      <c r="CL163" s="21">
        <f>EXP(-LN(2)/25)*CL162+(1-EXP(-LN(2)/25))/(LN(2)/25)*Calculateur!CG163*Calculateur!CI163*VLOOKUP('Données projet'!$B$12,Paramètres!$A$1:$I$89,3,0)*0.475*44/12</f>
        <v>3.3753980914914781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13.312067738297753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278.21846622758881</v>
      </c>
      <c r="T164" s="59">
        <f t="shared" si="142"/>
        <v>245.37578316242906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33.125674087842398</v>
      </c>
      <c r="AA164" s="21">
        <f>EXP(-LN(2)/25)*AA163+(1-EXP(-LN(2)/25))/(LN(2)/25)*Calculateur!V164*Calculateur!X164*VLOOKUP('Données projet'!$B$9,Paramètres!$A$1:$I$89,3,0)*0.475*44/12</f>
        <v>4.0170979810721175</v>
      </c>
      <c r="AB164" s="21">
        <f>EXP(-LN(2)/2)*AB163+(1-EXP(-LN(2)/2))/(LN(2)/2)*V164*Y164*VLOOKUP('Données projet'!$B$9,Paramètres!$A$1:$I$89,3,0)*0.475*44/12</f>
        <v>7.5067217902903984E-12</v>
      </c>
      <c r="AC164" s="22">
        <f t="shared" si="163"/>
        <v>37.142772068922021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-1.3596945791505279E-13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261.13725557061468</v>
      </c>
      <c r="AO164" s="59">
        <f t="shared" si="144"/>
        <v>328.18986868293558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20.35599097839021</v>
      </c>
      <c r="AV164" s="21">
        <f>EXP(-LN(2)/25)*AV163+(1-EXP(-LN(2)/25))/(LN(2)/25)*Calculateur!AQ164*Calculateur!AS164*VLOOKUP('Données projet'!$B$10,Paramètres!$A$1:$I$89,3,0)*0.475*44/12</f>
        <v>2.4049273576060366</v>
      </c>
      <c r="AW164" s="21">
        <f>EXP(-LN(2)/2)*AW163+(1-EXP(-LN(2)/2))/(LN(2)/2)*AQ164*AT164*VLOOKUP('Données projet'!$B$10,Paramètres!$A$1:$I$89,3,0)*0.475*44/12</f>
        <v>6.3441738300084463E-15</v>
      </c>
      <c r="AX164" s="21">
        <f t="shared" si="166"/>
        <v>22.760918335996255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91.365384615384613</v>
      </c>
      <c r="BB164" s="12">
        <f>VLOOKUP(A164,'Données projet'!$A$87:$I$107,9,0)</f>
        <v>1.1618589743589709</v>
      </c>
      <c r="BC164" s="12">
        <f t="array" ref="BC164">INDEX(BB:BB,MIN(IF(ISNUMBER(BB164:BB360),ROW(BB164:BB360),"")))</f>
        <v>1.1618589743589709</v>
      </c>
      <c r="BD164" s="12">
        <f>IF('Données projet'!$A$88&gt;35,BD163+BC164-BL163,IF(A164&lt;'Données projet'!$A$88,$BA$205^A164,IF(A164='Données projet'!$A$88,'Données projet'!$B$88,BD163+BC164-BL163)))</f>
        <v>91.365384615384158</v>
      </c>
      <c r="BE164" s="13">
        <f>BD164*VLOOKUP('Données projet'!$B$11,Paramètres!$A$1:$I$89,3,0)*VLOOKUP('Données projet'!$B$11,Paramètres!$A$1:$I$89,5,0)</f>
        <v>92.644499999999539</v>
      </c>
      <c r="BF164" s="13">
        <f t="shared" si="167"/>
        <v>25.201935767997217</v>
      </c>
      <c r="BG164" s="20">
        <f t="shared" si="168"/>
        <v>205.24920896259434</v>
      </c>
      <c r="BH164" s="59">
        <f t="shared" si="116"/>
        <v>498.58254229592762</v>
      </c>
      <c r="BI164" s="59">
        <f ca="1">AVERAGE(OFFSET($BH$3,0,0,'Données projet'!$E$11+1,1))-AVERAGE(OFFSET($H$3,0,0,'Données projet'!$E$11+1,1))</f>
        <v>250.31277422753283</v>
      </c>
      <c r="BJ164" s="59">
        <f t="shared" si="146"/>
        <v>159.20429420478047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91.365384615384613</v>
      </c>
      <c r="BM164" s="16">
        <f>IF(ISNA(VLOOKUP(A164,'Données projet'!$A$87:$I$107,5,0)),0%,VLOOKUP(A164,'Données projet'!$A$87:$I$107,5,0)*VLOOKUP('Données projet'!$B$11,Paramètres!$A$1:$I$89,7,0))</f>
        <v>0.38700000000000001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159.29466668293924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159.29466668293924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243</v>
      </c>
      <c r="BZ164" s="13">
        <f>BY164*VLOOKUP('Données projet'!$B$12,Paramètres!$A$1:$I$89,3,0)*VLOOKUP('Données projet'!$B$12,Paramètres!$A$1:$I$89,5,0)</f>
        <v>253.98360000000002</v>
      </c>
      <c r="CA164" s="13">
        <f t="shared" si="170"/>
        <v>61.438182405444294</v>
      </c>
      <c r="CB164" s="20">
        <f t="shared" si="171"/>
        <v>549.35960435614891</v>
      </c>
      <c r="CC164" s="59">
        <f t="shared" si="119"/>
        <v>842.69293768948228</v>
      </c>
      <c r="CD164" s="59">
        <f ca="1">AVERAGE(OFFSET($CC$3,0,0,'Données projet'!$E$12+1,1))-AVERAGE(OFFSET($H$3,0,0,'Données projet'!$E$12+1,1))</f>
        <v>322.93502595881938</v>
      </c>
      <c r="CE164" s="59">
        <f t="shared" si="148"/>
        <v>302.67072119588164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9.7418176158024359</v>
      </c>
      <c r="CL164" s="21">
        <f>EXP(-LN(2)/25)*CL163+(1-EXP(-LN(2)/25))/(LN(2)/25)*Calculateur!CG164*Calculateur!CI164*VLOOKUP('Données projet'!$B$12,Paramètres!$A$1:$I$89,3,0)*0.475*44/12</f>
        <v>3.2830976531751723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13.024915268977608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278.21846622758881</v>
      </c>
      <c r="T165" s="59">
        <f t="shared" si="142"/>
        <v>245.37578316242906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32.47609982364596</v>
      </c>
      <c r="AA165" s="21">
        <f>EXP(-LN(2)/25)*AA164+(1-EXP(-LN(2)/25))/(LN(2)/25)*Calculateur!V165*Calculateur!X165*VLOOKUP('Données projet'!$B$9,Paramètres!$A$1:$I$89,3,0)*0.475*44/12</f>
        <v>3.9072502255296988</v>
      </c>
      <c r="AB165" s="21">
        <f>EXP(-LN(2)/2)*AB164+(1-EXP(-LN(2)/2))/(LN(2)/2)*V165*Y165*VLOOKUP('Données projet'!$B$9,Paramètres!$A$1:$I$89,3,0)*0.475*44/12</f>
        <v>5.3080538823951611E-12</v>
      </c>
      <c r="AC165" s="22">
        <f t="shared" si="163"/>
        <v>36.383350049180969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-1.3596945791505279E-13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261.13725557061468</v>
      </c>
      <c r="AO165" s="59">
        <f t="shared" si="144"/>
        <v>328.18986868293558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19.956822411232505</v>
      </c>
      <c r="AV165" s="21">
        <f>EXP(-LN(2)/25)*AV164+(1-EXP(-LN(2)/25))/(LN(2)/25)*Calculateur!AQ165*Calculateur!AS165*VLOOKUP('Données projet'!$B$10,Paramètres!$A$1:$I$89,3,0)*0.475*44/12</f>
        <v>2.3391644925426665</v>
      </c>
      <c r="AW165" s="21">
        <f>EXP(-LN(2)/2)*AW164+(1-EXP(-LN(2)/2))/(LN(2)/2)*AQ165*AT165*VLOOKUP('Données projet'!$B$10,Paramètres!$A$1:$I$89,3,0)*0.475*44/12</f>
        <v>4.4860083362252035E-15</v>
      </c>
      <c r="AX165" s="21">
        <f t="shared" si="166"/>
        <v>22.295986903775177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-4.5474735088646412E-13</v>
      </c>
      <c r="BE165" s="13">
        <f>BD165*VLOOKUP('Données projet'!$B$11,Paramètres!$A$1:$I$89,3,0)*VLOOKUP('Données projet'!$B$11,Paramètres!$A$1:$I$89,5,0)</f>
        <v>-4.6111381379887462E-13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250.31277422753283</v>
      </c>
      <c r="BJ165" s="59">
        <f t="shared" si="146"/>
        <v>159.20429420478047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156.1709954294397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156.1709954294397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243</v>
      </c>
      <c r="BZ165" s="13">
        <f>BY165*VLOOKUP('Données projet'!$B$12,Paramètres!$A$1:$I$89,3,0)*VLOOKUP('Données projet'!$B$12,Paramètres!$A$1:$I$89,5,0)</f>
        <v>253.98360000000002</v>
      </c>
      <c r="CA165" s="13">
        <f t="shared" si="170"/>
        <v>61.438182405444294</v>
      </c>
      <c r="CB165" s="20">
        <f t="shared" si="171"/>
        <v>549.35960435614891</v>
      </c>
      <c r="CC165" s="59">
        <f t="shared" si="119"/>
        <v>842.69293768948228</v>
      </c>
      <c r="CD165" s="59">
        <f ca="1">AVERAGE(OFFSET($CC$3,0,0,'Données projet'!$E$12+1,1))-AVERAGE(OFFSET($H$3,0,0,'Données projet'!$E$12+1,1))</f>
        <v>322.93502595881938</v>
      </c>
      <c r="CE165" s="59">
        <f t="shared" si="148"/>
        <v>302.67072119588164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9.5507865142785793</v>
      </c>
      <c r="CL165" s="21">
        <f>EXP(-LN(2)/25)*CL164+(1-EXP(-LN(2)/25))/(LN(2)/25)*Calculateur!CG165*Calculateur!CI165*VLOOKUP('Données projet'!$B$12,Paramètres!$A$1:$I$89,3,0)*0.475*44/12</f>
        <v>3.1933211751984953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12.744107689477074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278.21846622758881</v>
      </c>
      <c r="T166" s="59">
        <f t="shared" si="142"/>
        <v>245.37578316242906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31.83926331456923</v>
      </c>
      <c r="AA166" s="21">
        <f>EXP(-LN(2)/25)*AA165+(1-EXP(-LN(2)/25))/(LN(2)/25)*Calculateur!V166*Calculateur!X166*VLOOKUP('Données projet'!$B$9,Paramètres!$A$1:$I$89,3,0)*0.475*44/12</f>
        <v>3.8004062626392301</v>
      </c>
      <c r="AB166" s="21">
        <f>EXP(-LN(2)/2)*AB165+(1-EXP(-LN(2)/2))/(LN(2)/2)*V166*Y166*VLOOKUP('Données projet'!$B$9,Paramètres!$A$1:$I$89,3,0)*0.475*44/12</f>
        <v>3.7533608951451992E-12</v>
      </c>
      <c r="AC166" s="22">
        <f t="shared" si="163"/>
        <v>35.63966957721221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-1.3596945791505279E-13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261.13725557061468</v>
      </c>
      <c r="AO166" s="59">
        <f t="shared" si="144"/>
        <v>328.18986868293558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19.565481296207977</v>
      </c>
      <c r="AV166" s="21">
        <f>EXP(-LN(2)/25)*AV165+(1-EXP(-LN(2)/25))/(LN(2)/25)*Calculateur!AQ166*Calculateur!AS166*VLOOKUP('Données projet'!$B$10,Paramètres!$A$1:$I$89,3,0)*0.475*44/12</f>
        <v>2.275199916482773</v>
      </c>
      <c r="AW166" s="21">
        <f>EXP(-LN(2)/2)*AW165+(1-EXP(-LN(2)/2))/(LN(2)/2)*AQ166*AT166*VLOOKUP('Données projet'!$B$10,Paramètres!$A$1:$I$89,3,0)*0.475*44/12</f>
        <v>3.1720869150042232E-15</v>
      </c>
      <c r="AX166" s="21">
        <f t="shared" si="166"/>
        <v>21.840681212690754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-4.5474735088646412E-13</v>
      </c>
      <c r="BE166" s="13">
        <f>BD166*VLOOKUP('Données projet'!$B$11,Paramètres!$A$1:$I$89,3,0)*VLOOKUP('Données projet'!$B$11,Paramètres!$A$1:$I$89,5,0)</f>
        <v>-4.6111381379887462E-13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250.31277422753283</v>
      </c>
      <c r="BJ166" s="59">
        <f t="shared" si="146"/>
        <v>159.20429420478047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153.10857746396997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153.10857746396997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243</v>
      </c>
      <c r="BZ166" s="13">
        <f>BY166*VLOOKUP('Données projet'!$B$12,Paramètres!$A$1:$I$89,3,0)*VLOOKUP('Données projet'!$B$12,Paramètres!$A$1:$I$89,5,0)</f>
        <v>253.98360000000002</v>
      </c>
      <c r="CA166" s="13">
        <f t="shared" si="170"/>
        <v>61.438182405444294</v>
      </c>
      <c r="CB166" s="20">
        <f t="shared" si="171"/>
        <v>549.35960435614891</v>
      </c>
      <c r="CC166" s="59">
        <f t="shared" si="119"/>
        <v>842.69293768948228</v>
      </c>
      <c r="CD166" s="59">
        <f ca="1">AVERAGE(OFFSET($CC$3,0,0,'Données projet'!$E$12+1,1))-AVERAGE(OFFSET($H$3,0,0,'Données projet'!$E$12+1,1))</f>
        <v>322.93502595881938</v>
      </c>
      <c r="CE166" s="59">
        <f t="shared" si="148"/>
        <v>302.67072119588164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9.3635014161381385</v>
      </c>
      <c r="CL166" s="21">
        <f>EXP(-LN(2)/25)*CL165+(1-EXP(-LN(2)/25))/(LN(2)/25)*Calculateur!CG166*Calculateur!CI166*VLOOKUP('Données projet'!$B$12,Paramètres!$A$1:$I$89,3,0)*0.475*44/12</f>
        <v>3.1059996397332301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12.469501055871369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278.21846622758881</v>
      </c>
      <c r="T167" s="59">
        <f t="shared" si="142"/>
        <v>245.37578316242906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31.214914781003582</v>
      </c>
      <c r="AA167" s="21">
        <f>EXP(-LN(2)/25)*AA166+(1-EXP(-LN(2)/25))/(LN(2)/25)*Calculateur!V167*Calculateur!X167*VLOOKUP('Données projet'!$B$9,Paramètres!$A$1:$I$89,3,0)*0.475*44/12</f>
        <v>3.696483953532681</v>
      </c>
      <c r="AB167" s="21">
        <f>EXP(-LN(2)/2)*AB166+(1-EXP(-LN(2)/2))/(LN(2)/2)*V167*Y167*VLOOKUP('Données projet'!$B$9,Paramètres!$A$1:$I$89,3,0)*0.475*44/12</f>
        <v>2.6540269411975805E-12</v>
      </c>
      <c r="AC167" s="22">
        <f t="shared" si="163"/>
        <v>34.911398734538921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-1.3596945791505279E-13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261.13725557061468</v>
      </c>
      <c r="AO167" s="59">
        <f t="shared" si="144"/>
        <v>328.18986868293558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19.181814141754568</v>
      </c>
      <c r="AV167" s="21">
        <f>EXP(-LN(2)/25)*AV166+(1-EXP(-LN(2)/25))/(LN(2)/25)*Calculateur!AQ167*Calculateur!AS167*VLOOKUP('Données projet'!$B$10,Paramètres!$A$1:$I$89,3,0)*0.475*44/12</f>
        <v>2.2129844551189879</v>
      </c>
      <c r="AW167" s="21">
        <f>EXP(-LN(2)/2)*AW166+(1-EXP(-LN(2)/2))/(LN(2)/2)*AQ167*AT167*VLOOKUP('Données projet'!$B$10,Paramètres!$A$1:$I$89,3,0)*0.475*44/12</f>
        <v>2.2430041681126018E-15</v>
      </c>
      <c r="AX167" s="21">
        <f t="shared" si="166"/>
        <v>21.39479859687356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-4.5474735088646412E-13</v>
      </c>
      <c r="BE167" s="13">
        <f>BD167*VLOOKUP('Données projet'!$B$11,Paramètres!$A$1:$I$89,3,0)*VLOOKUP('Données projet'!$B$11,Paramètres!$A$1:$I$89,5,0)</f>
        <v>-4.6111381379887462E-13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250.31277422753283</v>
      </c>
      <c r="BJ167" s="59">
        <f t="shared" si="146"/>
        <v>159.20429420478047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150.10621164691256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150.10621164691256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243</v>
      </c>
      <c r="BZ167" s="13">
        <f>BY167*VLOOKUP('Données projet'!$B$12,Paramètres!$A$1:$I$89,3,0)*VLOOKUP('Données projet'!$B$12,Paramètres!$A$1:$I$89,5,0)</f>
        <v>253.98360000000002</v>
      </c>
      <c r="CA167" s="13">
        <f t="shared" si="170"/>
        <v>61.438182405444294</v>
      </c>
      <c r="CB167" s="20">
        <f t="shared" si="171"/>
        <v>549.35960435614891</v>
      </c>
      <c r="CC167" s="59">
        <f t="shared" si="119"/>
        <v>842.69293768948228</v>
      </c>
      <c r="CD167" s="59">
        <f ca="1">AVERAGE(OFFSET($CC$3,0,0,'Données projet'!$E$12+1,1))-AVERAGE(OFFSET($H$3,0,0,'Données projet'!$E$12+1,1))</f>
        <v>322.93502595881938</v>
      </c>
      <c r="CE167" s="59">
        <f t="shared" si="148"/>
        <v>302.67072119588164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9.1798888645396026</v>
      </c>
      <c r="CL167" s="21">
        <f>EXP(-LN(2)/25)*CL166+(1-EXP(-LN(2)/25))/(LN(2)/25)*Calculateur!CG167*Calculateur!CI167*VLOOKUP('Données projet'!$B$12,Paramètres!$A$1:$I$89,3,0)*0.475*44/12</f>
        <v>3.0210659162473026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12.200954780786905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278.21846622758881</v>
      </c>
      <c r="T168" s="59">
        <f t="shared" si="142"/>
        <v>245.37578316242906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30.60280934136615</v>
      </c>
      <c r="AA168" s="21">
        <f>EXP(-LN(2)/25)*AA167+(1-EXP(-LN(2)/25))/(LN(2)/25)*Calculateur!V168*Calculateur!X168*VLOOKUP('Données projet'!$B$9,Paramètres!$A$1:$I$89,3,0)*0.475*44/12</f>
        <v>3.5954034054336872</v>
      </c>
      <c r="AB168" s="21">
        <f>EXP(-LN(2)/2)*AB167+(1-EXP(-LN(2)/2))/(LN(2)/2)*V168*Y168*VLOOKUP('Données projet'!$B$9,Paramètres!$A$1:$I$89,3,0)*0.475*44/12</f>
        <v>1.8766804475725996E-12</v>
      </c>
      <c r="AC168" s="22">
        <f t="shared" si="163"/>
        <v>34.198212746801715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-1.3596945791505279E-13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261.13725557061468</v>
      </c>
      <c r="AO168" s="59">
        <f t="shared" si="144"/>
        <v>328.18986868293558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18.805670466186132</v>
      </c>
      <c r="AV168" s="21">
        <f>EXP(-LN(2)/25)*AV167+(1-EXP(-LN(2)/25))/(LN(2)/25)*Calculateur!AQ168*Calculateur!AS168*VLOOKUP('Données projet'!$B$10,Paramètres!$A$1:$I$89,3,0)*0.475*44/12</f>
        <v>2.1524702788179644</v>
      </c>
      <c r="AW168" s="21">
        <f>EXP(-LN(2)/2)*AW167+(1-EXP(-LN(2)/2))/(LN(2)/2)*AQ168*AT168*VLOOKUP('Données projet'!$B$10,Paramètres!$A$1:$I$89,3,0)*0.475*44/12</f>
        <v>1.5860434575021116E-15</v>
      </c>
      <c r="AX168" s="21">
        <f t="shared" si="166"/>
        <v>20.958140745004098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-4.5474735088646412E-13</v>
      </c>
      <c r="BE168" s="13">
        <f>BD168*VLOOKUP('Données projet'!$B$11,Paramètres!$A$1:$I$89,3,0)*VLOOKUP('Données projet'!$B$11,Paramètres!$A$1:$I$89,5,0)</f>
        <v>-4.6111381379887462E-13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250.31277422753283</v>
      </c>
      <c r="BJ168" s="59">
        <f t="shared" si="146"/>
        <v>159.20429420478047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147.16272039226533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147.16272039226533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243</v>
      </c>
      <c r="BZ168" s="13">
        <f>BY168*VLOOKUP('Données projet'!$B$12,Paramètres!$A$1:$I$89,3,0)*VLOOKUP('Données projet'!$B$12,Paramètres!$A$1:$I$89,5,0)</f>
        <v>253.98360000000002</v>
      </c>
      <c r="CA168" s="13">
        <f t="shared" si="170"/>
        <v>61.438182405444294</v>
      </c>
      <c r="CB168" s="20">
        <f t="shared" si="171"/>
        <v>549.35960435614891</v>
      </c>
      <c r="CC168" s="59">
        <f t="shared" si="119"/>
        <v>842.69293768948228</v>
      </c>
      <c r="CD168" s="59">
        <f ca="1">AVERAGE(OFFSET($CC$3,0,0,'Données projet'!$E$12+1,1))-AVERAGE(OFFSET($H$3,0,0,'Données projet'!$E$12+1,1))</f>
        <v>322.93502595881938</v>
      </c>
      <c r="CE168" s="59">
        <f t="shared" si="148"/>
        <v>302.67072119588164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8.9998768430853158</v>
      </c>
      <c r="CL168" s="21">
        <f>EXP(-LN(2)/25)*CL167+(1-EXP(-LN(2)/25))/(LN(2)/25)*Calculateur!CG168*Calculateur!CI168*VLOOKUP('Données projet'!$B$12,Paramètres!$A$1:$I$89,3,0)*0.475*44/12</f>
        <v>2.9384547098965683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11.938331552981884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278.21846622758881</v>
      </c>
      <c r="T169" s="59">
        <f t="shared" si="142"/>
        <v>245.37578316242906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30.002706916052556</v>
      </c>
      <c r="AA169" s="21">
        <f>EXP(-LN(2)/25)*AA168+(1-EXP(-LN(2)/25))/(LN(2)/25)*Calculateur!V169*Calculateur!X169*VLOOKUP('Données projet'!$B$9,Paramètres!$A$1:$I$89,3,0)*0.475*44/12</f>
        <v>3.4970869102380555</v>
      </c>
      <c r="AB169" s="21">
        <f>EXP(-LN(2)/2)*AB168+(1-EXP(-LN(2)/2))/(LN(2)/2)*V169*Y169*VLOOKUP('Données projet'!$B$9,Paramètres!$A$1:$I$89,3,0)*0.475*44/12</f>
        <v>1.3270134705987903E-12</v>
      </c>
      <c r="AC169" s="22">
        <f t="shared" si="163"/>
        <v>33.499793826291942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-1.3596945791505279E-13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261.13725557061468</v>
      </c>
      <c r="AO169" s="59">
        <f t="shared" si="144"/>
        <v>328.18986868293558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18.436902738670607</v>
      </c>
      <c r="AV169" s="21">
        <f>EXP(-LN(2)/25)*AV168+(1-EXP(-LN(2)/25))/(LN(2)/25)*Calculateur!AQ169*Calculateur!AS169*VLOOKUP('Données projet'!$B$10,Paramètres!$A$1:$I$89,3,0)*0.475*44/12</f>
        <v>2.0936108658501946</v>
      </c>
      <c r="AW169" s="21">
        <f>EXP(-LN(2)/2)*AW168+(1-EXP(-LN(2)/2))/(LN(2)/2)*AQ169*AT169*VLOOKUP('Données projet'!$B$10,Paramètres!$A$1:$I$89,3,0)*0.475*44/12</f>
        <v>1.1215020840563009E-15</v>
      </c>
      <c r="AX169" s="21">
        <f t="shared" si="166"/>
        <v>20.530513604520802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-4.5474735088646412E-13</v>
      </c>
      <c r="BE169" s="13">
        <f>BD169*VLOOKUP('Données projet'!$B$11,Paramètres!$A$1:$I$89,3,0)*VLOOKUP('Données projet'!$B$11,Paramètres!$A$1:$I$89,5,0)</f>
        <v>-4.6111381379887462E-13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250.31277422753283</v>
      </c>
      <c r="BJ169" s="59">
        <f t="shared" si="146"/>
        <v>159.20429420478047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144.27694920576934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144.27694920576934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243</v>
      </c>
      <c r="BZ169" s="13">
        <f>BY169*VLOOKUP('Données projet'!$B$12,Paramètres!$A$1:$I$89,3,0)*VLOOKUP('Données projet'!$B$12,Paramètres!$A$1:$I$89,5,0)</f>
        <v>253.98360000000002</v>
      </c>
      <c r="CA169" s="13">
        <f t="shared" si="170"/>
        <v>61.438182405444294</v>
      </c>
      <c r="CB169" s="20">
        <f t="shared" si="171"/>
        <v>549.35960435614891</v>
      </c>
      <c r="CC169" s="59">
        <f t="shared" si="119"/>
        <v>842.69293768948228</v>
      </c>
      <c r="CD169" s="59">
        <f ca="1">AVERAGE(OFFSET($CC$3,0,0,'Données projet'!$E$12+1,1))-AVERAGE(OFFSET($H$3,0,0,'Données projet'!$E$12+1,1))</f>
        <v>322.93502595881938</v>
      </c>
      <c r="CE169" s="59">
        <f t="shared" si="148"/>
        <v>302.67072119588164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8.8233947475752554</v>
      </c>
      <c r="CL169" s="21">
        <f>EXP(-LN(2)/25)*CL168+(1-EXP(-LN(2)/25))/(LN(2)/25)*Calculateur!CG169*Calculateur!CI169*VLOOKUP('Données projet'!$B$12,Paramètres!$A$1:$I$89,3,0)*0.475*44/12</f>
        <v>2.8581025113278296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11.681497258903086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278.21846622758881</v>
      </c>
      <c r="T170" s="59">
        <f t="shared" si="142"/>
        <v>245.37578316242906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29.414372133273027</v>
      </c>
      <c r="AA170" s="21">
        <f>EXP(-LN(2)/25)*AA169+(1-EXP(-LN(2)/25))/(LN(2)/25)*Calculateur!V170*Calculateur!X170*VLOOKUP('Données projet'!$B$9,Paramètres!$A$1:$I$89,3,0)*0.475*44/12</f>
        <v>3.4014588847737879</v>
      </c>
      <c r="AB170" s="21">
        <f>EXP(-LN(2)/2)*AB169+(1-EXP(-LN(2)/2))/(LN(2)/2)*V170*Y170*VLOOKUP('Données projet'!$B$9,Paramètres!$A$1:$I$89,3,0)*0.475*44/12</f>
        <v>9.3834022378629981E-13</v>
      </c>
      <c r="AC170" s="22">
        <f t="shared" si="163"/>
        <v>32.815831018047753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-1.3596945791505279E-13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261.13725557061468</v>
      </c>
      <c r="AO170" s="59">
        <f t="shared" si="144"/>
        <v>328.18986868293558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18.075366321365557</v>
      </c>
      <c r="AV170" s="21">
        <f>EXP(-LN(2)/25)*AV169+(1-EXP(-LN(2)/25))/(LN(2)/25)*Calculateur!AQ170*Calculateur!AS170*VLOOKUP('Données projet'!$B$10,Paramètres!$A$1:$I$89,3,0)*0.475*44/12</f>
        <v>2.0363609666253106</v>
      </c>
      <c r="AW170" s="21">
        <f>EXP(-LN(2)/2)*AW169+(1-EXP(-LN(2)/2))/(LN(2)/2)*AQ170*AT170*VLOOKUP('Données projet'!$B$10,Paramètres!$A$1:$I$89,3,0)*0.475*44/12</f>
        <v>7.9302172875105579E-16</v>
      </c>
      <c r="AX170" s="21">
        <f t="shared" si="166"/>
        <v>20.111727287990867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-4.5474735088646412E-13</v>
      </c>
      <c r="BE170" s="13">
        <f>BD170*VLOOKUP('Données projet'!$B$11,Paramètres!$A$1:$I$89,3,0)*VLOOKUP('Données projet'!$B$11,Paramètres!$A$1:$I$89,5,0)</f>
        <v>-4.6111381379887462E-13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250.31277422753283</v>
      </c>
      <c r="BJ170" s="59">
        <f t="shared" si="146"/>
        <v>159.20429420478047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141.44776623209393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141.44776623209393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243</v>
      </c>
      <c r="BZ170" s="13">
        <f>BY170*VLOOKUP('Données projet'!$B$12,Paramètres!$A$1:$I$89,3,0)*VLOOKUP('Données projet'!$B$12,Paramètres!$A$1:$I$89,5,0)</f>
        <v>253.98360000000002</v>
      </c>
      <c r="CA170" s="13">
        <f t="shared" si="170"/>
        <v>61.438182405444294</v>
      </c>
      <c r="CB170" s="20">
        <f t="shared" si="171"/>
        <v>549.35960435614891</v>
      </c>
      <c r="CC170" s="59">
        <f t="shared" si="119"/>
        <v>842.69293768948228</v>
      </c>
      <c r="CD170" s="59">
        <f ca="1">AVERAGE(OFFSET($CC$3,0,0,'Données projet'!$E$12+1,1))-AVERAGE(OFFSET($H$3,0,0,'Données projet'!$E$12+1,1))</f>
        <v>322.93502595881938</v>
      </c>
      <c r="CE170" s="59">
        <f t="shared" si="148"/>
        <v>302.67072119588164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8.6503733583146989</v>
      </c>
      <c r="CL170" s="21">
        <f>EXP(-LN(2)/25)*CL169+(1-EXP(-LN(2)/25))/(LN(2)/25)*Calculateur!CG170*Calculateur!CI170*VLOOKUP('Données projet'!$B$12,Paramètres!$A$1:$I$89,3,0)*0.475*44/12</f>
        <v>2.7799475478544911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11.430320906169189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278.21846622758881</v>
      </c>
      <c r="T171" s="59">
        <f t="shared" si="142"/>
        <v>245.37578316242906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28.837574236735019</v>
      </c>
      <c r="AA171" s="21">
        <f>EXP(-LN(2)/25)*AA170+(1-EXP(-LN(2)/25))/(LN(2)/25)*Calculateur!V171*Calculateur!X171*VLOOKUP('Données projet'!$B$9,Paramètres!$A$1:$I$89,3,0)*0.475*44/12</f>
        <v>3.3084458126946998</v>
      </c>
      <c r="AB171" s="21">
        <f>EXP(-LN(2)/2)*AB170+(1-EXP(-LN(2)/2))/(LN(2)/2)*V171*Y171*VLOOKUP('Données projet'!$B$9,Paramètres!$A$1:$I$89,3,0)*0.475*44/12</f>
        <v>6.6350673529939514E-13</v>
      </c>
      <c r="AC171" s="22">
        <f t="shared" si="163"/>
        <v>32.146020049430383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-1.3596945791505279E-13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261.13725557061468</v>
      </c>
      <c r="AO171" s="59">
        <f t="shared" si="144"/>
        <v>328.18986868293558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17.720919412688417</v>
      </c>
      <c r="AV171" s="21">
        <f>EXP(-LN(2)/25)*AV170+(1-EXP(-LN(2)/25))/(LN(2)/25)*Calculateur!AQ171*Calculateur!AS171*VLOOKUP('Données projet'!$B$10,Paramètres!$A$1:$I$89,3,0)*0.475*44/12</f>
        <v>1.9806765689053725</v>
      </c>
      <c r="AW171" s="21">
        <f>EXP(-LN(2)/2)*AW170+(1-EXP(-LN(2)/2))/(LN(2)/2)*AQ171*AT171*VLOOKUP('Données projet'!$B$10,Paramètres!$A$1:$I$89,3,0)*0.475*44/12</f>
        <v>5.6075104202815044E-16</v>
      </c>
      <c r="AX171" s="21">
        <f t="shared" si="166"/>
        <v>19.70159598159379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-4.5474735088646412E-13</v>
      </c>
      <c r="BE171" s="13">
        <f>BD171*VLOOKUP('Données projet'!$B$11,Paramètres!$A$1:$I$89,3,0)*VLOOKUP('Données projet'!$B$11,Paramètres!$A$1:$I$89,5,0)</f>
        <v>-4.6111381379887462E-13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250.31277422753283</v>
      </c>
      <c r="BJ171" s="59">
        <f t="shared" si="146"/>
        <v>159.20429420478047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138.67406181090107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138.67406181090107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243</v>
      </c>
      <c r="BZ171" s="13">
        <f>BY171*VLOOKUP('Données projet'!$B$12,Paramètres!$A$1:$I$89,3,0)*VLOOKUP('Données projet'!$B$12,Paramètres!$A$1:$I$89,5,0)</f>
        <v>253.98360000000002</v>
      </c>
      <c r="CA171" s="13">
        <f t="shared" si="170"/>
        <v>61.438182405444294</v>
      </c>
      <c r="CB171" s="20">
        <f t="shared" si="171"/>
        <v>549.35960435614891</v>
      </c>
      <c r="CC171" s="59">
        <f t="shared" si="119"/>
        <v>842.69293768948228</v>
      </c>
      <c r="CD171" s="59">
        <f ca="1">AVERAGE(OFFSET($CC$3,0,0,'Données projet'!$E$12+1,1))-AVERAGE(OFFSET($H$3,0,0,'Données projet'!$E$12+1,1))</f>
        <v>322.93502595881938</v>
      </c>
      <c r="CE171" s="59">
        <f t="shared" si="148"/>
        <v>302.67072119588164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8.4807448129649146</v>
      </c>
      <c r="CL171" s="21">
        <f>EXP(-LN(2)/25)*CL170+(1-EXP(-LN(2)/25))/(LN(2)/25)*Calculateur!CG171*Calculateur!CI171*VLOOKUP('Données projet'!$B$12,Paramètres!$A$1:$I$89,3,0)*0.475*44/12</f>
        <v>2.7039297359673222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11.184674548932236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278.21846622758881</v>
      </c>
      <c r="T172" s="59">
        <f t="shared" si="142"/>
        <v>245.37578316242906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28.272086995136142</v>
      </c>
      <c r="AA172" s="21">
        <f>EXP(-LN(2)/25)*AA171+(1-EXP(-LN(2)/25))/(LN(2)/25)*Calculateur!V172*Calculateur!X172*VLOOKUP('Données projet'!$B$9,Paramètres!$A$1:$I$89,3,0)*0.475*44/12</f>
        <v>3.2179761879629596</v>
      </c>
      <c r="AB172" s="21">
        <f>EXP(-LN(2)/2)*AB171+(1-EXP(-LN(2)/2))/(LN(2)/2)*V172*Y172*VLOOKUP('Données projet'!$B$9,Paramètres!$A$1:$I$89,3,0)*0.475*44/12</f>
        <v>4.691701118931499E-13</v>
      </c>
      <c r="AC172" s="22">
        <f t="shared" si="163"/>
        <v>31.490063183099572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-1.3596945791505279E-13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261.13725557061468</v>
      </c>
      <c r="AO172" s="59">
        <f t="shared" si="144"/>
        <v>328.18986868293558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17.373422991699169</v>
      </c>
      <c r="AV172" s="21">
        <f>EXP(-LN(2)/25)*AV171+(1-EXP(-LN(2)/25))/(LN(2)/25)*Calculateur!AQ172*Calculateur!AS172*VLOOKUP('Données projet'!$B$10,Paramètres!$A$1:$I$89,3,0)*0.475*44/12</f>
        <v>1.9265148639694012</v>
      </c>
      <c r="AW172" s="21">
        <f>EXP(-LN(2)/2)*AW171+(1-EXP(-LN(2)/2))/(LN(2)/2)*AQ172*AT172*VLOOKUP('Données projet'!$B$10,Paramètres!$A$1:$I$89,3,0)*0.475*44/12</f>
        <v>3.965108643755279E-16</v>
      </c>
      <c r="AX172" s="21">
        <f t="shared" si="166"/>
        <v>19.299937855668571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-4.5474735088646412E-13</v>
      </c>
      <c r="BE172" s="13">
        <f>BD172*VLOOKUP('Données projet'!$B$11,Paramètres!$A$1:$I$89,3,0)*VLOOKUP('Données projet'!$B$11,Paramètres!$A$1:$I$89,5,0)</f>
        <v>-4.6111381379887462E-13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250.31277422753283</v>
      </c>
      <c r="BJ172" s="59">
        <f t="shared" si="146"/>
        <v>159.20429420478047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135.95474804161515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135.95474804161515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243</v>
      </c>
      <c r="BZ172" s="13">
        <f>BY172*VLOOKUP('Données projet'!$B$12,Paramètres!$A$1:$I$89,3,0)*VLOOKUP('Données projet'!$B$12,Paramètres!$A$1:$I$89,5,0)</f>
        <v>253.98360000000002</v>
      </c>
      <c r="CA172" s="13">
        <f t="shared" si="170"/>
        <v>61.438182405444294</v>
      </c>
      <c r="CB172" s="20">
        <f t="shared" si="171"/>
        <v>549.35960435614891</v>
      </c>
      <c r="CC172" s="59">
        <f t="shared" si="119"/>
        <v>842.69293768948228</v>
      </c>
      <c r="CD172" s="59">
        <f ca="1">AVERAGE(OFFSET($CC$3,0,0,'Données projet'!$E$12+1,1))-AVERAGE(OFFSET($H$3,0,0,'Données projet'!$E$12+1,1))</f>
        <v>322.93502595881938</v>
      </c>
      <c r="CE172" s="59">
        <f t="shared" si="148"/>
        <v>302.67072119588164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8.3144425799262418</v>
      </c>
      <c r="CL172" s="21">
        <f>EXP(-LN(2)/25)*CL171+(1-EXP(-LN(2)/25))/(LN(2)/25)*Calculateur!CG172*Calculateur!CI172*VLOOKUP('Données projet'!$B$12,Paramètres!$A$1:$I$89,3,0)*0.475*44/12</f>
        <v>2.6299906351438107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10.944433215070053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278.21846622758881</v>
      </c>
      <c r="T173" s="59">
        <f t="shared" si="142"/>
        <v>245.37578316242906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27.717688613431861</v>
      </c>
      <c r="AA173" s="21">
        <f>EXP(-LN(2)/25)*AA172+(1-EXP(-LN(2)/25))/(LN(2)/25)*Calculateur!V173*Calculateur!X173*VLOOKUP('Données projet'!$B$9,Paramètres!$A$1:$I$89,3,0)*0.475*44/12</f>
        <v>3.1299804598770997</v>
      </c>
      <c r="AB173" s="21">
        <f>EXP(-LN(2)/2)*AB172+(1-EXP(-LN(2)/2))/(LN(2)/2)*V173*Y173*VLOOKUP('Données projet'!$B$9,Paramètres!$A$1:$I$89,3,0)*0.475*44/12</f>
        <v>3.3175336764969757E-13</v>
      </c>
      <c r="AC173" s="22">
        <f t="shared" si="163"/>
        <v>30.847669073309291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-1.3596945791505279E-13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261.13725557061468</v>
      </c>
      <c r="AO173" s="59">
        <f t="shared" si="144"/>
        <v>328.18986868293558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17.032740763573631</v>
      </c>
      <c r="AV173" s="21">
        <f>EXP(-LN(2)/25)*AV172+(1-EXP(-LN(2)/25))/(LN(2)/25)*Calculateur!AQ173*Calculateur!AS173*VLOOKUP('Données projet'!$B$10,Paramètres!$A$1:$I$89,3,0)*0.475*44/12</f>
        <v>1.8738342137031443</v>
      </c>
      <c r="AW173" s="21">
        <f>EXP(-LN(2)/2)*AW172+(1-EXP(-LN(2)/2))/(LN(2)/2)*AQ173*AT173*VLOOKUP('Données projet'!$B$10,Paramètres!$A$1:$I$89,3,0)*0.475*44/12</f>
        <v>2.8037552101407522E-16</v>
      </c>
      <c r="AX173" s="21">
        <f t="shared" si="166"/>
        <v>18.906574977276776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-4.5474735088646412E-13</v>
      </c>
      <c r="BE173" s="13">
        <f>BD173*VLOOKUP('Données projet'!$B$11,Paramètres!$A$1:$I$89,3,0)*VLOOKUP('Données projet'!$B$11,Paramètres!$A$1:$I$89,5,0)</f>
        <v>-4.6111381379887462E-13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250.31277422753283</v>
      </c>
      <c r="BJ173" s="59">
        <f t="shared" si="146"/>
        <v>159.20429420478047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133.2887583567273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133.2887583567273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243</v>
      </c>
      <c r="BZ173" s="13">
        <f>BY173*VLOOKUP('Données projet'!$B$12,Paramètres!$A$1:$I$89,3,0)*VLOOKUP('Données projet'!$B$12,Paramètres!$A$1:$I$89,5,0)</f>
        <v>253.98360000000002</v>
      </c>
      <c r="CA173" s="13">
        <f t="shared" si="170"/>
        <v>61.438182405444294</v>
      </c>
      <c r="CB173" s="20">
        <f t="shared" si="171"/>
        <v>549.35960435614891</v>
      </c>
      <c r="CC173" s="59">
        <f t="shared" si="119"/>
        <v>842.69293768948228</v>
      </c>
      <c r="CD173" s="59">
        <f ca="1">AVERAGE(OFFSET($CC$3,0,0,'Données projet'!$E$12+1,1))-AVERAGE(OFFSET($H$3,0,0,'Données projet'!$E$12+1,1))</f>
        <v>322.93502595881938</v>
      </c>
      <c r="CE173" s="59">
        <f t="shared" si="148"/>
        <v>302.67072119588164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8.1514014322431123</v>
      </c>
      <c r="CL173" s="21">
        <f>EXP(-LN(2)/25)*CL172+(1-EXP(-LN(2)/25))/(LN(2)/25)*Calculateur!CG173*Calculateur!CI173*VLOOKUP('Données projet'!$B$12,Paramètres!$A$1:$I$89,3,0)*0.475*44/12</f>
        <v>2.5580734029206065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10.709474835163718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278.21846622758881</v>
      </c>
      <c r="T174" s="59">
        <f t="shared" si="142"/>
        <v>245.37578316242906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27.174161645843174</v>
      </c>
      <c r="AA174" s="21">
        <f>EXP(-LN(2)/25)*AA173+(1-EXP(-LN(2)/25))/(LN(2)/25)*Calculateur!V174*Calculateur!X174*VLOOKUP('Données projet'!$B$9,Paramètres!$A$1:$I$89,3,0)*0.475*44/12</f>
        <v>3.0443909796032416</v>
      </c>
      <c r="AB174" s="21">
        <f>EXP(-LN(2)/2)*AB173+(1-EXP(-LN(2)/2))/(LN(2)/2)*V174*Y174*VLOOKUP('Données projet'!$B$9,Paramètres!$A$1:$I$89,3,0)*0.475*44/12</f>
        <v>2.3458505594657495E-13</v>
      </c>
      <c r="AC174" s="22">
        <f t="shared" si="163"/>
        <v>30.218552625446652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-1.3596945791505279E-13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261.13725557061468</v>
      </c>
      <c r="AO174" s="59">
        <f t="shared" si="144"/>
        <v>328.18986868293558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16.698739106145997</v>
      </c>
      <c r="AV174" s="21">
        <f>EXP(-LN(2)/25)*AV173+(1-EXP(-LN(2)/25))/(LN(2)/25)*Calculateur!AQ174*Calculateur!AS174*VLOOKUP('Données projet'!$B$10,Paramètres!$A$1:$I$89,3,0)*0.475*44/12</f>
        <v>1.8225941185887733</v>
      </c>
      <c r="AW174" s="21">
        <f>EXP(-LN(2)/2)*AW173+(1-EXP(-LN(2)/2))/(LN(2)/2)*AQ174*AT174*VLOOKUP('Données projet'!$B$10,Paramètres!$A$1:$I$89,3,0)*0.475*44/12</f>
        <v>1.9825543218776395E-16</v>
      </c>
      <c r="AX174" s="21">
        <f t="shared" si="166"/>
        <v>18.521333224734772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-4.5474735088646412E-13</v>
      </c>
      <c r="BE174" s="13">
        <f>BD174*VLOOKUP('Données projet'!$B$11,Paramètres!$A$1:$I$89,3,0)*VLOOKUP('Données projet'!$B$11,Paramètres!$A$1:$I$89,5,0)</f>
        <v>-4.6111381379887462E-13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250.31277422753283</v>
      </c>
      <c r="BJ174" s="59">
        <f t="shared" si="146"/>
        <v>159.20429420478047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130.67504710346697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130.67504710346697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243</v>
      </c>
      <c r="BZ174" s="13">
        <f>BY174*VLOOKUP('Données projet'!$B$12,Paramètres!$A$1:$I$89,3,0)*VLOOKUP('Données projet'!$B$12,Paramètres!$A$1:$I$89,5,0)</f>
        <v>253.98360000000002</v>
      </c>
      <c r="CA174" s="13">
        <f t="shared" si="170"/>
        <v>61.438182405444294</v>
      </c>
      <c r="CB174" s="20">
        <f t="shared" si="171"/>
        <v>549.35960435614891</v>
      </c>
      <c r="CC174" s="59">
        <f t="shared" si="119"/>
        <v>842.69293768948228</v>
      </c>
      <c r="CD174" s="59">
        <f ca="1">AVERAGE(OFFSET($CC$3,0,0,'Données projet'!$E$12+1,1))-AVERAGE(OFFSET($H$3,0,0,'Données projet'!$E$12+1,1))</f>
        <v>322.93502595881938</v>
      </c>
      <c r="CE174" s="59">
        <f t="shared" si="148"/>
        <v>302.67072119588164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7.9915574220207679</v>
      </c>
      <c r="CL174" s="21">
        <f>EXP(-LN(2)/25)*CL173+(1-EXP(-LN(2)/25))/(LN(2)/25)*Calculateur!CG174*Calculateur!CI174*VLOOKUP('Données projet'!$B$12,Paramètres!$A$1:$I$89,3,0)*0.475*44/12</f>
        <v>2.488122751194509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10.479680173215277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278.21846622758881</v>
      </c>
      <c r="T175" s="59">
        <f t="shared" si="142"/>
        <v>245.37578316242906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26.641292910570186</v>
      </c>
      <c r="AA175" s="21">
        <f>EXP(-LN(2)/25)*AA174+(1-EXP(-LN(2)/25))/(LN(2)/25)*Calculateur!V175*Calculateur!X175*VLOOKUP('Données projet'!$B$9,Paramètres!$A$1:$I$89,3,0)*0.475*44/12</f>
        <v>2.9611419481684274</v>
      </c>
      <c r="AB175" s="21">
        <f>EXP(-LN(2)/2)*AB174+(1-EXP(-LN(2)/2))/(LN(2)/2)*V175*Y175*VLOOKUP('Données projet'!$B$9,Paramètres!$A$1:$I$89,3,0)*0.475*44/12</f>
        <v>1.6587668382484878E-13</v>
      </c>
      <c r="AC175" s="22">
        <f t="shared" si="163"/>
        <v>29.602434858738782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-1.3596945791505279E-13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261.13725557061468</v>
      </c>
      <c r="AO175" s="59">
        <f t="shared" si="144"/>
        <v>328.18986868293558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16.371287017499622</v>
      </c>
      <c r="AV175" s="21">
        <f>EXP(-LN(2)/25)*AV174+(1-EXP(-LN(2)/25))/(LN(2)/25)*Calculateur!AQ175*Calculateur!AS175*VLOOKUP('Données projet'!$B$10,Paramètres!$A$1:$I$89,3,0)*0.475*44/12</f>
        <v>1.7727551865699043</v>
      </c>
      <c r="AW175" s="21">
        <f>EXP(-LN(2)/2)*AW174+(1-EXP(-LN(2)/2))/(LN(2)/2)*AQ175*AT175*VLOOKUP('Données projet'!$B$10,Paramètres!$A$1:$I$89,3,0)*0.475*44/12</f>
        <v>1.4018776050703761E-16</v>
      </c>
      <c r="AX175" s="21">
        <f t="shared" si="166"/>
        <v>18.144042204069525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-4.5474735088646412E-13</v>
      </c>
      <c r="BE175" s="13">
        <f>BD175*VLOOKUP('Données projet'!$B$11,Paramètres!$A$1:$I$89,3,0)*VLOOKUP('Données projet'!$B$11,Paramètres!$A$1:$I$89,5,0)</f>
        <v>-4.6111381379887462E-13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250.31277422753283</v>
      </c>
      <c r="BJ175" s="59">
        <f t="shared" si="146"/>
        <v>159.20429420478047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128.11258913367661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128.11258913367661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243</v>
      </c>
      <c r="BZ175" s="13">
        <f>BY175*VLOOKUP('Données projet'!$B$12,Paramètres!$A$1:$I$89,3,0)*VLOOKUP('Données projet'!$B$12,Paramètres!$A$1:$I$89,5,0)</f>
        <v>253.98360000000002</v>
      </c>
      <c r="CA175" s="13">
        <f t="shared" si="170"/>
        <v>61.438182405444294</v>
      </c>
      <c r="CB175" s="20">
        <f t="shared" si="171"/>
        <v>549.35960435614891</v>
      </c>
      <c r="CC175" s="59">
        <f t="shared" si="119"/>
        <v>842.69293768948228</v>
      </c>
      <c r="CD175" s="59">
        <f ca="1">AVERAGE(OFFSET($CC$3,0,0,'Données projet'!$E$12+1,1))-AVERAGE(OFFSET($H$3,0,0,'Données projet'!$E$12+1,1))</f>
        <v>322.93502595881938</v>
      </c>
      <c r="CE175" s="59">
        <f t="shared" si="148"/>
        <v>302.67072119588164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7.8348478553436642</v>
      </c>
      <c r="CL175" s="21">
        <f>EXP(-LN(2)/25)*CL174+(1-EXP(-LN(2)/25))/(LN(2)/25)*Calculateur!CG175*Calculateur!CI175*VLOOKUP('Données projet'!$B$12,Paramètres!$A$1:$I$89,3,0)*0.475*44/12</f>
        <v>2.4200849037184065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10.25493275906207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278.21846622758881</v>
      </c>
      <c r="T176" s="59">
        <f t="shared" si="142"/>
        <v>245.37578316242906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26.118873406178068</v>
      </c>
      <c r="AA176" s="21">
        <f>EXP(-LN(2)/25)*AA175+(1-EXP(-LN(2)/25))/(LN(2)/25)*Calculateur!V176*Calculateur!X176*VLOOKUP('Données projet'!$B$9,Paramètres!$A$1:$I$89,3,0)*0.475*44/12</f>
        <v>2.8801693658760743</v>
      </c>
      <c r="AB176" s="21">
        <f>EXP(-LN(2)/2)*AB175+(1-EXP(-LN(2)/2))/(LN(2)/2)*V176*Y176*VLOOKUP('Données projet'!$B$9,Paramètres!$A$1:$I$89,3,0)*0.475*44/12</f>
        <v>1.1729252797328748E-13</v>
      </c>
      <c r="AC176" s="22">
        <f t="shared" si="163"/>
        <v>28.99904277205426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-1.3596945791505279E-13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261.13725557061468</v>
      </c>
      <c r="AO176" s="59">
        <f t="shared" si="144"/>
        <v>328.18986868293558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16.05025606458555</v>
      </c>
      <c r="AV176" s="21">
        <f>EXP(-LN(2)/25)*AV175+(1-EXP(-LN(2)/25))/(LN(2)/25)*Calculateur!AQ176*Calculateur!AS176*VLOOKUP('Données projet'!$B$10,Paramètres!$A$1:$I$89,3,0)*0.475*44/12</f>
        <v>1.7242791027680067</v>
      </c>
      <c r="AW176" s="21">
        <f>EXP(-LN(2)/2)*AW175+(1-EXP(-LN(2)/2))/(LN(2)/2)*AQ176*AT176*VLOOKUP('Données projet'!$B$10,Paramètres!$A$1:$I$89,3,0)*0.475*44/12</f>
        <v>9.9127716093881974E-17</v>
      </c>
      <c r="AX176" s="21">
        <f t="shared" si="166"/>
        <v>17.774535167353555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-4.5474735088646412E-13</v>
      </c>
      <c r="BE176" s="13">
        <f>BD176*VLOOKUP('Données projet'!$B$11,Paramètres!$A$1:$I$89,3,0)*VLOOKUP('Données projet'!$B$11,Paramètres!$A$1:$I$89,5,0)</f>
        <v>-4.6111381379887462E-13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250.31277422753283</v>
      </c>
      <c r="BJ176" s="59">
        <f t="shared" si="146"/>
        <v>159.20429420478047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125.6003794017288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125.6003794017288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243</v>
      </c>
      <c r="BZ176" s="13">
        <f>BY176*VLOOKUP('Données projet'!$B$12,Paramètres!$A$1:$I$89,3,0)*VLOOKUP('Données projet'!$B$12,Paramètres!$A$1:$I$89,5,0)</f>
        <v>253.98360000000002</v>
      </c>
      <c r="CA176" s="13">
        <f t="shared" si="170"/>
        <v>61.438182405444294</v>
      </c>
      <c r="CB176" s="20">
        <f t="shared" si="171"/>
        <v>549.35960435614891</v>
      </c>
      <c r="CC176" s="59">
        <f t="shared" si="119"/>
        <v>842.69293768948228</v>
      </c>
      <c r="CD176" s="59">
        <f ca="1">AVERAGE(OFFSET($CC$3,0,0,'Données projet'!$E$12+1,1))-AVERAGE(OFFSET($H$3,0,0,'Données projet'!$E$12+1,1))</f>
        <v>322.93502595881938</v>
      </c>
      <c r="CE176" s="59">
        <f t="shared" si="148"/>
        <v>302.67072119588164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7.6812112676857005</v>
      </c>
      <c r="CL176" s="21">
        <f>EXP(-LN(2)/25)*CL175+(1-EXP(-LN(2)/25))/(LN(2)/25)*Calculateur!CG176*Calculateur!CI176*VLOOKUP('Données projet'!$B$12,Paramètres!$A$1:$I$89,3,0)*0.475*44/12</f>
        <v>2.3539075547594925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10.035118822445193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278.21846622758881</v>
      </c>
      <c r="T177" s="59">
        <f t="shared" si="142"/>
        <v>245.37578316242906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25.606698229622644</v>
      </c>
      <c r="AA177" s="21">
        <f>EXP(-LN(2)/25)*AA176+(1-EXP(-LN(2)/25))/(LN(2)/25)*Calculateur!V177*Calculateur!X177*VLOOKUP('Données projet'!$B$9,Paramètres!$A$1:$I$89,3,0)*0.475*44/12</f>
        <v>2.801410983104669</v>
      </c>
      <c r="AB177" s="21">
        <f>EXP(-LN(2)/2)*AB176+(1-EXP(-LN(2)/2))/(LN(2)/2)*V177*Y177*VLOOKUP('Données projet'!$B$9,Paramètres!$A$1:$I$89,3,0)*0.475*44/12</f>
        <v>8.2938341912424392E-14</v>
      </c>
      <c r="AC177" s="22">
        <f t="shared" si="163"/>
        <v>28.408109212727396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-1.3596945791505279E-13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261.13725557061468</v>
      </c>
      <c r="AO177" s="59">
        <f t="shared" si="144"/>
        <v>328.18986868293558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15.735520332848575</v>
      </c>
      <c r="AV177" s="21">
        <f>EXP(-LN(2)/25)*AV176+(1-EXP(-LN(2)/25))/(LN(2)/25)*Calculateur!AQ177*Calculateur!AS177*VLOOKUP('Données projet'!$B$10,Paramètres!$A$1:$I$89,3,0)*0.475*44/12</f>
        <v>1.6771286000269183</v>
      </c>
      <c r="AW177" s="21">
        <f>EXP(-LN(2)/2)*AW176+(1-EXP(-LN(2)/2))/(LN(2)/2)*AQ177*AT177*VLOOKUP('Données projet'!$B$10,Paramètres!$A$1:$I$89,3,0)*0.475*44/12</f>
        <v>7.0093880253518805E-17</v>
      </c>
      <c r="AX177" s="21">
        <f t="shared" si="166"/>
        <v>17.412648932875491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-4.5474735088646412E-13</v>
      </c>
      <c r="BE177" s="13">
        <f>BD177*VLOOKUP('Données projet'!$B$11,Paramètres!$A$1:$I$89,3,0)*VLOOKUP('Données projet'!$B$11,Paramètres!$A$1:$I$89,5,0)</f>
        <v>-4.6111381379887462E-13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250.31277422753283</v>
      </c>
      <c r="BJ177" s="59">
        <f t="shared" si="146"/>
        <v>159.20429420478047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123.13743257032786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123.13743257032786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243</v>
      </c>
      <c r="BZ177" s="13">
        <f>BY177*VLOOKUP('Données projet'!$B$12,Paramètres!$A$1:$I$89,3,0)*VLOOKUP('Données projet'!$B$12,Paramètres!$A$1:$I$89,5,0)</f>
        <v>253.98360000000002</v>
      </c>
      <c r="CA177" s="13">
        <f t="shared" si="170"/>
        <v>61.438182405444294</v>
      </c>
      <c r="CB177" s="20">
        <f t="shared" si="171"/>
        <v>549.35960435614891</v>
      </c>
      <c r="CC177" s="59">
        <f t="shared" si="119"/>
        <v>842.69293768948228</v>
      </c>
      <c r="CD177" s="59">
        <f ca="1">AVERAGE(OFFSET($CC$3,0,0,'Données projet'!$E$12+1,1))-AVERAGE(OFFSET($H$3,0,0,'Données projet'!$E$12+1,1))</f>
        <v>322.93502595881938</v>
      </c>
      <c r="CE177" s="59">
        <f t="shared" si="148"/>
        <v>302.67072119588164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7.530587399802644</v>
      </c>
      <c r="CL177" s="21">
        <f>EXP(-LN(2)/25)*CL176+(1-EXP(-LN(2)/25))/(LN(2)/25)*Calculateur!CG177*Calculateur!CI177*VLOOKUP('Données projet'!$B$12,Paramètres!$A$1:$I$89,3,0)*0.475*44/12</f>
        <v>2.289539828887976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9.8201272286906196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278.21846622758881</v>
      </c>
      <c r="T178" s="59">
        <f t="shared" si="142"/>
        <v>245.37578316242906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25.104566495883461</v>
      </c>
      <c r="AA178" s="21">
        <f>EXP(-LN(2)/25)*AA177+(1-EXP(-LN(2)/25))/(LN(2)/25)*Calculateur!V178*Calculateur!X178*VLOOKUP('Données projet'!$B$9,Paramètres!$A$1:$I$89,3,0)*0.475*44/12</f>
        <v>2.724806252451871</v>
      </c>
      <c r="AB178" s="21">
        <f>EXP(-LN(2)/2)*AB177+(1-EXP(-LN(2)/2))/(LN(2)/2)*V178*Y178*VLOOKUP('Données projet'!$B$9,Paramètres!$A$1:$I$89,3,0)*0.475*44/12</f>
        <v>5.8646263986643738E-14</v>
      </c>
      <c r="AC178" s="22">
        <f t="shared" si="163"/>
        <v>27.829372748335391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-1.3596945791505279E-13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261.13725557061468</v>
      </c>
      <c r="AO178" s="59">
        <f t="shared" si="144"/>
        <v>328.18986868293558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15.426956376841121</v>
      </c>
      <c r="AV178" s="21">
        <f>EXP(-LN(2)/25)*AV177+(1-EXP(-LN(2)/25))/(LN(2)/25)*Calculateur!AQ178*Calculateur!AS178*VLOOKUP('Données projet'!$B$10,Paramètres!$A$1:$I$89,3,0)*0.475*44/12</f>
        <v>1.6312674302628223</v>
      </c>
      <c r="AW178" s="21">
        <f>EXP(-LN(2)/2)*AW177+(1-EXP(-LN(2)/2))/(LN(2)/2)*AQ178*AT178*VLOOKUP('Données projet'!$B$10,Paramètres!$A$1:$I$89,3,0)*0.475*44/12</f>
        <v>4.9563858046940987E-17</v>
      </c>
      <c r="AX178" s="21">
        <f t="shared" si="166"/>
        <v>17.058223807103943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-4.5474735088646412E-13</v>
      </c>
      <c r="BE178" s="13">
        <f>BD178*VLOOKUP('Données projet'!$B$11,Paramètres!$A$1:$I$89,3,0)*VLOOKUP('Données projet'!$B$11,Paramètres!$A$1:$I$89,5,0)</f>
        <v>-4.6111381379887462E-13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250.31277422753283</v>
      </c>
      <c r="BJ178" s="59">
        <f t="shared" si="146"/>
        <v>159.20429420478047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120.72278262404146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120.72278262404146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243</v>
      </c>
      <c r="BZ178" s="13">
        <f>BY178*VLOOKUP('Données projet'!$B$12,Paramètres!$A$1:$I$89,3,0)*VLOOKUP('Données projet'!$B$12,Paramètres!$A$1:$I$89,5,0)</f>
        <v>253.98360000000002</v>
      </c>
      <c r="CA178" s="13">
        <f t="shared" si="170"/>
        <v>61.438182405444294</v>
      </c>
      <c r="CB178" s="20">
        <f t="shared" si="171"/>
        <v>549.35960435614891</v>
      </c>
      <c r="CC178" s="59">
        <f t="shared" si="119"/>
        <v>842.69293768948228</v>
      </c>
      <c r="CD178" s="59">
        <f ca="1">AVERAGE(OFFSET($CC$3,0,0,'Données projet'!$E$12+1,1))-AVERAGE(OFFSET($H$3,0,0,'Données projet'!$E$12+1,1))</f>
        <v>322.93502595881938</v>
      </c>
      <c r="CE178" s="59">
        <f t="shared" si="148"/>
        <v>302.67072119588164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7.3829171740972868</v>
      </c>
      <c r="CL178" s="21">
        <f>EXP(-LN(2)/25)*CL177+(1-EXP(-LN(2)/25))/(LN(2)/25)*Calculateur!CG178*Calculateur!CI178*VLOOKUP('Données projet'!$B$12,Paramètres!$A$1:$I$89,3,0)*0.475*44/12</f>
        <v>2.2269322418653674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9.6098494159626533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278.21846622758881</v>
      </c>
      <c r="T179" s="59">
        <f t="shared" si="142"/>
        <v>245.37578316242906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24.612281259172786</v>
      </c>
      <c r="AA179" s="21">
        <f>EXP(-LN(2)/25)*AA178+(1-EXP(-LN(2)/25))/(LN(2)/25)*Calculateur!V179*Calculateur!X179*VLOOKUP('Données projet'!$B$9,Paramètres!$A$1:$I$89,3,0)*0.475*44/12</f>
        <v>2.6502962821872416</v>
      </c>
      <c r="AB179" s="21">
        <f>EXP(-LN(2)/2)*AB178+(1-EXP(-LN(2)/2))/(LN(2)/2)*V179*Y179*VLOOKUP('Données projet'!$B$9,Paramètres!$A$1:$I$89,3,0)*0.475*44/12</f>
        <v>4.1469170956212196E-14</v>
      </c>
      <c r="AC179" s="22">
        <f t="shared" si="163"/>
        <v>27.26257754136007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-1.3596945791505279E-13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261.13725557061468</v>
      </c>
      <c r="AO179" s="59">
        <f t="shared" si="144"/>
        <v>328.18986868293558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15.124443171805543</v>
      </c>
      <c r="AV179" s="21">
        <f>EXP(-LN(2)/25)*AV178+(1-EXP(-LN(2)/25))/(LN(2)/25)*Calculateur!AQ179*Calculateur!AS179*VLOOKUP('Données projet'!$B$10,Paramètres!$A$1:$I$89,3,0)*0.475*44/12</f>
        <v>1.5866603365976595</v>
      </c>
      <c r="AW179" s="21">
        <f>EXP(-LN(2)/2)*AW178+(1-EXP(-LN(2)/2))/(LN(2)/2)*AQ179*AT179*VLOOKUP('Données projet'!$B$10,Paramètres!$A$1:$I$89,3,0)*0.475*44/12</f>
        <v>3.5046940126759403E-17</v>
      </c>
      <c r="AX179" s="21">
        <f t="shared" si="166"/>
        <v>16.711103508403202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-4.5474735088646412E-13</v>
      </c>
      <c r="BE179" s="13">
        <f>BD179*VLOOKUP('Données projet'!$B$11,Paramètres!$A$1:$I$89,3,0)*VLOOKUP('Données projet'!$B$11,Paramètres!$A$1:$I$89,5,0)</f>
        <v>-4.6111381379887462E-13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250.31277422753283</v>
      </c>
      <c r="BJ179" s="59">
        <f t="shared" si="146"/>
        <v>159.20429420478047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118.35548249041069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118.35548249041069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243</v>
      </c>
      <c r="BZ179" s="13">
        <f>BY179*VLOOKUP('Données projet'!$B$12,Paramètres!$A$1:$I$89,3,0)*VLOOKUP('Données projet'!$B$12,Paramètres!$A$1:$I$89,5,0)</f>
        <v>253.98360000000002</v>
      </c>
      <c r="CA179" s="13">
        <f t="shared" si="170"/>
        <v>61.438182405444294</v>
      </c>
      <c r="CB179" s="20">
        <f t="shared" si="171"/>
        <v>549.35960435614891</v>
      </c>
      <c r="CC179" s="59">
        <f t="shared" si="119"/>
        <v>842.69293768948228</v>
      </c>
      <c r="CD179" s="59">
        <f ca="1">AVERAGE(OFFSET($CC$3,0,0,'Données projet'!$E$12+1,1))-AVERAGE(OFFSET($H$3,0,0,'Données projet'!$E$12+1,1))</f>
        <v>322.93502595881938</v>
      </c>
      <c r="CE179" s="59">
        <f t="shared" si="148"/>
        <v>302.67072119588164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7.2381426714480677</v>
      </c>
      <c r="CL179" s="21">
        <f>EXP(-LN(2)/25)*CL178+(1-EXP(-LN(2)/25))/(LN(2)/25)*Calculateur!CG179*Calculateur!CI179*VLOOKUP('Données projet'!$B$12,Paramètres!$A$1:$I$89,3,0)*0.475*44/12</f>
        <v>2.166036662602282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9.4041793340503492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278.21846622758881</v>
      </c>
      <c r="T180" s="59">
        <f t="shared" si="142"/>
        <v>245.37578316242906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24.129649435689664</v>
      </c>
      <c r="AA180" s="21">
        <f>EXP(-LN(2)/25)*AA179+(1-EXP(-LN(2)/25))/(LN(2)/25)*Calculateur!V180*Calculateur!X180*VLOOKUP('Données projet'!$B$9,Paramètres!$A$1:$I$89,3,0)*0.475*44/12</f>
        <v>2.5778237909778072</v>
      </c>
      <c r="AB180" s="21">
        <f>EXP(-LN(2)/2)*AB179+(1-EXP(-LN(2)/2))/(LN(2)/2)*V180*Y180*VLOOKUP('Données projet'!$B$9,Paramètres!$A$1:$I$89,3,0)*0.475*44/12</f>
        <v>2.9323131993321869E-14</v>
      </c>
      <c r="AC180" s="22">
        <f t="shared" si="163"/>
        <v>26.707473226667499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-1.3596945791505279E-13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261.13725557061468</v>
      </c>
      <c r="AO180" s="59">
        <f t="shared" si="144"/>
        <v>328.18986868293558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14.827862066205878</v>
      </c>
      <c r="AV180" s="21">
        <f>EXP(-LN(2)/25)*AV179+(1-EXP(-LN(2)/25))/(LN(2)/25)*Calculateur!AQ180*Calculateur!AS180*VLOOKUP('Données projet'!$B$10,Paramètres!$A$1:$I$89,3,0)*0.475*44/12</f>
        <v>1.5432730262545558</v>
      </c>
      <c r="AW180" s="21">
        <f>EXP(-LN(2)/2)*AW179+(1-EXP(-LN(2)/2))/(LN(2)/2)*AQ180*AT180*VLOOKUP('Données projet'!$B$10,Paramètres!$A$1:$I$89,3,0)*0.475*44/12</f>
        <v>2.4781929023470494E-17</v>
      </c>
      <c r="AX180" s="21">
        <f t="shared" si="166"/>
        <v>16.371135092460435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-4.5474735088646412E-13</v>
      </c>
      <c r="BE180" s="13">
        <f>BD180*VLOOKUP('Données projet'!$B$11,Paramètres!$A$1:$I$89,3,0)*VLOOKUP('Données projet'!$B$11,Paramètres!$A$1:$I$89,5,0)</f>
        <v>-4.6111381379887462E-13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250.31277422753283</v>
      </c>
      <c r="BJ180" s="59">
        <f t="shared" si="146"/>
        <v>159.20429420478047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116.03460366848992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116.03460366848992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243</v>
      </c>
      <c r="BZ180" s="13">
        <f>BY180*VLOOKUP('Données projet'!$B$12,Paramètres!$A$1:$I$89,3,0)*VLOOKUP('Données projet'!$B$12,Paramètres!$A$1:$I$89,5,0)</f>
        <v>253.98360000000002</v>
      </c>
      <c r="CA180" s="13">
        <f t="shared" si="170"/>
        <v>61.438182405444294</v>
      </c>
      <c r="CB180" s="20">
        <f t="shared" si="171"/>
        <v>549.35960435614891</v>
      </c>
      <c r="CC180" s="59">
        <f t="shared" si="119"/>
        <v>842.69293768948228</v>
      </c>
      <c r="CD180" s="59">
        <f ca="1">AVERAGE(OFFSET($CC$3,0,0,'Données projet'!$E$12+1,1))-AVERAGE(OFFSET($H$3,0,0,'Données projet'!$E$12+1,1))</f>
        <v>322.93502595881938</v>
      </c>
      <c r="CE180" s="59">
        <f t="shared" si="148"/>
        <v>302.67072119588164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7.0962071084920719</v>
      </c>
      <c r="CL180" s="21">
        <f>EXP(-LN(2)/25)*CL179+(1-EXP(-LN(2)/25))/(LN(2)/25)*Calculateur!CG180*Calculateur!CI180*VLOOKUP('Données projet'!$B$12,Paramètres!$A$1:$I$89,3,0)*0.475*44/12</f>
        <v>2.106806276156505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9.2030133846485764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278.21846622758881</v>
      </c>
      <c r="T181" s="59">
        <f t="shared" si="142"/>
        <v>245.37578316242906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23.6564817278887</v>
      </c>
      <c r="AA181" s="21">
        <f>EXP(-LN(2)/25)*AA180+(1-EXP(-LN(2)/25))/(LN(2)/25)*Calculateur!V181*Calculateur!X181*VLOOKUP('Données projet'!$B$9,Paramètres!$A$1:$I$89,3,0)*0.475*44/12</f>
        <v>2.5073330638516578</v>
      </c>
      <c r="AB181" s="21">
        <f>EXP(-LN(2)/2)*AB180+(1-EXP(-LN(2)/2))/(LN(2)/2)*V181*Y181*VLOOKUP('Données projet'!$B$9,Paramètres!$A$1:$I$89,3,0)*0.475*44/12</f>
        <v>2.0734585478106098E-14</v>
      </c>
      <c r="AC181" s="22">
        <f t="shared" si="163"/>
        <v>26.163814791740378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-1.3596945791505279E-13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261.13725557061468</v>
      </c>
      <c r="AO181" s="59">
        <f t="shared" si="144"/>
        <v>328.18986868293558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14.53709673519041</v>
      </c>
      <c r="AV181" s="21">
        <f>EXP(-LN(2)/25)*AV180+(1-EXP(-LN(2)/25))/(LN(2)/25)*Calculateur!AQ181*Calculateur!AS181*VLOOKUP('Données projet'!$B$10,Paramètres!$A$1:$I$89,3,0)*0.475*44/12</f>
        <v>1.5010721441944237</v>
      </c>
      <c r="AW181" s="21">
        <f>EXP(-LN(2)/2)*AW180+(1-EXP(-LN(2)/2))/(LN(2)/2)*AQ181*AT181*VLOOKUP('Données projet'!$B$10,Paramètres!$A$1:$I$89,3,0)*0.475*44/12</f>
        <v>1.7523470063379701E-17</v>
      </c>
      <c r="AX181" s="21">
        <f t="shared" si="166"/>
        <v>16.038168879384834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-4.5474735088646412E-13</v>
      </c>
      <c r="BE181" s="13">
        <f>BD181*VLOOKUP('Données projet'!$B$11,Paramètres!$A$1:$I$89,3,0)*VLOOKUP('Données projet'!$B$11,Paramètres!$A$1:$I$89,5,0)</f>
        <v>-4.6111381379887462E-13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250.31277422753283</v>
      </c>
      <c r="BJ181" s="59">
        <f t="shared" si="146"/>
        <v>159.20429420478047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113.75923586467071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113.75923586467071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243</v>
      </c>
      <c r="BZ181" s="13">
        <f>BY181*VLOOKUP('Données projet'!$B$12,Paramètres!$A$1:$I$89,3,0)*VLOOKUP('Données projet'!$B$12,Paramètres!$A$1:$I$89,5,0)</f>
        <v>253.98360000000002</v>
      </c>
      <c r="CA181" s="13">
        <f t="shared" si="170"/>
        <v>61.438182405444294</v>
      </c>
      <c r="CB181" s="20">
        <f t="shared" si="171"/>
        <v>549.35960435614891</v>
      </c>
      <c r="CC181" s="59">
        <f t="shared" si="119"/>
        <v>842.69293768948228</v>
      </c>
      <c r="CD181" s="59">
        <f ca="1">AVERAGE(OFFSET($CC$3,0,0,'Données projet'!$E$12+1,1))-AVERAGE(OFFSET($H$3,0,0,'Données projet'!$E$12+1,1))</f>
        <v>322.93502595881938</v>
      </c>
      <c r="CE181" s="59">
        <f t="shared" si="148"/>
        <v>302.67072119588164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6.9570548153534988</v>
      </c>
      <c r="CL181" s="21">
        <f>EXP(-LN(2)/25)*CL180+(1-EXP(-LN(2)/25))/(LN(2)/25)*Calculateur!CG181*Calculateur!CI181*VLOOKUP('Données projet'!$B$12,Paramètres!$A$1:$I$89,3,0)*0.475*44/12</f>
        <v>2.0491955477428783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9.0062503630963775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278.21846622758881</v>
      </c>
      <c r="T182" s="59">
        <f t="shared" si="142"/>
        <v>245.37578316242906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23.192592550233908</v>
      </c>
      <c r="AA182" s="21">
        <f>EXP(-LN(2)/25)*AA181+(1-EXP(-LN(2)/25))/(LN(2)/25)*Calculateur!V182*Calculateur!X182*VLOOKUP('Données projet'!$B$9,Paramètres!$A$1:$I$89,3,0)*0.475*44/12</f>
        <v>2.4387699093657189</v>
      </c>
      <c r="AB182" s="21">
        <f>EXP(-LN(2)/2)*AB181+(1-EXP(-LN(2)/2))/(LN(2)/2)*V182*Y182*VLOOKUP('Données projet'!$B$9,Paramètres!$A$1:$I$89,3,0)*0.475*44/12</f>
        <v>1.4661565996660934E-14</v>
      </c>
      <c r="AC182" s="22">
        <f t="shared" si="163"/>
        <v>25.631362459599639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-1.3596945791505279E-13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261.13725557061468</v>
      </c>
      <c r="AO182" s="59">
        <f t="shared" si="144"/>
        <v>328.18986868293558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14.252033134966815</v>
      </c>
      <c r="AV182" s="21">
        <f>EXP(-LN(2)/25)*AV181+(1-EXP(-LN(2)/25))/(LN(2)/25)*Calculateur!AQ182*Calculateur!AS182*VLOOKUP('Données projet'!$B$10,Paramètres!$A$1:$I$89,3,0)*0.475*44/12</f>
        <v>1.4600252474734738</v>
      </c>
      <c r="AW182" s="21">
        <f>EXP(-LN(2)/2)*AW181+(1-EXP(-LN(2)/2))/(LN(2)/2)*AQ182*AT182*VLOOKUP('Données projet'!$B$10,Paramètres!$A$1:$I$89,3,0)*0.475*44/12</f>
        <v>1.2390964511735247E-17</v>
      </c>
      <c r="AX182" s="21">
        <f t="shared" si="166"/>
        <v>15.71205838244029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-4.5474735088646412E-13</v>
      </c>
      <c r="BE182" s="13">
        <f>BD182*VLOOKUP('Données projet'!$B$11,Paramètres!$A$1:$I$89,3,0)*VLOOKUP('Données projet'!$B$11,Paramètres!$A$1:$I$89,5,0)</f>
        <v>-4.6111381379887462E-13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250.31277422753283</v>
      </c>
      <c r="BJ182" s="59">
        <f t="shared" si="146"/>
        <v>159.20429420478047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111.52848663564707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111.52848663564707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243</v>
      </c>
      <c r="BZ182" s="13">
        <f>BY182*VLOOKUP('Données projet'!$B$12,Paramètres!$A$1:$I$89,3,0)*VLOOKUP('Données projet'!$B$12,Paramètres!$A$1:$I$89,5,0)</f>
        <v>253.98360000000002</v>
      </c>
      <c r="CA182" s="13">
        <f t="shared" si="170"/>
        <v>61.438182405444294</v>
      </c>
      <c r="CB182" s="20">
        <f t="shared" si="171"/>
        <v>549.35960435614891</v>
      </c>
      <c r="CC182" s="59">
        <f t="shared" si="119"/>
        <v>842.69293768948228</v>
      </c>
      <c r="CD182" s="59">
        <f ca="1">AVERAGE(OFFSET($CC$3,0,0,'Données projet'!$E$12+1,1))-AVERAGE(OFFSET($H$3,0,0,'Données projet'!$E$12+1,1))</f>
        <v>322.93502595881938</v>
      </c>
      <c r="CE182" s="59">
        <f t="shared" si="148"/>
        <v>302.67072119588164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6.8206312138088547</v>
      </c>
      <c r="CL182" s="21">
        <f>EXP(-LN(2)/25)*CL181+(1-EXP(-LN(2)/25))/(LN(2)/25)*Calculateur!CG182*Calculateur!CI182*VLOOKUP('Données projet'!$B$12,Paramètres!$A$1:$I$89,3,0)*0.475*44/12</f>
        <v>1.9931601877273388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8.8137914015361929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278.21846622758881</v>
      </c>
      <c r="T183" s="59">
        <f t="shared" si="142"/>
        <v>245.37578316242906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22.737799956408466</v>
      </c>
      <c r="AA183" s="21">
        <f>EXP(-LN(2)/25)*AA182+(1-EXP(-LN(2)/25))/(LN(2)/25)*Calculateur!V183*Calculateur!X183*VLOOKUP('Données projet'!$B$9,Paramètres!$A$1:$I$89,3,0)*0.475*44/12</f>
        <v>2.3720816179447777</v>
      </c>
      <c r="AB183" s="21">
        <f>EXP(-LN(2)/2)*AB182+(1-EXP(-LN(2)/2))/(LN(2)/2)*V183*Y183*VLOOKUP('Données projet'!$B$9,Paramètres!$A$1:$I$89,3,0)*0.475*44/12</f>
        <v>1.0367292739053049E-14</v>
      </c>
      <c r="AC183" s="22">
        <f t="shared" si="163"/>
        <v>25.109881574353256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-1.3596945791505279E-13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261.13725557061468</v>
      </c>
      <c r="AO183" s="59">
        <f t="shared" si="144"/>
        <v>328.18986868293558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13.972559458071977</v>
      </c>
      <c r="AV183" s="21">
        <f>EXP(-LN(2)/25)*AV182+(1-EXP(-LN(2)/25))/(LN(2)/25)*Calculateur!AQ183*Calculateur!AS183*VLOOKUP('Données projet'!$B$10,Paramètres!$A$1:$I$89,3,0)*0.475*44/12</f>
        <v>1.4201007803019208</v>
      </c>
      <c r="AW183" s="21">
        <f>EXP(-LN(2)/2)*AW182+(1-EXP(-LN(2)/2))/(LN(2)/2)*AQ183*AT183*VLOOKUP('Données projet'!$B$10,Paramètres!$A$1:$I$89,3,0)*0.475*44/12</f>
        <v>8.7617350316898507E-18</v>
      </c>
      <c r="AX183" s="21">
        <f t="shared" si="166"/>
        <v>15.392660238373898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-4.5474735088646412E-13</v>
      </c>
      <c r="BE183" s="13">
        <f>BD183*VLOOKUP('Données projet'!$B$11,Paramètres!$A$1:$I$89,3,0)*VLOOKUP('Données projet'!$B$11,Paramètres!$A$1:$I$89,5,0)</f>
        <v>-4.6111381379887462E-13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250.31277422753283</v>
      </c>
      <c r="BJ183" s="59">
        <f t="shared" si="146"/>
        <v>159.20429420478047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109.3414810383819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109.3414810383819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243</v>
      </c>
      <c r="BZ183" s="13">
        <f>BY183*VLOOKUP('Données projet'!$B$12,Paramètres!$A$1:$I$89,3,0)*VLOOKUP('Données projet'!$B$12,Paramètres!$A$1:$I$89,5,0)</f>
        <v>253.98360000000002</v>
      </c>
      <c r="CA183" s="13">
        <f t="shared" si="170"/>
        <v>61.438182405444294</v>
      </c>
      <c r="CB183" s="20">
        <f t="shared" si="171"/>
        <v>549.35960435614891</v>
      </c>
      <c r="CC183" s="59">
        <f t="shared" si="119"/>
        <v>842.69293768948228</v>
      </c>
      <c r="CD183" s="59">
        <f ca="1">AVERAGE(OFFSET($CC$3,0,0,'Données projet'!$E$12+1,1))-AVERAGE(OFFSET($H$3,0,0,'Données projet'!$E$12+1,1))</f>
        <v>322.93502595881938</v>
      </c>
      <c r="CE183" s="59">
        <f t="shared" si="148"/>
        <v>302.67072119588164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6.6868827958803205</v>
      </c>
      <c r="CL183" s="21">
        <f>EXP(-LN(2)/25)*CL182+(1-EXP(-LN(2)/25))/(LN(2)/25)*Calculateur!CG183*Calculateur!CI183*VLOOKUP('Données projet'!$B$12,Paramètres!$A$1:$I$89,3,0)*0.475*44/12</f>
        <v>1.9386571175781959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8.6255399134585158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278.21846622758881</v>
      </c>
      <c r="T184" s="59">
        <f t="shared" si="142"/>
        <v>245.37578316242906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22.29192556795185</v>
      </c>
      <c r="AA184" s="21">
        <f>EXP(-LN(2)/25)*AA183+(1-EXP(-LN(2)/25))/(LN(2)/25)*Calculateur!V184*Calculateur!X184*VLOOKUP('Données projet'!$B$9,Paramètres!$A$1:$I$89,3,0)*0.475*44/12</f>
        <v>2.3072169213597271</v>
      </c>
      <c r="AB184" s="21">
        <f>EXP(-LN(2)/2)*AB183+(1-EXP(-LN(2)/2))/(LN(2)/2)*V184*Y184*VLOOKUP('Données projet'!$B$9,Paramètres!$A$1:$I$89,3,0)*0.475*44/12</f>
        <v>7.3307829983304672E-15</v>
      </c>
      <c r="AC184" s="22">
        <f t="shared" si="163"/>
        <v>24.599142489311586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-1.3596945791505279E-13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261.13725557061468</v>
      </c>
      <c r="AO184" s="59">
        <f t="shared" si="144"/>
        <v>328.18986868293558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13.698566089518936</v>
      </c>
      <c r="AV184" s="21">
        <f>EXP(-LN(2)/25)*AV183+(1-EXP(-LN(2)/25))/(LN(2)/25)*Calculateur!AQ184*Calculateur!AS184*VLOOKUP('Données projet'!$B$10,Paramètres!$A$1:$I$89,3,0)*0.475*44/12</f>
        <v>1.3812680497847103</v>
      </c>
      <c r="AW184" s="21">
        <f>EXP(-LN(2)/2)*AW183+(1-EXP(-LN(2)/2))/(LN(2)/2)*AQ184*AT184*VLOOKUP('Données projet'!$B$10,Paramètres!$A$1:$I$89,3,0)*0.475*44/12</f>
        <v>6.1954822558676234E-18</v>
      </c>
      <c r="AX184" s="21">
        <f t="shared" si="166"/>
        <v>15.079834139303646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-4.5474735088646412E-13</v>
      </c>
      <c r="BE184" s="13">
        <f>BD184*VLOOKUP('Données projet'!$B$11,Paramètres!$A$1:$I$89,3,0)*VLOOKUP('Données projet'!$B$11,Paramètres!$A$1:$I$89,5,0)</f>
        <v>-4.6111381379887462E-13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250.31277422753283</v>
      </c>
      <c r="BJ184" s="59">
        <f t="shared" si="146"/>
        <v>159.20429420478047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107.19736128693741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107.19736128693741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243</v>
      </c>
      <c r="BZ184" s="13">
        <f>BY184*VLOOKUP('Données projet'!$B$12,Paramètres!$A$1:$I$89,3,0)*VLOOKUP('Données projet'!$B$12,Paramètres!$A$1:$I$89,5,0)</f>
        <v>253.98360000000002</v>
      </c>
      <c r="CA184" s="13">
        <f t="shared" si="170"/>
        <v>61.438182405444294</v>
      </c>
      <c r="CB184" s="20">
        <f t="shared" si="171"/>
        <v>549.35960435614891</v>
      </c>
      <c r="CC184" s="59">
        <f t="shared" si="119"/>
        <v>842.69293768948228</v>
      </c>
      <c r="CD184" s="59">
        <f ca="1">AVERAGE(OFFSET($CC$3,0,0,'Données projet'!$E$12+1,1))-AVERAGE(OFFSET($H$3,0,0,'Données projet'!$E$12+1,1))</f>
        <v>322.93502595881938</v>
      </c>
      <c r="CE184" s="59">
        <f t="shared" si="148"/>
        <v>302.67072119588164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6.5557571028488848</v>
      </c>
      <c r="CL184" s="21">
        <f>EXP(-LN(2)/25)*CL183+(1-EXP(-LN(2)/25))/(LN(2)/25)*Calculateur!CG184*Calculateur!CI184*VLOOKUP('Données projet'!$B$12,Paramètres!$A$1:$I$89,3,0)*0.475*44/12</f>
        <v>1.8856444367484733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8.4414015395973578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278.21846622758881</v>
      </c>
      <c r="T185" s="59">
        <f t="shared" si="142"/>
        <v>245.37578316242906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21.854794504296343</v>
      </c>
      <c r="AA185" s="21">
        <f>EXP(-LN(2)/25)*AA184+(1-EXP(-LN(2)/25))/(LN(2)/25)*Calculateur!V185*Calculateur!X185*VLOOKUP('Données projet'!$B$9,Paramètres!$A$1:$I$89,3,0)*0.475*44/12</f>
        <v>2.2441259533138807</v>
      </c>
      <c r="AB185" s="21">
        <f>EXP(-LN(2)/2)*AB184+(1-EXP(-LN(2)/2))/(LN(2)/2)*V185*Y185*VLOOKUP('Données projet'!$B$9,Paramètres!$A$1:$I$89,3,0)*0.475*44/12</f>
        <v>5.1836463695265245E-15</v>
      </c>
      <c r="AC185" s="22">
        <f t="shared" si="163"/>
        <v>24.098920457610227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-1.3596945791505279E-13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261.13725557061468</v>
      </c>
      <c r="AO185" s="59">
        <f t="shared" si="144"/>
        <v>328.18986868293558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13.429945563803766</v>
      </c>
      <c r="AV185" s="21">
        <f>EXP(-LN(2)/25)*AV184+(1-EXP(-LN(2)/25))/(LN(2)/25)*Calculateur!AQ185*Calculateur!AS185*VLOOKUP('Données projet'!$B$10,Paramètres!$A$1:$I$89,3,0)*0.475*44/12</f>
        <v>1.3434972023256175</v>
      </c>
      <c r="AW185" s="21">
        <f>EXP(-LN(2)/2)*AW184+(1-EXP(-LN(2)/2))/(LN(2)/2)*AQ185*AT185*VLOOKUP('Données projet'!$B$10,Paramètres!$A$1:$I$89,3,0)*0.475*44/12</f>
        <v>4.3808675158449253E-18</v>
      </c>
      <c r="AX185" s="21">
        <f t="shared" si="166"/>
        <v>14.773442766129383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-4.5474735088646412E-13</v>
      </c>
      <c r="BE185" s="13">
        <f>BD185*VLOOKUP('Données projet'!$B$11,Paramètres!$A$1:$I$89,3,0)*VLOOKUP('Données projet'!$B$11,Paramètres!$A$1:$I$89,5,0)</f>
        <v>-4.6111381379887462E-13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250.31277422753283</v>
      </c>
      <c r="BJ185" s="59">
        <f t="shared" si="146"/>
        <v>159.20429420478047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105.09528641603482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105.09528641603482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243</v>
      </c>
      <c r="BZ185" s="13">
        <f>BY185*VLOOKUP('Données projet'!$B$12,Paramètres!$A$1:$I$89,3,0)*VLOOKUP('Données projet'!$B$12,Paramètres!$A$1:$I$89,5,0)</f>
        <v>253.98360000000002</v>
      </c>
      <c r="CA185" s="13">
        <f t="shared" si="170"/>
        <v>61.438182405444294</v>
      </c>
      <c r="CB185" s="20">
        <f t="shared" si="171"/>
        <v>549.35960435614891</v>
      </c>
      <c r="CC185" s="59">
        <f t="shared" si="119"/>
        <v>842.69293768948228</v>
      </c>
      <c r="CD185" s="59">
        <f ca="1">AVERAGE(OFFSET($CC$3,0,0,'Données projet'!$E$12+1,1))-AVERAGE(OFFSET($H$3,0,0,'Données projet'!$E$12+1,1))</f>
        <v>322.93502595881938</v>
      </c>
      <c r="CE185" s="59">
        <f t="shared" si="148"/>
        <v>302.67072119588164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6.4272027046790203</v>
      </c>
      <c r="CL185" s="21">
        <f>EXP(-LN(2)/25)*CL184+(1-EXP(-LN(2)/25))/(LN(2)/25)*Calculateur!CG185*Calculateur!CI185*VLOOKUP('Données projet'!$B$12,Paramètres!$A$1:$I$89,3,0)*0.475*44/12</f>
        <v>1.8340813904638551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8.2612840951428748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278.21846622758881</v>
      </c>
      <c r="T186" s="59">
        <f t="shared" si="142"/>
        <v>245.37578316242906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21.4262353141755</v>
      </c>
      <c r="AA186" s="21">
        <f>EXP(-LN(2)/25)*AA185+(1-EXP(-LN(2)/25))/(LN(2)/25)*Calculateur!V186*Calculateur!X186*VLOOKUP('Données projet'!$B$9,Paramètres!$A$1:$I$89,3,0)*0.475*44/12</f>
        <v>2.1827602111070576</v>
      </c>
      <c r="AB186" s="21">
        <f>EXP(-LN(2)/2)*AB185+(1-EXP(-LN(2)/2))/(LN(2)/2)*V186*Y186*VLOOKUP('Données projet'!$B$9,Paramètres!$A$1:$I$89,3,0)*0.475*44/12</f>
        <v>3.6653914991652336E-15</v>
      </c>
      <c r="AC186" s="22">
        <f t="shared" si="163"/>
        <v>23.608995525282563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-1.3596945791505279E-13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261.13725557061468</v>
      </c>
      <c r="AO186" s="59">
        <f t="shared" si="144"/>
        <v>328.18986868293558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13.166592522755529</v>
      </c>
      <c r="AV186" s="21">
        <f>EXP(-LN(2)/25)*AV185+(1-EXP(-LN(2)/25))/(LN(2)/25)*Calculateur!AQ186*Calculateur!AS186*VLOOKUP('Données projet'!$B$10,Paramètres!$A$1:$I$89,3,0)*0.475*44/12</f>
        <v>1.3067592006765762</v>
      </c>
      <c r="AW186" s="21">
        <f>EXP(-LN(2)/2)*AW185+(1-EXP(-LN(2)/2))/(LN(2)/2)*AQ186*AT186*VLOOKUP('Données projet'!$B$10,Paramètres!$A$1:$I$89,3,0)*0.475*44/12</f>
        <v>3.0977411279338117E-18</v>
      </c>
      <c r="AX186" s="21">
        <f t="shared" si="166"/>
        <v>14.473351723432106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-4.5474735088646412E-13</v>
      </c>
      <c r="BE186" s="13">
        <f>BD186*VLOOKUP('Données projet'!$B$11,Paramètres!$A$1:$I$89,3,0)*VLOOKUP('Données projet'!$B$11,Paramètres!$A$1:$I$89,5,0)</f>
        <v>-4.6111381379887462E-13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250.31277422753283</v>
      </c>
      <c r="BJ186" s="59">
        <f t="shared" si="146"/>
        <v>159.20429420478047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103.03443195121157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103.03443195121157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243</v>
      </c>
      <c r="BZ186" s="13">
        <f>BY186*VLOOKUP('Données projet'!$B$12,Paramètres!$A$1:$I$89,3,0)*VLOOKUP('Données projet'!$B$12,Paramètres!$A$1:$I$89,5,0)</f>
        <v>253.98360000000002</v>
      </c>
      <c r="CA186" s="13">
        <f t="shared" si="170"/>
        <v>61.438182405444294</v>
      </c>
      <c r="CB186" s="20">
        <f t="shared" si="171"/>
        <v>549.35960435614891</v>
      </c>
      <c r="CC186" s="59">
        <f t="shared" si="119"/>
        <v>842.69293768948228</v>
      </c>
      <c r="CD186" s="59">
        <f ca="1">AVERAGE(OFFSET($CC$3,0,0,'Données projet'!$E$12+1,1))-AVERAGE(OFFSET($H$3,0,0,'Données projet'!$E$12+1,1))</f>
        <v>322.93502595881938</v>
      </c>
      <c r="CE186" s="59">
        <f t="shared" si="148"/>
        <v>302.67072119588164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6.3011691798468261</v>
      </c>
      <c r="CL186" s="21">
        <f>EXP(-LN(2)/25)*CL185+(1-EXP(-LN(2)/25))/(LN(2)/25)*Calculateur!CG186*Calculateur!CI186*VLOOKUP('Données projet'!$B$12,Paramètres!$A$1:$I$89,3,0)*0.475*44/12</f>
        <v>1.7839283383914726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8.0850975182382996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278.21846622758881</v>
      </c>
      <c r="T187" s="59">
        <f t="shared" si="142"/>
        <v>245.37578316242906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21.006079908377632</v>
      </c>
      <c r="AA187" s="21">
        <f>EXP(-LN(2)/25)*AA186+(1-EXP(-LN(2)/25))/(LN(2)/25)*Calculateur!V187*Calculateur!X187*VLOOKUP('Données projet'!$B$9,Paramètres!$A$1:$I$89,3,0)*0.475*44/12</f>
        <v>2.1230725183479646</v>
      </c>
      <c r="AB187" s="21">
        <f>EXP(-LN(2)/2)*AB186+(1-EXP(-LN(2)/2))/(LN(2)/2)*V187*Y187*VLOOKUP('Données projet'!$B$9,Paramètres!$A$1:$I$89,3,0)*0.475*44/12</f>
        <v>2.5918231847632622E-15</v>
      </c>
      <c r="AC187" s="22">
        <f t="shared" si="163"/>
        <v>23.1291524267256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-1.3596945791505279E-13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261.13725557061468</v>
      </c>
      <c r="AO187" s="59">
        <f t="shared" si="144"/>
        <v>328.18986868293558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12.908403674212753</v>
      </c>
      <c r="AV187" s="21">
        <f>EXP(-LN(2)/25)*AV186+(1-EXP(-LN(2)/25))/(LN(2)/25)*Calculateur!AQ187*Calculateur!AS187*VLOOKUP('Données projet'!$B$10,Paramètres!$A$1:$I$89,3,0)*0.475*44/12</f>
        <v>1.2710258016145954</v>
      </c>
      <c r="AW187" s="21">
        <f>EXP(-LN(2)/2)*AW186+(1-EXP(-LN(2)/2))/(LN(2)/2)*AQ187*AT187*VLOOKUP('Données projet'!$B$10,Paramètres!$A$1:$I$89,3,0)*0.475*44/12</f>
        <v>2.1904337579224627E-18</v>
      </c>
      <c r="AX187" s="21">
        <f t="shared" si="166"/>
        <v>14.179429475827348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-4.5474735088646412E-13</v>
      </c>
      <c r="BE187" s="13">
        <f>BD187*VLOOKUP('Données projet'!$B$11,Paramètres!$A$1:$I$89,3,0)*VLOOKUP('Données projet'!$B$11,Paramètres!$A$1:$I$89,5,0)</f>
        <v>-4.6111381379887462E-13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250.31277422753283</v>
      </c>
      <c r="BJ187" s="59">
        <f t="shared" si="146"/>
        <v>159.20429420478047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101.0139895854464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101.0139895854464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243</v>
      </c>
      <c r="BZ187" s="13">
        <f>BY187*VLOOKUP('Données projet'!$B$12,Paramètres!$A$1:$I$89,3,0)*VLOOKUP('Données projet'!$B$12,Paramètres!$A$1:$I$89,5,0)</f>
        <v>253.98360000000002</v>
      </c>
      <c r="CA187" s="13">
        <f t="shared" si="170"/>
        <v>61.438182405444294</v>
      </c>
      <c r="CB187" s="20">
        <f t="shared" si="171"/>
        <v>549.35960435614891</v>
      </c>
      <c r="CC187" s="59">
        <f t="shared" si="119"/>
        <v>842.69293768948228</v>
      </c>
      <c r="CD187" s="59">
        <f ca="1">AVERAGE(OFFSET($CC$3,0,0,'Données projet'!$E$12+1,1))-AVERAGE(OFFSET($H$3,0,0,'Données projet'!$E$12+1,1))</f>
        <v>322.93502595881938</v>
      </c>
      <c r="CE187" s="59">
        <f t="shared" si="148"/>
        <v>302.67072119588164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6.1776070955637321</v>
      </c>
      <c r="CL187" s="21">
        <f>EXP(-LN(2)/25)*CL186+(1-EXP(-LN(2)/25))/(LN(2)/25)*Calculateur!CG187*Calculateur!CI187*VLOOKUP('Données projet'!$B$12,Paramètres!$A$1:$I$89,3,0)*0.475*44/12</f>
        <v>1.7351467241654437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7.9127538197291756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278.21846622758881</v>
      </c>
      <c r="T188" s="59">
        <f t="shared" si="142"/>
        <v>245.37578316242906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20.594163493817966</v>
      </c>
      <c r="AA188" s="21">
        <f>EXP(-LN(2)/25)*AA187+(1-EXP(-LN(2)/25))/(LN(2)/25)*Calculateur!V188*Calculateur!X188*VLOOKUP('Données projet'!$B$9,Paramètres!$A$1:$I$89,3,0)*0.475*44/12</f>
        <v>2.065016988686208</v>
      </c>
      <c r="AB188" s="21">
        <f>EXP(-LN(2)/2)*AB187+(1-EXP(-LN(2)/2))/(LN(2)/2)*V188*Y188*VLOOKUP('Données projet'!$B$9,Paramètres!$A$1:$I$89,3,0)*0.475*44/12</f>
        <v>1.8326957495826168E-15</v>
      </c>
      <c r="AC188" s="22">
        <f t="shared" si="163"/>
        <v>22.659180482504176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-1.3596945791505279E-13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261.13725557061468</v>
      </c>
      <c r="AO188" s="59">
        <f t="shared" si="144"/>
        <v>328.18986868293558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12.655277751510253</v>
      </c>
      <c r="AV188" s="21">
        <f>EXP(-LN(2)/25)*AV187+(1-EXP(-LN(2)/25))/(LN(2)/25)*Calculateur!AQ188*Calculateur!AS188*VLOOKUP('Données projet'!$B$10,Paramètres!$A$1:$I$89,3,0)*0.475*44/12</f>
        <v>1.2362695342291024</v>
      </c>
      <c r="AW188" s="21">
        <f>EXP(-LN(2)/2)*AW187+(1-EXP(-LN(2)/2))/(LN(2)/2)*AQ188*AT188*VLOOKUP('Données projet'!$B$10,Paramètres!$A$1:$I$89,3,0)*0.475*44/12</f>
        <v>1.5488705639669058E-18</v>
      </c>
      <c r="AX188" s="21">
        <f t="shared" si="166"/>
        <v>13.891547285739355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-4.5474735088646412E-13</v>
      </c>
      <c r="BE188" s="13">
        <f>BD188*VLOOKUP('Données projet'!$B$11,Paramètres!$A$1:$I$89,3,0)*VLOOKUP('Données projet'!$B$11,Paramètres!$A$1:$I$89,5,0)</f>
        <v>-4.6111381379887462E-13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250.31277422753283</v>
      </c>
      <c r="BJ188" s="59">
        <f t="shared" si="146"/>
        <v>159.20429420478047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99.033166862125711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99.033166862125711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243</v>
      </c>
      <c r="BZ188" s="13">
        <f>BY188*VLOOKUP('Données projet'!$B$12,Paramètres!$A$1:$I$89,3,0)*VLOOKUP('Données projet'!$B$12,Paramètres!$A$1:$I$89,5,0)</f>
        <v>253.98360000000002</v>
      </c>
      <c r="CA188" s="13">
        <f t="shared" si="170"/>
        <v>61.438182405444294</v>
      </c>
      <c r="CB188" s="20">
        <f t="shared" si="171"/>
        <v>549.35960435614891</v>
      </c>
      <c r="CC188" s="59">
        <f t="shared" si="119"/>
        <v>842.69293768948228</v>
      </c>
      <c r="CD188" s="59">
        <f ca="1">AVERAGE(OFFSET($CC$3,0,0,'Données projet'!$E$12+1,1))-AVERAGE(OFFSET($H$3,0,0,'Données projet'!$E$12+1,1))</f>
        <v>322.93502595881938</v>
      </c>
      <c r="CE188" s="59">
        <f t="shared" si="148"/>
        <v>302.67072119588164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6.0564679883879995</v>
      </c>
      <c r="CL188" s="21">
        <f>EXP(-LN(2)/25)*CL187+(1-EXP(-LN(2)/25))/(LN(2)/25)*Calculateur!CG188*Calculateur!CI188*VLOOKUP('Données projet'!$B$12,Paramètres!$A$1:$I$89,3,0)*0.475*44/12</f>
        <v>1.687699045745739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7.7441670341337385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278.21846622758881</v>
      </c>
      <c r="T189" s="59">
        <f t="shared" si="142"/>
        <v>245.37578316242906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20.190324508903611</v>
      </c>
      <c r="AA189" s="21">
        <f>EXP(-LN(2)/25)*AA188+(1-EXP(-LN(2)/25))/(LN(2)/25)*Calculateur!V189*Calculateur!X189*VLOOKUP('Données projet'!$B$9,Paramètres!$A$1:$I$89,3,0)*0.475*44/12</f>
        <v>2.0085489905360601</v>
      </c>
      <c r="AB189" s="21">
        <f>EXP(-LN(2)/2)*AB188+(1-EXP(-LN(2)/2))/(LN(2)/2)*V189*Y189*VLOOKUP('Données projet'!$B$9,Paramètres!$A$1:$I$89,3,0)*0.475*44/12</f>
        <v>1.2959115923816311E-15</v>
      </c>
      <c r="AC189" s="22">
        <f t="shared" si="163"/>
        <v>22.198873499439671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-1.3596945791505279E-13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261.13725557061468</v>
      </c>
      <c r="AO189" s="59">
        <f t="shared" si="144"/>
        <v>328.18986868293558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12.407115473760381</v>
      </c>
      <c r="AV189" s="21">
        <f>EXP(-LN(2)/25)*AV188+(1-EXP(-LN(2)/25))/(LN(2)/25)*Calculateur!AQ189*Calculateur!AS189*VLOOKUP('Données projet'!$B$10,Paramètres!$A$1:$I$89,3,0)*0.475*44/12</f>
        <v>1.2024636788030183</v>
      </c>
      <c r="AW189" s="21">
        <f>EXP(-LN(2)/2)*AW188+(1-EXP(-LN(2)/2))/(LN(2)/2)*AQ189*AT189*VLOOKUP('Données projet'!$B$10,Paramètres!$A$1:$I$89,3,0)*0.475*44/12</f>
        <v>1.0952168789612313E-18</v>
      </c>
      <c r="AX189" s="21">
        <f t="shared" si="166"/>
        <v>13.6095791525634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-4.5474735088646412E-13</v>
      </c>
      <c r="BE189" s="13">
        <f>BD189*VLOOKUP('Données projet'!$B$11,Paramètres!$A$1:$I$89,3,0)*VLOOKUP('Données projet'!$B$11,Paramètres!$A$1:$I$89,5,0)</f>
        <v>-4.6111381379887462E-13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250.31277422753283</v>
      </c>
      <c r="BJ189" s="59">
        <f t="shared" si="146"/>
        <v>159.20429420478047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97.091186864226785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97.091186864226785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243</v>
      </c>
      <c r="BZ189" s="13">
        <f>BY189*VLOOKUP('Données projet'!$B$12,Paramètres!$A$1:$I$89,3,0)*VLOOKUP('Données projet'!$B$12,Paramètres!$A$1:$I$89,5,0)</f>
        <v>253.98360000000002</v>
      </c>
      <c r="CA189" s="13">
        <f t="shared" si="170"/>
        <v>61.438182405444294</v>
      </c>
      <c r="CB189" s="20">
        <f t="shared" si="171"/>
        <v>549.35960435614891</v>
      </c>
      <c r="CC189" s="59">
        <f t="shared" si="119"/>
        <v>842.69293768948228</v>
      </c>
      <c r="CD189" s="59">
        <f ca="1">AVERAGE(OFFSET($CC$3,0,0,'Données projet'!$E$12+1,1))-AVERAGE(OFFSET($H$3,0,0,'Données projet'!$E$12+1,1))</f>
        <v>322.93502595881938</v>
      </c>
      <c r="CE189" s="59">
        <f t="shared" si="148"/>
        <v>302.67072119588164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5.9377043452164235</v>
      </c>
      <c r="CL189" s="21">
        <f>EXP(-LN(2)/25)*CL188+(1-EXP(-LN(2)/25))/(LN(2)/25)*Calculateur!CG189*Calculateur!CI189*VLOOKUP('Données projet'!$B$12,Paramètres!$A$1:$I$89,3,0)*0.475*44/12</f>
        <v>1.6415488265875862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7.5792531718040097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278.21846622758881</v>
      </c>
      <c r="T190" s="59">
        <f t="shared" si="142"/>
        <v>245.37578316242906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19.794404560165969</v>
      </c>
      <c r="AA190" s="21">
        <f>EXP(-LN(2)/25)*AA189+(1-EXP(-LN(2)/25))/(LN(2)/25)*Calculateur!V190*Calculateur!X190*VLOOKUP('Données projet'!$B$9,Paramètres!$A$1:$I$89,3,0)*0.475*44/12</f>
        <v>1.9536251127648507</v>
      </c>
      <c r="AB190" s="21">
        <f>EXP(-LN(2)/2)*AB189+(1-EXP(-LN(2)/2))/(LN(2)/2)*V190*Y190*VLOOKUP('Données projet'!$B$9,Paramètres!$A$1:$I$89,3,0)*0.475*44/12</f>
        <v>9.163478747913084E-16</v>
      </c>
      <c r="AC190" s="22">
        <f t="shared" si="163"/>
        <v>21.748029672930819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-1.3596945791505279E-13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261.13725557061468</v>
      </c>
      <c r="AO190" s="59">
        <f t="shared" si="144"/>
        <v>328.18986868293558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12.163819506913141</v>
      </c>
      <c r="AV190" s="21">
        <f>EXP(-LN(2)/25)*AV189+(1-EXP(-LN(2)/25))/(LN(2)/25)*Calculateur!AQ190*Calculateur!AS190*VLOOKUP('Données projet'!$B$10,Paramètres!$A$1:$I$89,3,0)*0.475*44/12</f>
        <v>1.1695822462713332</v>
      </c>
      <c r="AW190" s="21">
        <f>EXP(-LN(2)/2)*AW189+(1-EXP(-LN(2)/2))/(LN(2)/2)*AQ190*AT190*VLOOKUP('Données projet'!$B$10,Paramètres!$A$1:$I$89,3,0)*0.475*44/12</f>
        <v>7.7443528198345292E-19</v>
      </c>
      <c r="AX190" s="21">
        <f t="shared" si="166"/>
        <v>13.333401753184475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-4.5474735088646412E-13</v>
      </c>
      <c r="BE190" s="13">
        <f>BD190*VLOOKUP('Données projet'!$B$11,Paramètres!$A$1:$I$89,3,0)*VLOOKUP('Données projet'!$B$11,Paramètres!$A$1:$I$89,5,0)</f>
        <v>-4.6111381379887462E-13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250.31277422753283</v>
      </c>
      <c r="BJ190" s="59">
        <f t="shared" si="146"/>
        <v>159.20429420478047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95.187287909595824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95.187287909595824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243</v>
      </c>
      <c r="BZ190" s="13">
        <f>BY190*VLOOKUP('Données projet'!$B$12,Paramètres!$A$1:$I$89,3,0)*VLOOKUP('Données projet'!$B$12,Paramètres!$A$1:$I$89,5,0)</f>
        <v>253.98360000000002</v>
      </c>
      <c r="CA190" s="13">
        <f t="shared" si="170"/>
        <v>61.438182405444294</v>
      </c>
      <c r="CB190" s="20">
        <f t="shared" si="171"/>
        <v>549.35960435614891</v>
      </c>
      <c r="CC190" s="59">
        <f t="shared" si="119"/>
        <v>842.69293768948228</v>
      </c>
      <c r="CD190" s="59">
        <f ca="1">AVERAGE(OFFSET($CC$3,0,0,'Données projet'!$E$12+1,1))-AVERAGE(OFFSET($H$3,0,0,'Données projet'!$E$12+1,1))</f>
        <v>322.93502595881938</v>
      </c>
      <c r="CE190" s="59">
        <f t="shared" si="148"/>
        <v>302.67072119588164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5.821269584648773</v>
      </c>
      <c r="CL190" s="21">
        <f>EXP(-LN(2)/25)*CL189+(1-EXP(-LN(2)/25))/(LN(2)/25)*Calculateur!CG190*Calculateur!CI190*VLOOKUP('Données projet'!$B$12,Paramètres!$A$1:$I$89,3,0)*0.475*44/12</f>
        <v>1.5966605875992477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7.4179301722480204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278.21846622758881</v>
      </c>
      <c r="T191" s="59">
        <f t="shared" si="142"/>
        <v>245.37578316242906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19.406248360135748</v>
      </c>
      <c r="AA191" s="21">
        <f>EXP(-LN(2)/25)*AA190+(1-EXP(-LN(2)/25))/(LN(2)/25)*Calculateur!V191*Calculateur!X191*VLOOKUP('Données projet'!$B$9,Paramètres!$A$1:$I$89,3,0)*0.475*44/12</f>
        <v>1.9002031313196164</v>
      </c>
      <c r="AB191" s="21">
        <f>EXP(-LN(2)/2)*AB190+(1-EXP(-LN(2)/2))/(LN(2)/2)*V191*Y191*VLOOKUP('Données projet'!$B$9,Paramètres!$A$1:$I$89,3,0)*0.475*44/12</f>
        <v>6.4795579619081556E-16</v>
      </c>
      <c r="AC191" s="22">
        <f t="shared" si="163"/>
        <v>21.306451491455366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-1.3596945791505279E-13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261.13725557061468</v>
      </c>
      <c r="AO191" s="59">
        <f t="shared" si="144"/>
        <v>328.18986868293558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11.925294425579889</v>
      </c>
      <c r="AV191" s="21">
        <f>EXP(-LN(2)/25)*AV190+(1-EXP(-LN(2)/25))/(LN(2)/25)*Calculateur!AQ191*Calculateur!AS191*VLOOKUP('Données projet'!$B$10,Paramètres!$A$1:$I$89,3,0)*0.475*44/12</f>
        <v>1.1375999582413865</v>
      </c>
      <c r="AW191" s="21">
        <f>EXP(-LN(2)/2)*AW190+(1-EXP(-LN(2)/2))/(LN(2)/2)*AQ191*AT191*VLOOKUP('Données projet'!$B$10,Paramètres!$A$1:$I$89,3,0)*0.475*44/12</f>
        <v>5.4760843948061567E-19</v>
      </c>
      <c r="AX191" s="21">
        <f t="shared" si="166"/>
        <v>13.062894383821275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-4.5474735088646412E-13</v>
      </c>
      <c r="BE191" s="13">
        <f>BD191*VLOOKUP('Données projet'!$B$11,Paramètres!$A$1:$I$89,3,0)*VLOOKUP('Données projet'!$B$11,Paramètres!$A$1:$I$89,5,0)</f>
        <v>-4.6111381379887462E-13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250.31277422753283</v>
      </c>
      <c r="BJ191" s="59">
        <f t="shared" si="146"/>
        <v>159.20429420478047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93.320723252201475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93.320723252201475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243</v>
      </c>
      <c r="BZ191" s="13">
        <f>BY191*VLOOKUP('Données projet'!$B$12,Paramètres!$A$1:$I$89,3,0)*VLOOKUP('Données projet'!$B$12,Paramètres!$A$1:$I$89,5,0)</f>
        <v>253.98360000000002</v>
      </c>
      <c r="CA191" s="13">
        <f t="shared" si="170"/>
        <v>61.438182405444294</v>
      </c>
      <c r="CB191" s="20">
        <f t="shared" si="171"/>
        <v>549.35960435614891</v>
      </c>
      <c r="CC191" s="59">
        <f t="shared" si="119"/>
        <v>842.69293768948228</v>
      </c>
      <c r="CD191" s="59">
        <f ca="1">AVERAGE(OFFSET($CC$3,0,0,'Données projet'!$E$12+1,1))-AVERAGE(OFFSET($H$3,0,0,'Données projet'!$E$12+1,1))</f>
        <v>322.93502595881938</v>
      </c>
      <c r="CE191" s="59">
        <f t="shared" si="148"/>
        <v>302.67072119588164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5.7071180387176623</v>
      </c>
      <c r="CL191" s="21">
        <f>EXP(-LN(2)/25)*CL190+(1-EXP(-LN(2)/25))/(LN(2)/25)*Calculateur!CG191*Calculateur!CI191*VLOOKUP('Données projet'!$B$12,Paramètres!$A$1:$I$89,3,0)*0.475*44/12</f>
        <v>1.5529998198666151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7.2601178585842776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278.21846622758881</v>
      </c>
      <c r="T192" s="59">
        <f t="shared" si="142"/>
        <v>245.37578316242906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19.025703666436215</v>
      </c>
      <c r="AA192" s="21">
        <f>EXP(-LN(2)/25)*AA191+(1-EXP(-LN(2)/25))/(LN(2)/25)*Calculateur!V192*Calculateur!X192*VLOOKUP('Données projet'!$B$9,Paramètres!$A$1:$I$89,3,0)*0.475*44/12</f>
        <v>1.8482419767663418</v>
      </c>
      <c r="AB192" s="21">
        <f>EXP(-LN(2)/2)*AB191+(1-EXP(-LN(2)/2))/(LN(2)/2)*V192*Y192*VLOOKUP('Données projet'!$B$9,Paramètres!$A$1:$I$89,3,0)*0.475*44/12</f>
        <v>4.581739373956542E-16</v>
      </c>
      <c r="AC192" s="22">
        <f t="shared" si="163"/>
        <v>20.873945643202557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-1.3596945791505279E-13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261.13725557061468</v>
      </c>
      <c r="AO192" s="59">
        <f t="shared" si="144"/>
        <v>328.18986868293558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11.691446675605647</v>
      </c>
      <c r="AV192" s="21">
        <f>EXP(-LN(2)/25)*AV191+(1-EXP(-LN(2)/25))/(LN(2)/25)*Calculateur!AQ192*Calculateur!AS192*VLOOKUP('Données projet'!$B$10,Paramètres!$A$1:$I$89,3,0)*0.475*44/12</f>
        <v>1.1064922275594939</v>
      </c>
      <c r="AW192" s="21">
        <f>EXP(-LN(2)/2)*AW191+(1-EXP(-LN(2)/2))/(LN(2)/2)*AQ192*AT192*VLOOKUP('Données projet'!$B$10,Paramètres!$A$1:$I$89,3,0)*0.475*44/12</f>
        <v>3.8721764099172646E-19</v>
      </c>
      <c r="AX192" s="21">
        <f t="shared" si="166"/>
        <v>12.797938903165141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-4.5474735088646412E-13</v>
      </c>
      <c r="BE192" s="13">
        <f>BD192*VLOOKUP('Données projet'!$B$11,Paramètres!$A$1:$I$89,3,0)*VLOOKUP('Données projet'!$B$11,Paramètres!$A$1:$I$89,5,0)</f>
        <v>-4.6111381379887462E-13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250.31277422753283</v>
      </c>
      <c r="BJ192" s="59">
        <f t="shared" si="146"/>
        <v>159.20429420478047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91.490760789246607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91.490760789246607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243</v>
      </c>
      <c r="BZ192" s="13">
        <f>BY192*VLOOKUP('Données projet'!$B$12,Paramètres!$A$1:$I$89,3,0)*VLOOKUP('Données projet'!$B$12,Paramètres!$A$1:$I$89,5,0)</f>
        <v>253.98360000000002</v>
      </c>
      <c r="CA192" s="13">
        <f t="shared" si="170"/>
        <v>61.438182405444294</v>
      </c>
      <c r="CB192" s="20">
        <f t="shared" si="171"/>
        <v>549.35960435614891</v>
      </c>
      <c r="CC192" s="59">
        <f t="shared" si="119"/>
        <v>842.69293768948228</v>
      </c>
      <c r="CD192" s="59">
        <f ca="1">AVERAGE(OFFSET($CC$3,0,0,'Données projet'!$E$12+1,1))-AVERAGE(OFFSET($H$3,0,0,'Données projet'!$E$12+1,1))</f>
        <v>322.93502595881938</v>
      </c>
      <c r="CE192" s="59">
        <f t="shared" si="148"/>
        <v>302.67072119588164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5.5952049349766924</v>
      </c>
      <c r="CL192" s="21">
        <f>EXP(-LN(2)/25)*CL191+(1-EXP(-LN(2)/25))/(LN(2)/25)*Calculateur!CG192*Calculateur!CI192*VLOOKUP('Données projet'!$B$12,Paramètres!$A$1:$I$89,3,0)*0.475*44/12</f>
        <v>1.5105329581236513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7.1057378931003434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278.21846622758881</v>
      </c>
      <c r="T193" s="59">
        <f t="shared" si="142"/>
        <v>245.37578316242906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18.652621222070785</v>
      </c>
      <c r="AA193" s="21">
        <f>EXP(-LN(2)/25)*AA192+(1-EXP(-LN(2)/25))/(LN(2)/25)*Calculateur!V193*Calculateur!X193*VLOOKUP('Données projet'!$B$9,Paramètres!$A$1:$I$89,3,0)*0.475*44/12</f>
        <v>1.7977017027168449</v>
      </c>
      <c r="AB193" s="21">
        <f>EXP(-LN(2)/2)*AB192+(1-EXP(-LN(2)/2))/(LN(2)/2)*V193*Y193*VLOOKUP('Données projet'!$B$9,Paramètres!$A$1:$I$89,3,0)*0.475*44/12</f>
        <v>3.2397789809540778E-16</v>
      </c>
      <c r="AC193" s="22">
        <f t="shared" si="163"/>
        <v>20.450322924787631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-1.3596945791505279E-13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261.13725557061468</v>
      </c>
      <c r="AO193" s="59">
        <f t="shared" si="144"/>
        <v>328.18986868293558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11.462184537375357</v>
      </c>
      <c r="AV193" s="21">
        <f>EXP(-LN(2)/25)*AV192+(1-EXP(-LN(2)/25))/(LN(2)/25)*Calculateur!AQ193*Calculateur!AS193*VLOOKUP('Données projet'!$B$10,Paramètres!$A$1:$I$89,3,0)*0.475*44/12</f>
        <v>1.0762351394089822</v>
      </c>
      <c r="AW193" s="21">
        <f>EXP(-LN(2)/2)*AW192+(1-EXP(-LN(2)/2))/(LN(2)/2)*AQ193*AT193*VLOOKUP('Données projet'!$B$10,Paramètres!$A$1:$I$89,3,0)*0.475*44/12</f>
        <v>2.7380421974030783E-19</v>
      </c>
      <c r="AX193" s="21">
        <f t="shared" si="166"/>
        <v>12.53841967678434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-4.5474735088646412E-13</v>
      </c>
      <c r="BE193" s="13">
        <f>BD193*VLOOKUP('Données projet'!$B$11,Paramètres!$A$1:$I$89,3,0)*VLOOKUP('Données projet'!$B$11,Paramètres!$A$1:$I$89,5,0)</f>
        <v>-4.6111381379887462E-13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250.31277422753283</v>
      </c>
      <c r="BJ193" s="59">
        <f t="shared" si="146"/>
        <v>159.20429420478047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89.696682774023387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89.696682774023387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243</v>
      </c>
      <c r="BZ193" s="13">
        <f>BY193*VLOOKUP('Données projet'!$B$12,Paramètres!$A$1:$I$89,3,0)*VLOOKUP('Données projet'!$B$12,Paramètres!$A$1:$I$89,5,0)</f>
        <v>253.98360000000002</v>
      </c>
      <c r="CA193" s="13">
        <f t="shared" si="170"/>
        <v>61.438182405444294</v>
      </c>
      <c r="CB193" s="20">
        <f t="shared" si="171"/>
        <v>549.35960435614891</v>
      </c>
      <c r="CC193" s="59">
        <f t="shared" si="119"/>
        <v>842.69293768948228</v>
      </c>
      <c r="CD193" s="59">
        <f ca="1">AVERAGE(OFFSET($CC$3,0,0,'Données projet'!$E$12+1,1))-AVERAGE(OFFSET($H$3,0,0,'Données projet'!$E$12+1,1))</f>
        <v>322.93502595881938</v>
      </c>
      <c r="CE193" s="59">
        <f t="shared" si="148"/>
        <v>302.67072119588164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5.4854863789398296</v>
      </c>
      <c r="CL193" s="21">
        <f>EXP(-LN(2)/25)*CL192+(1-EXP(-LN(2)/25))/(LN(2)/25)*Calculateur!CG193*Calculateur!CI193*VLOOKUP('Données projet'!$B$12,Paramètres!$A$1:$I$89,3,0)*0.475*44/12</f>
        <v>1.4692273549482842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6.9547137338881138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278.21846622758881</v>
      </c>
      <c r="T194" s="59">
        <f t="shared" si="142"/>
        <v>245.37578316242906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18.286854696881541</v>
      </c>
      <c r="AA194" s="21">
        <f>EXP(-LN(2)/25)*AA193+(1-EXP(-LN(2)/25))/(LN(2)/25)*Calculateur!V194*Calculateur!X194*VLOOKUP('Données projet'!$B$9,Paramètres!$A$1:$I$89,3,0)*0.475*44/12</f>
        <v>1.7485434551190289</v>
      </c>
      <c r="AB194" s="21">
        <f>EXP(-LN(2)/2)*AB193+(1-EXP(-LN(2)/2))/(LN(2)/2)*V194*Y194*VLOOKUP('Données projet'!$B$9,Paramètres!$A$1:$I$89,3,0)*0.475*44/12</f>
        <v>2.290869686978271E-16</v>
      </c>
      <c r="AC194" s="22">
        <f t="shared" si="163"/>
        <v>20.035398152000571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-1.3596945791505279E-13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261.13725557061468</v>
      </c>
      <c r="AO194" s="59">
        <f t="shared" si="144"/>
        <v>328.18986868293558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11.237418089839666</v>
      </c>
      <c r="AV194" s="21">
        <f>EXP(-LN(2)/25)*AV193+(1-EXP(-LN(2)/25))/(LN(2)/25)*Calculateur!AQ194*Calculateur!AS194*VLOOKUP('Données projet'!$B$10,Paramètres!$A$1:$I$89,3,0)*0.475*44/12</f>
        <v>1.0468054329250973</v>
      </c>
      <c r="AW194" s="21">
        <f>EXP(-LN(2)/2)*AW193+(1-EXP(-LN(2)/2))/(LN(2)/2)*AQ194*AT194*VLOOKUP('Données projet'!$B$10,Paramètres!$A$1:$I$89,3,0)*0.475*44/12</f>
        <v>1.9360882049586323E-19</v>
      </c>
      <c r="AX194" s="21">
        <f t="shared" si="166"/>
        <v>12.284223522764764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-4.5474735088646412E-13</v>
      </c>
      <c r="BE194" s="13">
        <f>BD194*VLOOKUP('Données projet'!$B$11,Paramètres!$A$1:$I$89,3,0)*VLOOKUP('Données projet'!$B$11,Paramètres!$A$1:$I$89,5,0)</f>
        <v>-4.6111381379887462E-13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250.31277422753283</v>
      </c>
      <c r="BJ194" s="59">
        <f t="shared" si="146"/>
        <v>159.20429420478047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87.937785534399154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87.937785534399154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243</v>
      </c>
      <c r="BZ194" s="13">
        <f>BY194*VLOOKUP('Données projet'!$B$12,Paramètres!$A$1:$I$89,3,0)*VLOOKUP('Données projet'!$B$12,Paramètres!$A$1:$I$89,5,0)</f>
        <v>253.98360000000002</v>
      </c>
      <c r="CA194" s="13">
        <f t="shared" si="170"/>
        <v>61.438182405444294</v>
      </c>
      <c r="CB194" s="20">
        <f t="shared" si="171"/>
        <v>549.35960435614891</v>
      </c>
      <c r="CC194" s="59">
        <f t="shared" si="119"/>
        <v>842.69293768948228</v>
      </c>
      <c r="CD194" s="59">
        <f ca="1">AVERAGE(OFFSET($CC$3,0,0,'Données projet'!$E$12+1,1))-AVERAGE(OFFSET($H$3,0,0,'Données projet'!$E$12+1,1))</f>
        <v>322.93502595881938</v>
      </c>
      <c r="CE194" s="59">
        <f t="shared" si="148"/>
        <v>302.67072119588164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5.3779193368651388</v>
      </c>
      <c r="CL194" s="21">
        <f>EXP(-LN(2)/25)*CL193+(1-EXP(-LN(2)/25))/(LN(2)/25)*Calculateur!CG194*Calculateur!CI194*VLOOKUP('Données projet'!$B$12,Paramètres!$A$1:$I$89,3,0)*0.475*44/12</f>
        <v>1.4290512556639148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6.8069705925290531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278.21846622758881</v>
      </c>
      <c r="T195" s="59">
        <f t="shared" si="142"/>
        <v>245.37578316242906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17.928260630155705</v>
      </c>
      <c r="AA195" s="21">
        <f>EXP(-LN(2)/25)*AA194+(1-EXP(-LN(2)/25))/(LN(2)/25)*Calculateur!V195*Calculateur!X195*VLOOKUP('Données projet'!$B$9,Paramètres!$A$1:$I$89,3,0)*0.475*44/12</f>
        <v>1.7007294423868951</v>
      </c>
      <c r="AB195" s="21">
        <f>EXP(-LN(2)/2)*AB194+(1-EXP(-LN(2)/2))/(LN(2)/2)*V195*Y195*VLOOKUP('Données projet'!$B$9,Paramètres!$A$1:$I$89,3,0)*0.475*44/12</f>
        <v>1.6198894904770389E-16</v>
      </c>
      <c r="AC195" s="22">
        <f t="shared" si="163"/>
        <v>19.628990072542599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-1.3596945791505279E-13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261.13725557061468</v>
      </c>
      <c r="AO195" s="59">
        <f t="shared" si="144"/>
        <v>328.18986868293558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11.017059175246155</v>
      </c>
      <c r="AV195" s="21">
        <f>EXP(-LN(2)/25)*AV194+(1-EXP(-LN(2)/25))/(LN(2)/25)*Calculateur!AQ195*Calculateur!AS195*VLOOKUP('Données projet'!$B$10,Paramètres!$A$1:$I$89,3,0)*0.475*44/12</f>
        <v>1.0181804833126553</v>
      </c>
      <c r="AW195" s="21">
        <f>EXP(-LN(2)/2)*AW194+(1-EXP(-LN(2)/2))/(LN(2)/2)*AQ195*AT195*VLOOKUP('Données projet'!$B$10,Paramètres!$A$1:$I$89,3,0)*0.475*44/12</f>
        <v>1.3690210987015392E-19</v>
      </c>
      <c r="AX195" s="21">
        <f t="shared" si="166"/>
        <v>12.03523965855881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-4.5474735088646412E-13</v>
      </c>
      <c r="BE195" s="13">
        <f>BD195*VLOOKUP('Données projet'!$B$11,Paramètres!$A$1:$I$89,3,0)*VLOOKUP('Données projet'!$B$11,Paramètres!$A$1:$I$89,5,0)</f>
        <v>-4.6111381379887462E-13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250.31277422753283</v>
      </c>
      <c r="BJ195" s="59">
        <f t="shared" si="146"/>
        <v>159.20429420478047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86.213379196822572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86.213379196822572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243</v>
      </c>
      <c r="BZ195" s="13">
        <f>BY195*VLOOKUP('Données projet'!$B$12,Paramètres!$A$1:$I$89,3,0)*VLOOKUP('Données projet'!$B$12,Paramètres!$A$1:$I$89,5,0)</f>
        <v>253.98360000000002</v>
      </c>
      <c r="CA195" s="13">
        <f t="shared" si="170"/>
        <v>61.438182405444294</v>
      </c>
      <c r="CB195" s="20">
        <f t="shared" si="171"/>
        <v>549.35960435614891</v>
      </c>
      <c r="CC195" s="59">
        <f t="shared" si="119"/>
        <v>842.69293768948228</v>
      </c>
      <c r="CD195" s="59">
        <f ca="1">AVERAGE(OFFSET($CC$3,0,0,'Données projet'!$E$12+1,1))-AVERAGE(OFFSET($H$3,0,0,'Données projet'!$E$12+1,1))</f>
        <v>322.93502595881938</v>
      </c>
      <c r="CE195" s="59">
        <f t="shared" si="148"/>
        <v>302.67072119588164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5.2724616188761155</v>
      </c>
      <c r="CL195" s="21">
        <f>EXP(-LN(2)/25)*CL194+(1-EXP(-LN(2)/25))/(LN(2)/25)*Calculateur!CG195*Calculateur!CI195*VLOOKUP('Données projet'!$B$12,Paramètres!$A$1:$I$89,3,0)*0.475*44/12</f>
        <v>1.3899737739272455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6.6624353928033608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278.21846622758881</v>
      </c>
      <c r="T196" s="59">
        <f t="shared" si="142"/>
        <v>245.37578316242906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17.57669837435758</v>
      </c>
      <c r="AA196" s="21">
        <f>EXP(-LN(2)/25)*AA195+(1-EXP(-LN(2)/25))/(LN(2)/25)*Calculateur!V196*Calculateur!X196*VLOOKUP('Données projet'!$B$9,Paramètres!$A$1:$I$89,3,0)*0.475*44/12</f>
        <v>1.654222906347351</v>
      </c>
      <c r="AB196" s="21">
        <f>EXP(-LN(2)/2)*AB195+(1-EXP(-LN(2)/2))/(LN(2)/2)*V196*Y196*VLOOKUP('Données projet'!$B$9,Paramètres!$A$1:$I$89,3,0)*0.475*44/12</f>
        <v>1.1454348434891355E-16</v>
      </c>
      <c r="AC196" s="22">
        <f t="shared" si="163"/>
        <v>19.23092128070493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-1.3596945791505279E-13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261.13725557061468</v>
      </c>
      <c r="AO196" s="59">
        <f t="shared" si="144"/>
        <v>328.18986868293558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10.801021364562155</v>
      </c>
      <c r="AV196" s="21">
        <f>EXP(-LN(2)/25)*AV195+(1-EXP(-LN(2)/25))/(LN(2)/25)*Calculateur!AQ196*Calculateur!AS196*VLOOKUP('Données projet'!$B$10,Paramètres!$A$1:$I$89,3,0)*0.475*44/12</f>
        <v>0.99033828445268623</v>
      </c>
      <c r="AW196" s="21">
        <f>EXP(-LN(2)/2)*AW195+(1-EXP(-LN(2)/2))/(LN(2)/2)*AQ196*AT196*VLOOKUP('Données projet'!$B$10,Paramètres!$A$1:$I$89,3,0)*0.475*44/12</f>
        <v>9.6804410247931615E-20</v>
      </c>
      <c r="AX196" s="21">
        <f t="shared" si="166"/>
        <v>11.791359649014842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-4.5474735088646412E-13</v>
      </c>
      <c r="BE196" s="13">
        <f>BD196*VLOOKUP('Données projet'!$B$11,Paramètres!$A$1:$I$89,3,0)*VLOOKUP('Données projet'!$B$11,Paramètres!$A$1:$I$89,5,0)</f>
        <v>-4.6111381379887462E-13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250.31277422753283</v>
      </c>
      <c r="BJ196" s="59">
        <f t="shared" si="146"/>
        <v>159.20429420478047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84.52278741574186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84.52278741574186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243</v>
      </c>
      <c r="BZ196" s="13">
        <f>BY196*VLOOKUP('Données projet'!$B$12,Paramètres!$A$1:$I$89,3,0)*VLOOKUP('Données projet'!$B$12,Paramètres!$A$1:$I$89,5,0)</f>
        <v>253.98360000000002</v>
      </c>
      <c r="CA196" s="13">
        <f t="shared" si="170"/>
        <v>61.438182405444294</v>
      </c>
      <c r="CB196" s="20">
        <f t="shared" si="171"/>
        <v>549.35960435614891</v>
      </c>
      <c r="CC196" s="59">
        <f t="shared" ref="CC196:CC203" si="195">CB196+(BT196+BU196)*44/12</f>
        <v>842.69293768948228</v>
      </c>
      <c r="CD196" s="59">
        <f ca="1">AVERAGE(OFFSET($CC$3,0,0,'Données projet'!$E$12+1,1))-AVERAGE(OFFSET($H$3,0,0,'Données projet'!$E$12+1,1))</f>
        <v>322.93502595881938</v>
      </c>
      <c r="CE196" s="59">
        <f t="shared" si="148"/>
        <v>302.67072119588164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5.1690718624140004</v>
      </c>
      <c r="CL196" s="21">
        <f>EXP(-LN(2)/25)*CL195+(1-EXP(-LN(2)/25))/(LN(2)/25)*Calculateur!CG196*Calculateur!CI196*VLOOKUP('Données projet'!$B$12,Paramètres!$A$1:$I$89,3,0)*0.475*44/12</f>
        <v>1.3519648679836611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6.5210367303976611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278.21846622758881</v>
      </c>
      <c r="T197" s="59">
        <f t="shared" ref="T197:T203" si="204">$T$3</f>
        <v>245.37578316242906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17.232030039963853</v>
      </c>
      <c r="AA197" s="21">
        <f>EXP(-LN(2)/25)*AA196+(1-EXP(-LN(2)/25))/(LN(2)/25)*Calculateur!V197*Calculateur!X197*VLOOKUP('Données projet'!$B$9,Paramètres!$A$1:$I$89,3,0)*0.475*44/12</f>
        <v>1.6089880939814809</v>
      </c>
      <c r="AB197" s="21">
        <f>EXP(-LN(2)/2)*AB196+(1-EXP(-LN(2)/2))/(LN(2)/2)*V197*Y197*VLOOKUP('Données projet'!$B$9,Paramètres!$A$1:$I$89,3,0)*0.475*44/12</f>
        <v>8.0994474523851945E-17</v>
      </c>
      <c r="AC197" s="22">
        <f t="shared" si="163"/>
        <v>18.841018133945333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-1.3596945791505279E-13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261.13725557061468</v>
      </c>
      <c r="AO197" s="59">
        <f t="shared" ref="AO197:AO203" si="205">$AO$3</f>
        <v>328.18986868293558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10.589219923575616</v>
      </c>
      <c r="AV197" s="21">
        <f>EXP(-LN(2)/25)*AV196+(1-EXP(-LN(2)/25))/(LN(2)/25)*Calculateur!AQ197*Calculateur!AS197*VLOOKUP('Données projet'!$B$10,Paramètres!$A$1:$I$89,3,0)*0.475*44/12</f>
        <v>0.9632574319847006</v>
      </c>
      <c r="AW197" s="21">
        <f>EXP(-LN(2)/2)*AW196+(1-EXP(-LN(2)/2))/(LN(2)/2)*AQ197*AT197*VLOOKUP('Données projet'!$B$10,Paramètres!$A$1:$I$89,3,0)*0.475*44/12</f>
        <v>6.8451054935076958E-20</v>
      </c>
      <c r="AX197" s="21">
        <f t="shared" si="166"/>
        <v>11.552477355560317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-4.5474735088646412E-13</v>
      </c>
      <c r="BE197" s="13">
        <f>BD197*VLOOKUP('Données projet'!$B$11,Paramètres!$A$1:$I$89,3,0)*VLOOKUP('Données projet'!$B$11,Paramètres!$A$1:$I$89,5,0)</f>
        <v>-4.6111381379887462E-13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250.31277422753283</v>
      </c>
      <c r="BJ197" s="59">
        <f t="shared" ref="BJ197:BJ203" si="206">$BJ$3</f>
        <v>159.20429420478047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82.865347108328976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82.865347108328976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243</v>
      </c>
      <c r="BZ197" s="13">
        <f>BY197*VLOOKUP('Données projet'!$B$12,Paramètres!$A$1:$I$89,3,0)*VLOOKUP('Données projet'!$B$12,Paramètres!$A$1:$I$89,5,0)</f>
        <v>253.98360000000002</v>
      </c>
      <c r="CA197" s="13">
        <f t="shared" si="170"/>
        <v>61.438182405444294</v>
      </c>
      <c r="CB197" s="20">
        <f t="shared" si="171"/>
        <v>549.35960435614891</v>
      </c>
      <c r="CC197" s="59">
        <f t="shared" si="195"/>
        <v>842.69293768948228</v>
      </c>
      <c r="CD197" s="59">
        <f ca="1">AVERAGE(OFFSET($CC$3,0,0,'Données projet'!$E$12+1,1))-AVERAGE(OFFSET($H$3,0,0,'Données projet'!$E$12+1,1))</f>
        <v>322.93502595881938</v>
      </c>
      <c r="CE197" s="59">
        <f t="shared" ref="CE197:CE203" si="207">$CE$3</f>
        <v>302.67072119588164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5.0677095160145829</v>
      </c>
      <c r="CL197" s="21">
        <f>EXP(-LN(2)/25)*CL196+(1-EXP(-LN(2)/25))/(LN(2)/25)*Calculateur!CG197*Calculateur!CI197*VLOOKUP('Données projet'!$B$12,Paramètres!$A$1:$I$89,3,0)*0.475*44/12</f>
        <v>1.3149953175719054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6.3827048335864882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278.21846622758881</v>
      </c>
      <c r="T198" s="59">
        <f t="shared" si="204"/>
        <v>245.37578316242906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16.894120441380661</v>
      </c>
      <c r="AA198" s="21">
        <f>EXP(-LN(2)/25)*AA197+(1-EXP(-LN(2)/25))/(LN(2)/25)*Calculateur!V198*Calculateur!X198*VLOOKUP('Données projet'!$B$9,Paramètres!$A$1:$I$89,3,0)*0.475*44/12</f>
        <v>1.5649902299385507</v>
      </c>
      <c r="AB198" s="21">
        <f>EXP(-LN(2)/2)*AB197+(1-EXP(-LN(2)/2))/(LN(2)/2)*V198*Y198*VLOOKUP('Données projet'!$B$9,Paramètres!$A$1:$I$89,3,0)*0.475*44/12</f>
        <v>5.7271742174456775E-17</v>
      </c>
      <c r="AC198" s="22">
        <f t="shared" si="163"/>
        <v>18.459110671319213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-1.3596945791505279E-13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261.13725557061468</v>
      </c>
      <c r="AO198" s="59">
        <f t="shared" si="205"/>
        <v>328.18986868293558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10.3815717796607</v>
      </c>
      <c r="AV198" s="21">
        <f>EXP(-LN(2)/25)*AV197+(1-EXP(-LN(2)/25))/(LN(2)/25)*Calculateur!AQ198*Calculateur!AS198*VLOOKUP('Données projet'!$B$10,Paramètres!$A$1:$I$89,3,0)*0.475*44/12</f>
        <v>0.93691710685157215</v>
      </c>
      <c r="AW198" s="21">
        <f>EXP(-LN(2)/2)*AW197+(1-EXP(-LN(2)/2))/(LN(2)/2)*AQ198*AT198*VLOOKUP('Données projet'!$B$10,Paramètres!$A$1:$I$89,3,0)*0.475*44/12</f>
        <v>4.8402205123965808E-20</v>
      </c>
      <c r="AX198" s="21">
        <f t="shared" si="166"/>
        <v>11.318488886512272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-4.5474735088646412E-13</v>
      </c>
      <c r="BE198" s="13">
        <f>BD198*VLOOKUP('Données projet'!$B$11,Paramètres!$A$1:$I$89,3,0)*VLOOKUP('Données projet'!$B$11,Paramètres!$A$1:$I$89,5,0)</f>
        <v>-4.6111381379887462E-13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250.31277422753283</v>
      </c>
      <c r="BJ198" s="59">
        <f t="shared" si="206"/>
        <v>159.20429420478047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81.240408194405688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81.240408194405688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243</v>
      </c>
      <c r="BZ198" s="13">
        <f>BY198*VLOOKUP('Données projet'!$B$12,Paramètres!$A$1:$I$89,3,0)*VLOOKUP('Données projet'!$B$12,Paramètres!$A$1:$I$89,5,0)</f>
        <v>253.98360000000002</v>
      </c>
      <c r="CA198" s="13">
        <f t="shared" si="170"/>
        <v>61.438182405444294</v>
      </c>
      <c r="CB198" s="20">
        <f t="shared" si="171"/>
        <v>549.35960435614891</v>
      </c>
      <c r="CC198" s="59">
        <f t="shared" si="195"/>
        <v>842.69293768948228</v>
      </c>
      <c r="CD198" s="59">
        <f ca="1">AVERAGE(OFFSET($CC$3,0,0,'Données projet'!$E$12+1,1))-AVERAGE(OFFSET($H$3,0,0,'Données projet'!$E$12+1,1))</f>
        <v>322.93502595881938</v>
      </c>
      <c r="CE198" s="59">
        <f t="shared" si="207"/>
        <v>302.67072119588164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4.968334823403131</v>
      </c>
      <c r="CL198" s="21">
        <f>EXP(-LN(2)/25)*CL197+(1-EXP(-LN(2)/25))/(LN(2)/25)*Calculateur!CG198*Calculateur!CI198*VLOOKUP('Données projet'!$B$12,Paramètres!$A$1:$I$89,3,0)*0.475*44/12</f>
        <v>1.2790367014603032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6.2473715248634338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278.21846622758881</v>
      </c>
      <c r="T199" s="59">
        <f t="shared" si="204"/>
        <v>245.37578316242906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16.562837043921181</v>
      </c>
      <c r="AA199" s="21">
        <f>EXP(-LN(2)/25)*AA198+(1-EXP(-LN(2)/25))/(LN(2)/25)*Calculateur!V199*Calculateur!X199*VLOOKUP('Données projet'!$B$9,Paramètres!$A$1:$I$89,3,0)*0.475*44/12</f>
        <v>1.5221954898016217</v>
      </c>
      <c r="AB199" s="21">
        <f>EXP(-LN(2)/2)*AB198+(1-EXP(-LN(2)/2))/(LN(2)/2)*V199*Y199*VLOOKUP('Données projet'!$B$9,Paramètres!$A$1:$I$89,3,0)*0.475*44/12</f>
        <v>4.0497237261925973E-17</v>
      </c>
      <c r="AC199" s="22">
        <f t="shared" si="163"/>
        <v>18.085032533722803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-1.3596945791505279E-13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261.13725557061468</v>
      </c>
      <c r="AO199" s="59">
        <f t="shared" si="205"/>
        <v>328.18986868293558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10.177995489195093</v>
      </c>
      <c r="AV199" s="21">
        <f>EXP(-LN(2)/25)*AV198+(1-EXP(-LN(2)/25))/(LN(2)/25)*Calculateur!AQ199*Calculateur!AS199*VLOOKUP('Données projet'!$B$10,Paramètres!$A$1:$I$89,3,0)*0.475*44/12</f>
        <v>0.91129705929438665</v>
      </c>
      <c r="AW199" s="21">
        <f>EXP(-LN(2)/2)*AW198+(1-EXP(-LN(2)/2))/(LN(2)/2)*AQ199*AT199*VLOOKUP('Données projet'!$B$10,Paramètres!$A$1:$I$89,3,0)*0.475*44/12</f>
        <v>3.4225527467538479E-20</v>
      </c>
      <c r="AX199" s="21">
        <f t="shared" si="166"/>
        <v>11.08929254848948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-4.5474735088646412E-13</v>
      </c>
      <c r="BE199" s="13">
        <f>BD199*VLOOKUP('Données projet'!$B$11,Paramètres!$A$1:$I$89,3,0)*VLOOKUP('Données projet'!$B$11,Paramètres!$A$1:$I$89,5,0)</f>
        <v>-4.6111381379887462E-13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250.31277422753283</v>
      </c>
      <c r="BJ199" s="59">
        <f t="shared" si="206"/>
        <v>159.20429420478047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79.647333341469562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79.647333341469562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243</v>
      </c>
      <c r="BZ199" s="13">
        <f>BY199*VLOOKUP('Données projet'!$B$12,Paramètres!$A$1:$I$89,3,0)*VLOOKUP('Données projet'!$B$12,Paramètres!$A$1:$I$89,5,0)</f>
        <v>253.98360000000002</v>
      </c>
      <c r="CA199" s="13">
        <f t="shared" si="170"/>
        <v>61.438182405444294</v>
      </c>
      <c r="CB199" s="20">
        <f t="shared" si="171"/>
        <v>549.35960435614891</v>
      </c>
      <c r="CC199" s="59">
        <f t="shared" si="195"/>
        <v>842.69293768948228</v>
      </c>
      <c r="CD199" s="59">
        <f ca="1">AVERAGE(OFFSET($CC$3,0,0,'Données projet'!$E$12+1,1))-AVERAGE(OFFSET($H$3,0,0,'Données projet'!$E$12+1,1))</f>
        <v>322.93502595881938</v>
      </c>
      <c r="CE199" s="59">
        <f t="shared" si="207"/>
        <v>302.67072119588164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4.8709088079012126</v>
      </c>
      <c r="CL199" s="21">
        <f>EXP(-LN(2)/25)*CL198+(1-EXP(-LN(2)/25))/(LN(2)/25)*Calculateur!CG199*Calculateur!CI199*VLOOKUP('Données projet'!$B$12,Paramètres!$A$1:$I$89,3,0)*0.475*44/12</f>
        <v>1.2440613755972545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6.1149701834984675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278.21846622758881</v>
      </c>
      <c r="T200" s="59">
        <f t="shared" si="204"/>
        <v>245.37578316242906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16.238049911822962</v>
      </c>
      <c r="AA200" s="21">
        <f>EXP(-LN(2)/25)*AA199+(1-EXP(-LN(2)/25))/(LN(2)/25)*Calculateur!V200*Calculateur!X200*VLOOKUP('Données projet'!$B$9,Paramètres!$A$1:$I$89,3,0)*0.475*44/12</f>
        <v>1.4805709740842146</v>
      </c>
      <c r="AB200" s="21">
        <f>EXP(-LN(2)/2)*AB199+(1-EXP(-LN(2)/2))/(LN(2)/2)*V200*Y200*VLOOKUP('Données projet'!$B$9,Paramètres!$A$1:$I$89,3,0)*0.475*44/12</f>
        <v>2.8635871087228388E-17</v>
      </c>
      <c r="AC200" s="22">
        <f t="shared" si="163"/>
        <v>17.718620885907178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-1.3596945791505279E-13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261.13725557061468</v>
      </c>
      <c r="AO200" s="59">
        <f t="shared" si="205"/>
        <v>328.18986868293558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9.97841120561624</v>
      </c>
      <c r="AV200" s="21">
        <f>EXP(-LN(2)/25)*AV199+(1-EXP(-LN(2)/25))/(LN(2)/25)*Calculateur!AQ200*Calculateur!AS200*VLOOKUP('Données projet'!$B$10,Paramètres!$A$1:$I$89,3,0)*0.475*44/12</f>
        <v>0.88637759328495214</v>
      </c>
      <c r="AW200" s="21">
        <f>EXP(-LN(2)/2)*AW199+(1-EXP(-LN(2)/2))/(LN(2)/2)*AQ200*AT200*VLOOKUP('Données projet'!$B$10,Paramètres!$A$1:$I$89,3,0)*0.475*44/12</f>
        <v>2.4201102561982904E-20</v>
      </c>
      <c r="AX200" s="21">
        <f t="shared" si="166"/>
        <v>10.864788798901191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-4.5474735088646412E-13</v>
      </c>
      <c r="BE200" s="13">
        <f>BD200*VLOOKUP('Données projet'!$B$11,Paramètres!$A$1:$I$89,3,0)*VLOOKUP('Données projet'!$B$11,Paramètres!$A$1:$I$89,5,0)</f>
        <v>-4.6111381379887462E-13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250.31277422753283</v>
      </c>
      <c r="BJ200" s="59">
        <f t="shared" si="206"/>
        <v>159.20429420478047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78.085497714719793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78.085497714719793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243</v>
      </c>
      <c r="BZ200" s="13">
        <f>BY200*VLOOKUP('Données projet'!$B$12,Paramètres!$A$1:$I$89,3,0)*VLOOKUP('Données projet'!$B$12,Paramètres!$A$1:$I$89,5,0)</f>
        <v>253.98360000000002</v>
      </c>
      <c r="CA200" s="13">
        <f t="shared" si="170"/>
        <v>61.438182405444294</v>
      </c>
      <c r="CB200" s="20">
        <f t="shared" si="171"/>
        <v>549.35960435614891</v>
      </c>
      <c r="CC200" s="59">
        <f t="shared" si="195"/>
        <v>842.69293768948228</v>
      </c>
      <c r="CD200" s="59">
        <f ca="1">AVERAGE(OFFSET($CC$3,0,0,'Données projet'!$E$12+1,1))-AVERAGE(OFFSET($H$3,0,0,'Données projet'!$E$12+1,1))</f>
        <v>322.93502595881938</v>
      </c>
      <c r="CE200" s="59">
        <f t="shared" si="207"/>
        <v>302.67072119588164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4.7753932571392843</v>
      </c>
      <c r="CL200" s="21">
        <f>EXP(-LN(2)/25)*CL199+(1-EXP(-LN(2)/25))/(LN(2)/25)*Calculateur!CG200*Calculateur!CI200*VLOOKUP('Données projet'!$B$12,Paramètres!$A$1:$I$89,3,0)*0.475*44/12</f>
        <v>1.2100424518592032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5.9854357089984873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278.21846622758881</v>
      </c>
      <c r="T201" s="59">
        <f t="shared" si="204"/>
        <v>245.37578316242906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15.919631657284599</v>
      </c>
      <c r="AA201" s="21">
        <f>EXP(-LN(2)/25)*AA200+(1-EXP(-LN(2)/25))/(LN(2)/25)*Calculateur!V201*Calculateur!X201*VLOOKUP('Données projet'!$B$9,Paramètres!$A$1:$I$89,3,0)*0.475*44/12</f>
        <v>1.440084682938038</v>
      </c>
      <c r="AB201" s="21">
        <f>EXP(-LN(2)/2)*AB200+(1-EXP(-LN(2)/2))/(LN(2)/2)*V201*Y201*VLOOKUP('Données projet'!$B$9,Paramètres!$A$1:$I$89,3,0)*0.475*44/12</f>
        <v>2.0248618630962986E-17</v>
      </c>
      <c r="AC201" s="22">
        <f t="shared" si="163"/>
        <v>17.359716340222636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-1.3596945791505279E-13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261.13725557061468</v>
      </c>
      <c r="AO201" s="59">
        <f t="shared" si="205"/>
        <v>328.18986868293558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9.7827406481039763</v>
      </c>
      <c r="AV201" s="21">
        <f>EXP(-LN(2)/25)*AV200+(1-EXP(-LN(2)/25))/(LN(2)/25)*Calculateur!AQ201*Calculateur!AS201*VLOOKUP('Données projet'!$B$10,Paramètres!$A$1:$I$89,3,0)*0.475*44/12</f>
        <v>0.86213955138400333</v>
      </c>
      <c r="AW201" s="21">
        <f>EXP(-LN(2)/2)*AW200+(1-EXP(-LN(2)/2))/(LN(2)/2)*AQ201*AT201*VLOOKUP('Données projet'!$B$10,Paramètres!$A$1:$I$89,3,0)*0.475*44/12</f>
        <v>1.711276373376924E-20</v>
      </c>
      <c r="AX201" s="21">
        <f t="shared" si="166"/>
        <v>10.644880199487979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-4.5474735088646412E-13</v>
      </c>
      <c r="BE201" s="13">
        <f>BD201*VLOOKUP('Données projet'!$B$11,Paramètres!$A$1:$I$89,3,0)*VLOOKUP('Données projet'!$B$11,Paramètres!$A$1:$I$89,5,0)</f>
        <v>-4.6111381379887462E-13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250.31277422753283</v>
      </c>
      <c r="BJ201" s="59">
        <f t="shared" si="206"/>
        <v>159.20429420478047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76.554288731984926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76.554288731984926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243</v>
      </c>
      <c r="BZ201" s="13">
        <f>BY201*VLOOKUP('Données projet'!$B$12,Paramètres!$A$1:$I$89,3,0)*VLOOKUP('Données projet'!$B$12,Paramètres!$A$1:$I$89,5,0)</f>
        <v>253.98360000000002</v>
      </c>
      <c r="CA201" s="13">
        <f t="shared" si="170"/>
        <v>61.438182405444294</v>
      </c>
      <c r="CB201" s="20">
        <f t="shared" si="171"/>
        <v>549.35960435614891</v>
      </c>
      <c r="CC201" s="59">
        <f t="shared" si="195"/>
        <v>842.69293768948228</v>
      </c>
      <c r="CD201" s="59">
        <f ca="1">AVERAGE(OFFSET($CC$3,0,0,'Données projet'!$E$12+1,1))-AVERAGE(OFFSET($H$3,0,0,'Données projet'!$E$12+1,1))</f>
        <v>322.93502595881938</v>
      </c>
      <c r="CE201" s="59">
        <f t="shared" si="207"/>
        <v>302.67072119588164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4.6817507080690639</v>
      </c>
      <c r="CL201" s="21">
        <f>EXP(-LN(2)/25)*CL200+(1-EXP(-LN(2)/25))/(LN(2)/25)*Calculateur!CG201*Calculateur!CI201*VLOOKUP('Données projet'!$B$12,Paramètres!$A$1:$I$89,3,0)*0.475*44/12</f>
        <v>1.1769537773797463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5.8587044854488104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278.21846622758881</v>
      </c>
      <c r="T202" s="59">
        <f t="shared" si="204"/>
        <v>245.37578316242906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15.607457390501775</v>
      </c>
      <c r="AA202" s="21">
        <f>EXP(-LN(2)/25)*AA201+(1-EXP(-LN(2)/25))/(LN(2)/25)*Calculateur!V202*Calculateur!X202*VLOOKUP('Données projet'!$B$9,Paramètres!$A$1:$I$89,3,0)*0.475*44/12</f>
        <v>1.4007054915523354</v>
      </c>
      <c r="AB202" s="21">
        <f>EXP(-LN(2)/2)*AB201+(1-EXP(-LN(2)/2))/(LN(2)/2)*V202*Y202*VLOOKUP('Données projet'!$B$9,Paramètres!$A$1:$I$89,3,0)*0.475*44/12</f>
        <v>1.4317935543614194E-17</v>
      </c>
      <c r="AC202" s="22">
        <f t="shared" si="163"/>
        <v>17.008162882054112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-1.3596945791505279E-13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261.13725557061468</v>
      </c>
      <c r="AO202" s="59">
        <f t="shared" si="205"/>
        <v>328.18986868293558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9.5909070708772717</v>
      </c>
      <c r="AV202" s="21">
        <f>EXP(-LN(2)/25)*AV201+(1-EXP(-LN(2)/25))/(LN(2)/25)*Calculateur!AQ202*Calculateur!AS202*VLOOKUP('Données projet'!$B$10,Paramètres!$A$1:$I$89,3,0)*0.475*44/12</f>
        <v>0.83856430001345916</v>
      </c>
      <c r="AW202" s="21">
        <f>EXP(-LN(2)/2)*AW201+(1-EXP(-LN(2)/2))/(LN(2)/2)*AQ202*AT202*VLOOKUP('Données projet'!$B$10,Paramètres!$A$1:$I$89,3,0)*0.475*44/12</f>
        <v>1.2100551280991452E-20</v>
      </c>
      <c r="AX202" s="21">
        <f t="shared" si="166"/>
        <v>10.429471370890731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-4.5474735088646412E-13</v>
      </c>
      <c r="BE202" s="13">
        <f>BD202*VLOOKUP('Données projet'!$B$11,Paramètres!$A$1:$I$89,3,0)*VLOOKUP('Données projet'!$B$11,Paramètres!$A$1:$I$89,5,0)</f>
        <v>-4.6111381379887462E-13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250.31277422753283</v>
      </c>
      <c r="BJ202" s="59">
        <f t="shared" si="206"/>
        <v>159.20429420478047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75.053105823456221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75.053105823456221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243</v>
      </c>
      <c r="BZ202" s="13">
        <f>BY202*VLOOKUP('Données projet'!$B$12,Paramètres!$A$1:$I$89,3,0)*VLOOKUP('Données projet'!$B$12,Paramètres!$A$1:$I$89,5,0)</f>
        <v>253.98360000000002</v>
      </c>
      <c r="CA202" s="13">
        <f t="shared" si="170"/>
        <v>61.438182405444294</v>
      </c>
      <c r="CB202" s="20">
        <f t="shared" si="171"/>
        <v>549.35960435614891</v>
      </c>
      <c r="CC202" s="59">
        <f t="shared" si="195"/>
        <v>842.69293768948228</v>
      </c>
      <c r="CD202" s="59">
        <f ca="1">AVERAGE(OFFSET($CC$3,0,0,'Données projet'!$E$12+1,1))-AVERAGE(OFFSET($H$3,0,0,'Données projet'!$E$12+1,1))</f>
        <v>322.93502595881938</v>
      </c>
      <c r="CE202" s="59">
        <f t="shared" si="207"/>
        <v>302.67072119588164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4.589944432269796</v>
      </c>
      <c r="CL202" s="21">
        <f>EXP(-LN(2)/25)*CL201+(1-EXP(-LN(2)/25))/(LN(2)/25)*Calculateur!CG202*Calculateur!CI202*VLOOKUP('Données projet'!$B$12,Paramètres!$A$1:$I$89,3,0)*0.475*44/12</f>
        <v>1.144769914443988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5.7347143467137842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278.21846622758881</v>
      </c>
      <c r="T203" s="59">
        <f t="shared" si="204"/>
        <v>245.37578316242906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15.301404670683061</v>
      </c>
      <c r="AA203" s="21">
        <f>EXP(-LN(2)/25)*AA202+(1-EXP(-LN(2)/25))/(LN(2)/25)*Calculateur!V203*Calculateur!X203*VLOOKUP('Données projet'!$B$9,Paramètres!$A$1:$I$89,3,0)*0.475*44/12</f>
        <v>1.3624031262259364</v>
      </c>
      <c r="AB203" s="21">
        <f>EXP(-LN(2)/2)*AB202+(1-EXP(-LN(2)/2))/(LN(2)/2)*V203*Y203*VLOOKUP('Données projet'!$B$9,Paramètres!$A$1:$I$89,3,0)*0.475*44/12</f>
        <v>1.0124309315481493E-17</v>
      </c>
      <c r="AC203" s="22">
        <f t="shared" si="163"/>
        <v>16.663807796908998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-1.3596945791505279E-13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261.13725557061468</v>
      </c>
      <c r="AO203" s="59">
        <f t="shared" si="205"/>
        <v>328.18986868293558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9.4028352330930538</v>
      </c>
      <c r="AV203" s="21">
        <f>EXP(-LN(2)/25)*AV202+(1-EXP(-LN(2)/25))/(LN(2)/25)*Calculateur!AQ203*Calculateur!AS203*VLOOKUP('Données projet'!$B$10,Paramètres!$A$1:$I$89,3,0)*0.475*44/12</f>
        <v>0.81563371513141114</v>
      </c>
      <c r="AW203" s="21">
        <f>EXP(-LN(2)/2)*AW202+(1-EXP(-LN(2)/2))/(LN(2)/2)*AQ203*AT203*VLOOKUP('Données projet'!$B$10,Paramètres!$A$1:$I$89,3,0)*0.475*44/12</f>
        <v>8.5563818668846198E-21</v>
      </c>
      <c r="AX203" s="21">
        <f t="shared" si="166"/>
        <v>10.218468948224466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-4.5474735088646412E-13</v>
      </c>
      <c r="BE203" s="13">
        <f>BD203*VLOOKUP('Données projet'!$B$11,Paramètres!$A$1:$I$89,3,0)*VLOOKUP('Données projet'!$B$11,Paramètres!$A$1:$I$89,5,0)</f>
        <v>-4.6111381379887462E-13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250.31277422753283</v>
      </c>
      <c r="BJ203" s="59">
        <f t="shared" si="206"/>
        <v>159.20429420478047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73.581360196132607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73.581360196132607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243</v>
      </c>
      <c r="BZ203" s="13">
        <f>BY203*VLOOKUP('Données projet'!$B$12,Paramètres!$A$1:$I$89,3,0)*VLOOKUP('Données projet'!$B$12,Paramètres!$A$1:$I$89,5,0)</f>
        <v>253.98360000000002</v>
      </c>
      <c r="CA203" s="13">
        <f t="shared" si="170"/>
        <v>61.438182405444294</v>
      </c>
      <c r="CB203" s="20">
        <f t="shared" si="171"/>
        <v>549.35960435614891</v>
      </c>
      <c r="CC203" s="59">
        <f t="shared" si="195"/>
        <v>842.69293768948228</v>
      </c>
      <c r="CD203" s="59">
        <f ca="1">AVERAGE(OFFSET($CC$3,0,0,'Données projet'!$E$12+1,1))-AVERAGE(OFFSET($H$3,0,0,'Données projet'!$E$12+1,1))</f>
        <v>322.93502595881938</v>
      </c>
      <c r="CE203" s="59">
        <f t="shared" si="207"/>
        <v>302.67072119588164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4.4999384215426526</v>
      </c>
      <c r="CL203" s="21">
        <f>EXP(-LN(2)/25)*CL202+(1-EXP(-LN(2)/25))/(LN(2)/25)*Calculateur!CG203*Calculateur!CI203*VLOOKUP('Données projet'!$B$12,Paramètres!$A$1:$I$89,3,0)*0.475*44/12</f>
        <v>1.1134661209326837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5.6134045424753367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1.2909310311160476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1.3909694153327172</v>
      </c>
      <c r="BA205" s="82">
        <f>EXP(LN('Données projet'!B88)/'Données projet'!A88)</f>
        <v>1.1608269964373037</v>
      </c>
      <c r="BV205" s="82">
        <f>EXP(LN('Données projet'!B114)/'Données projet'!A114)</f>
        <v>1.4003603312913959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984375" defaultRowHeight="14.4" x14ac:dyDescent="0.3"/>
  <cols>
    <col min="1" max="1" width="23.3984375" style="4" bestFit="1" customWidth="1"/>
    <col min="2" max="2" width="27.69921875" style="4" bestFit="1" customWidth="1"/>
    <col min="3" max="3" width="11.8984375" style="4" bestFit="1" customWidth="1"/>
    <col min="4" max="4" width="40" style="4" bestFit="1" customWidth="1"/>
    <col min="5" max="5" width="11.8984375" style="4" bestFit="1" customWidth="1"/>
    <col min="6" max="6" width="13.69921875" style="4" bestFit="1" customWidth="1"/>
    <col min="7" max="7" width="11.3984375" style="4" bestFit="1" customWidth="1"/>
    <col min="8" max="8" width="39" style="4" bestFit="1" customWidth="1"/>
    <col min="9" max="9" width="16.69921875" style="4" customWidth="1"/>
    <col min="10" max="14" width="11.3984375" style="4"/>
    <col min="15" max="15" width="23.3984375" style="4" bestFit="1" customWidth="1"/>
    <col min="16" max="16384" width="11.3984375" style="4"/>
  </cols>
  <sheetData>
    <row r="1" spans="1:16" ht="43.8" thickBot="1" x14ac:dyDescent="0.35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2" t="s">
        <v>110</v>
      </c>
      <c r="P2" s="121">
        <v>0</v>
      </c>
    </row>
    <row r="3" spans="1:16" ht="15" thickBot="1" x14ac:dyDescent="0.35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2" t="s">
        <v>117</v>
      </c>
      <c r="P5" s="121">
        <v>0</v>
      </c>
    </row>
    <row r="6" spans="1:16" x14ac:dyDescent="0.3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2" t="s">
        <v>129</v>
      </c>
      <c r="P10" s="121">
        <v>0</v>
      </c>
    </row>
    <row r="11" spans="1:16" ht="15" thickBot="1" x14ac:dyDescent="0.35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35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">
      <c r="A93" s="122" t="s">
        <v>68</v>
      </c>
    </row>
    <row r="94" spans="1:14" x14ac:dyDescent="0.3">
      <c r="A94" s="122" t="s">
        <v>69</v>
      </c>
    </row>
    <row r="95" spans="1:14" x14ac:dyDescent="0.3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N24" sqref="N24"/>
    </sheetView>
  </sheetViews>
  <sheetFormatPr baseColWidth="10" defaultColWidth="11.3984375" defaultRowHeight="14.4" x14ac:dyDescent="0.3"/>
  <cols>
    <col min="1" max="1" width="22.8984375" style="1" bestFit="1" customWidth="1"/>
    <col min="2" max="2" width="10.59765625" style="1" bestFit="1" customWidth="1"/>
    <col min="3" max="3" width="15.59765625" style="1" bestFit="1" customWidth="1"/>
    <col min="4" max="4" width="13.3984375" style="1" bestFit="1" customWidth="1"/>
    <col min="5" max="8" width="11.3984375" style="1"/>
    <col min="9" max="13" width="11.3984375" style="62"/>
    <col min="14" max="15" width="11.3984375" style="1"/>
    <col min="16" max="17" width="13.3984375" style="1" customWidth="1"/>
    <col min="18" max="16384" width="11.398437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55000000000000004">
      <c r="A2" s="273" t="s">
        <v>279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2" thickBot="1" x14ac:dyDescent="0.35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laricio</v>
      </c>
      <c r="B6" s="146">
        <f>'Données projet'!D9</f>
        <v>1.1483999999999999</v>
      </c>
      <c r="C6" s="147">
        <f ca="1">IF(OR('Données projet'!B9="",'Données projet'!C9="",'Données projet'!C9=0%),0,Calculateur!S3)</f>
        <v>278.21846622758881</v>
      </c>
      <c r="D6" s="147">
        <f>IF(OR('Données projet'!B9="",'Données projet'!C9="",'Données projet'!C9=0%),0,Calculateur!T3)</f>
        <v>245.37578316242906</v>
      </c>
      <c r="E6" s="147">
        <f ca="1">MIN(C6,D6)</f>
        <v>245.37578316242906</v>
      </c>
      <c r="F6" s="147">
        <f ca="1">E6*B6</f>
        <v>281.78954938373352</v>
      </c>
      <c r="G6" s="147">
        <f ca="1">F6*(100%-'Données projet'!$C$24)*(100%-'Données projet'!$C$25)*(100%-'Données projet'!$C$26)*(100%-'Données projet'!$C$27)</f>
        <v>253.61059444536016</v>
      </c>
      <c r="H6" s="148">
        <f>IF(OR('Données projet'!B9="",'Données projet'!C9="",'Données projet'!C9=0%),0,AVERAGE(Calculateur!$AC$3:$AC$33)*B6)</f>
        <v>9.5682338250322196</v>
      </c>
      <c r="I6" s="149">
        <f>H6*(100%-'Données projet'!$C$24)*(100%-'Données projet'!$C$25)*(100%-'Données projet'!$C$26)*(100%-'Données projet'!$C$27)</f>
        <v>8.6114104425289977</v>
      </c>
      <c r="J6" s="150">
        <f>IF(OR('Données projet'!B9="",'Données projet'!C9="",'Données projet'!C9=0%),0,SUM(Calculateur!$V$3:$V$33)*VLOOKUP('Données projet'!$B$9,Paramètres!$A$1:$I$89,9,0)*B6)</f>
        <v>70.527749261538446</v>
      </c>
      <c r="K6" s="151">
        <f>J6*(100%-'Données projet'!$C$24)*(100%-'Données projet'!$C$25)*(100%-'Données projet'!$C$26)*(100%-'Données projet'!$C$27)</f>
        <v>63.474974335384601</v>
      </c>
      <c r="L6" s="152">
        <f ca="1">G6+I6+K6</f>
        <v>325.69697922327379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maritime</v>
      </c>
      <c r="B7" s="154">
        <f>'Données projet'!D10</f>
        <v>1.2005999999999999</v>
      </c>
      <c r="C7" s="147">
        <f ca="1">IF(OR('Données projet'!B10="",'Données projet'!C10="",'Données projet'!C10=0%),0,Calculateur!AN3)</f>
        <v>261.13725557061468</v>
      </c>
      <c r="D7" s="147">
        <f>IF(OR('Données projet'!B10="",'Données projet'!C10="",'Données projet'!C10=0%),0,Calculateur!AO3)</f>
        <v>328.18986868293558</v>
      </c>
      <c r="E7" s="147">
        <f t="shared" ref="E7:E15" ca="1" si="0">MIN(C7,D7)</f>
        <v>261.13725557061468</v>
      </c>
      <c r="F7" s="147">
        <f t="shared" ref="F7:F15" ca="1" si="1">E7*B7</f>
        <v>313.52138903807997</v>
      </c>
      <c r="G7" s="147">
        <f ca="1">F7*(100%-'Données projet'!$C$24)*(100%-'Données projet'!$C$25)*(100%-'Données projet'!$C$26)*(100%-'Données projet'!$C$27)</f>
        <v>282.16925013427198</v>
      </c>
      <c r="H7" s="155">
        <f>IF(OR('Données projet'!B10="",'Données projet'!C10="",'Données projet'!C10=0%),0,AVERAGE(Calculateur!$AX$3:$AX$33)*B7)</f>
        <v>15.630543093960153</v>
      </c>
      <c r="I7" s="149">
        <f>H7*(100%-'Données projet'!$C$24)*(100%-'Données projet'!$C$25)*(100%-'Données projet'!$C$26)*(100%-'Données projet'!$C$27)</f>
        <v>14.067488784564137</v>
      </c>
      <c r="J7" s="150">
        <f>IF(OR('Données projet'!B10="",'Données projet'!C10="",'Données projet'!C10=0%),0,SUM(Calculateur!$AQ$3:$AQ$33)*VLOOKUP('Données projet'!$B$10,Paramètres!$A$1:$I$89,9,0)*B7)</f>
        <v>103.06005812307691</v>
      </c>
      <c r="K7" s="151">
        <f>J7*(100%-'Données projet'!$C$24)*(100%-'Données projet'!$C$25)*(100%-'Données projet'!$C$26)*(100%-'Données projet'!$C$27)</f>
        <v>92.754052310769225</v>
      </c>
      <c r="L7" s="152">
        <f t="shared" ref="L7:L15" ca="1" si="2">G7+I7+K7</f>
        <v>388.99079122960535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pubescent</v>
      </c>
      <c r="B8" s="154">
        <f>'Données projet'!D11</f>
        <v>0.1305</v>
      </c>
      <c r="C8" s="147">
        <f ca="1">IF(OR('Données projet'!B11="",'Données projet'!C11="",'Données projet'!C11=0%),0,Calculateur!BI3)</f>
        <v>250.31277422753283</v>
      </c>
      <c r="D8" s="147">
        <f>IF(OR('Données projet'!B11="",'Données projet'!C11="",'Données projet'!C11=0%),0,Calculateur!BJ3)</f>
        <v>159.20429420478047</v>
      </c>
      <c r="E8" s="147">
        <f t="shared" ca="1" si="0"/>
        <v>159.20429420478047</v>
      </c>
      <c r="F8" s="147">
        <f t="shared" ca="1" si="1"/>
        <v>20.776160393723853</v>
      </c>
      <c r="G8" s="147">
        <f ca="1">F8*(100%-'Données projet'!$C$24)*(100%-'Données projet'!$C$25)*(100%-'Données projet'!$C$26)*(100%-'Données projet'!$C$27)</f>
        <v>18.698544354351469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18.698544354351469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chevelu</v>
      </c>
      <c r="B9" s="154">
        <f>'Données projet'!D12</f>
        <v>0.1305</v>
      </c>
      <c r="C9" s="147">
        <f ca="1">IF(OR('Données projet'!B12="",'Données projet'!C12="",'Données projet'!C12=0%),0,Calculateur!CD3)</f>
        <v>322.93502595881938</v>
      </c>
      <c r="D9" s="147">
        <f>IF(OR('Données projet'!B12="",'Données projet'!C12="",'Données projet'!C12=0%),0,Calculateur!CE3)</f>
        <v>302.67072119588164</v>
      </c>
      <c r="E9" s="147">
        <f t="shared" ca="1" si="0"/>
        <v>302.67072119588164</v>
      </c>
      <c r="F9" s="147">
        <f t="shared" ca="1" si="1"/>
        <v>39.498529116062556</v>
      </c>
      <c r="G9" s="147">
        <f ca="1">F9*(100%-'Données projet'!$C$24)*(100%-'Données projet'!$C$25)*(100%-'Données projet'!$C$26)*(100%-'Données projet'!$C$27)</f>
        <v>35.548676204456299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35.548676204456299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655.5856279315999</v>
      </c>
      <c r="G16" s="166">
        <f t="shared" ca="1" si="3"/>
        <v>590.02706513843998</v>
      </c>
      <c r="H16" s="167">
        <f t="shared" si="3"/>
        <v>25.198776918992372</v>
      </c>
      <c r="I16" s="167">
        <f t="shared" si="3"/>
        <v>22.678899227093133</v>
      </c>
      <c r="J16" s="168">
        <f t="shared" si="3"/>
        <v>173.58780738461536</v>
      </c>
      <c r="K16" s="168">
        <f t="shared" si="3"/>
        <v>156.22902664615384</v>
      </c>
      <c r="L16" s="169">
        <f t="shared" ca="1" si="3"/>
        <v>768.93499101168698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290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chevelu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3" zoomScale="80" zoomScaleNormal="80" workbookViewId="0">
      <selection activeCell="I21" sqref="I21"/>
    </sheetView>
  </sheetViews>
  <sheetFormatPr baseColWidth="10" defaultColWidth="11.3984375" defaultRowHeight="14.4" x14ac:dyDescent="0.3"/>
  <cols>
    <col min="1" max="1" width="11.3984375" style="1"/>
    <col min="2" max="2" width="30.8984375" style="1" bestFit="1" customWidth="1"/>
    <col min="3" max="3" width="18.09765625" style="1" bestFit="1" customWidth="1"/>
    <col min="4" max="5" width="11.3984375" style="1"/>
    <col min="6" max="6" width="14" style="1" customWidth="1"/>
    <col min="7" max="7" width="17.59765625" style="1" customWidth="1"/>
    <col min="8" max="8" width="21.69921875" style="1" customWidth="1"/>
    <col min="9" max="9" width="37" style="1" customWidth="1"/>
    <col min="10" max="10" width="11.3984375" style="1"/>
    <col min="11" max="11" width="8.8984375" style="1" customWidth="1"/>
    <col min="12" max="12" width="11.3984375" style="1"/>
    <col min="13" max="13" width="21" style="1" customWidth="1"/>
    <col min="14" max="16" width="11.3984375" style="1"/>
    <col min="17" max="17" width="8" style="1" customWidth="1"/>
    <col min="18" max="18" width="11.3984375" style="1"/>
    <col min="19" max="19" width="31" style="1" customWidth="1"/>
    <col min="20" max="20" width="18.09765625" style="1" customWidth="1"/>
    <col min="21" max="21" width="16.3984375" style="1" customWidth="1"/>
    <col min="22" max="22" width="17.8984375" style="1" customWidth="1"/>
    <col min="23" max="16384" width="11.398437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55000000000000004">
      <c r="A2" s="4"/>
      <c r="B2" s="273" t="s">
        <v>291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292</v>
      </c>
      <c r="I4" s="263"/>
      <c r="K4" s="287" t="s">
        <v>293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8" customHeight="1" thickBot="1" x14ac:dyDescent="0.55000000000000004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7" t="s">
        <v>294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1305.9692551386984</v>
      </c>
      <c r="U10" s="178">
        <f>'Données projet'!D9</f>
        <v>1.1483999999999999</v>
      </c>
      <c r="V10" s="177">
        <f>U10*T10</f>
        <v>1499.7750926012811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3355.8967193062654</v>
      </c>
      <c r="U11" s="178">
        <f>'Données projet'!D10</f>
        <v>1.2005999999999999</v>
      </c>
      <c r="V11" s="177">
        <f t="shared" ref="V11" si="0">U11*T11</f>
        <v>4029.0896011991017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558.90487280046784</v>
      </c>
      <c r="U12" s="178">
        <f>'Données projet'!D11</f>
        <v>0.1305</v>
      </c>
      <c r="V12" s="177">
        <f t="shared" ref="V12:V19" si="1">U12*T12</f>
        <v>72.937085900461057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>Chêne chevelu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2761.9099562368719</v>
      </c>
      <c r="U13" s="178">
        <f>'Données projet'!D12</f>
        <v>0.1305</v>
      </c>
      <c r="V13" s="177">
        <f t="shared" si="1"/>
        <v>360.42924928891182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0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90"/>
      <c r="H16" s="190"/>
      <c r="I16" s="191"/>
      <c r="J16" s="202"/>
      <c r="K16" s="208"/>
      <c r="L16" s="287" t="s">
        <v>311</v>
      </c>
      <c r="M16" s="288"/>
      <c r="N16" s="2">
        <v>20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290"/>
      <c r="J17" s="202"/>
      <c r="K17" s="208"/>
      <c r="L17" s="260" t="s">
        <v>312</v>
      </c>
      <c r="M17" s="262"/>
      <c r="N17" s="175">
        <f>VLOOKUP(N16,Calculateur!$A$2:$H$153,3,0)/VLOOKUP('Scénario référence'!$G$15,Paramètres!A1:I89,3,0)/VLOOKUP('Scénario référence'!$G$15,Paramètres!A1:I89,5,0)</f>
        <v>20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90"/>
      <c r="J18" s="202"/>
      <c r="K18" s="208"/>
      <c r="L18" s="260" t="s">
        <v>308</v>
      </c>
      <c r="M18" s="262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3" customHeight="1" x14ac:dyDescent="0.3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90"/>
      <c r="H19" s="212" t="s">
        <v>72</v>
      </c>
      <c r="I19" s="212" t="s">
        <v>313</v>
      </c>
      <c r="J19" s="93"/>
      <c r="K19" s="173"/>
      <c r="L19" s="287" t="s">
        <v>314</v>
      </c>
      <c r="M19" s="288"/>
      <c r="N19" s="179">
        <f>N17*N18</f>
        <v>400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90"/>
      <c r="H20" s="190">
        <v>1</v>
      </c>
      <c r="I20" s="191">
        <f>31563/2.61</f>
        <v>12093.103448275862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" customHeight="1" x14ac:dyDescent="0.3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" customHeight="1" x14ac:dyDescent="0.3">
      <c r="A23" s="180">
        <f>'Données projet'!A36</f>
        <v>19</v>
      </c>
      <c r="B23" s="181">
        <f>'Données projet'!D36</f>
        <v>46.53846153846154</v>
      </c>
      <c r="C23" s="257">
        <v>10</v>
      </c>
      <c r="D23" s="182">
        <f>B23*C23</f>
        <v>465.38461538461542</v>
      </c>
      <c r="E23" s="193">
        <v>150</v>
      </c>
      <c r="F23" s="230"/>
      <c r="H23" s="190"/>
      <c r="I23" s="191"/>
      <c r="K23" s="208"/>
      <c r="L23" s="289" t="s">
        <v>315</v>
      </c>
      <c r="M23" s="289"/>
      <c r="N23" s="289"/>
      <c r="O23" s="23"/>
      <c r="P23" s="23"/>
      <c r="Q23" s="234"/>
      <c r="R23" s="23"/>
      <c r="S23" s="36" t="s">
        <v>316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-24241.596722206421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" customHeight="1" x14ac:dyDescent="0.3">
      <c r="A24" s="180">
        <f>'Données projet'!A37</f>
        <v>24</v>
      </c>
      <c r="B24" s="181">
        <f>'Données projet'!D37</f>
        <v>40.41538461538461</v>
      </c>
      <c r="C24" s="257">
        <v>10</v>
      </c>
      <c r="D24" s="182">
        <f t="shared" ref="D24:D42" si="2">B24*C24</f>
        <v>404.15384615384608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432.88714551070626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" customHeight="1" x14ac:dyDescent="0.3">
      <c r="A25" s="180">
        <f>'Données projet'!A38</f>
        <v>30</v>
      </c>
      <c r="B25" s="181">
        <f>'Données projet'!D38</f>
        <v>55.869230769230761</v>
      </c>
      <c r="C25" s="257">
        <v>10</v>
      </c>
      <c r="D25" s="182">
        <f t="shared" si="2"/>
        <v>558.69230769230762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04">
        <f ca="1">T23-T24</f>
        <v>-24674.483867717128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" customHeight="1" x14ac:dyDescent="0.3">
      <c r="A26" s="180">
        <f>'Données projet'!A39</f>
        <v>37</v>
      </c>
      <c r="B26" s="181">
        <f>'Données projet'!D39</f>
        <v>43.623076923076923</v>
      </c>
      <c r="C26" s="257">
        <v>15</v>
      </c>
      <c r="D26" s="182">
        <f t="shared" si="2"/>
        <v>654.34615384615381</v>
      </c>
      <c r="E26" s="193">
        <v>150</v>
      </c>
      <c r="F26" s="233"/>
      <c r="G26" s="229"/>
      <c r="H26" s="190"/>
      <c r="I26" s="191"/>
      <c r="K26" s="208"/>
      <c r="L26" s="291" t="s">
        <v>320</v>
      </c>
      <c r="M26" s="292"/>
      <c r="N26" s="292"/>
      <c r="O26" s="292"/>
      <c r="P26" s="293"/>
      <c r="Q26" s="234"/>
      <c r="R26" s="23"/>
      <c r="S26" s="186" t="s">
        <v>321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" customHeight="1" x14ac:dyDescent="0.3">
      <c r="A27" s="180">
        <f>'Données projet'!A40</f>
        <v>46</v>
      </c>
      <c r="B27" s="181">
        <f>'Données projet'!D40</f>
        <v>72.561538461538461</v>
      </c>
      <c r="C27" s="257">
        <v>25</v>
      </c>
      <c r="D27" s="182">
        <f t="shared" si="2"/>
        <v>1814.0384615384614</v>
      </c>
      <c r="E27" s="193">
        <v>150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322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" customHeight="1" x14ac:dyDescent="0.3">
      <c r="A28" s="180">
        <f>'Données projet'!A41</f>
        <v>56</v>
      </c>
      <c r="B28" s="181">
        <f>'Données projet'!D41</f>
        <v>60.092307692307692</v>
      </c>
      <c r="C28" s="257">
        <v>25</v>
      </c>
      <c r="D28" s="182">
        <f t="shared" si="2"/>
        <v>1502.3076923076924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66</v>
      </c>
      <c r="B29" s="181">
        <f>'Données projet'!D42</f>
        <v>68.146153846153851</v>
      </c>
      <c r="C29" s="257">
        <v>25</v>
      </c>
      <c r="D29" s="182">
        <f t="shared" si="2"/>
        <v>1703.6538461538462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76</v>
      </c>
      <c r="B30" s="181">
        <f>'Données projet'!D43</f>
        <v>520.22307692307686</v>
      </c>
      <c r="C30" s="257">
        <v>25</v>
      </c>
      <c r="D30" s="182">
        <f t="shared" si="2"/>
        <v>13005.576923076922</v>
      </c>
      <c r="E30" s="193">
        <v>150</v>
      </c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17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45" customHeight="1" x14ac:dyDescent="0.3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3" customHeight="1" x14ac:dyDescent="0.3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15</v>
      </c>
      <c r="B54" s="181">
        <f>'Données projet'!D62</f>
        <v>49.784615384615385</v>
      </c>
      <c r="C54" s="257">
        <v>10</v>
      </c>
      <c r="D54" s="179">
        <f>B54*C54</f>
        <v>497.84615384615387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48.723076923076924</v>
      </c>
      <c r="C55" s="257">
        <v>18</v>
      </c>
      <c r="D55" s="179">
        <f t="shared" ref="D55:D73" si="4">B55*C55</f>
        <v>877.01538461538462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26</v>
      </c>
      <c r="B56" s="181">
        <f>'Données projet'!D64</f>
        <v>46.984615384615381</v>
      </c>
      <c r="C56" s="257">
        <v>25</v>
      </c>
      <c r="D56" s="179">
        <f t="shared" si="4"/>
        <v>1174.6153846153845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30</v>
      </c>
      <c r="B57" s="181">
        <f>'Données projet'!D65</f>
        <v>0</v>
      </c>
      <c r="C57" s="257">
        <v>25</v>
      </c>
      <c r="D57" s="179">
        <f t="shared" si="4"/>
        <v>0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32</v>
      </c>
      <c r="B58" s="181">
        <f>'Données projet'!D66</f>
        <v>64.523076923076914</v>
      </c>
      <c r="C58" s="257">
        <v>35</v>
      </c>
      <c r="D58" s="179">
        <f t="shared" si="4"/>
        <v>2258.3076923076919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40</v>
      </c>
      <c r="B59" s="181">
        <f>'Données projet'!D67</f>
        <v>92.661538461538456</v>
      </c>
      <c r="C59" s="257">
        <v>35</v>
      </c>
      <c r="D59" s="179">
        <f t="shared" si="4"/>
        <v>3243.1538461538457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48</v>
      </c>
      <c r="B60" s="181">
        <f>'Données projet'!D68</f>
        <v>83.969230769230762</v>
      </c>
      <c r="C60" s="257">
        <v>35</v>
      </c>
      <c r="D60" s="179">
        <f t="shared" si="4"/>
        <v>2938.9230769230767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56</v>
      </c>
      <c r="B61" s="181">
        <f>'Données projet'!D69</f>
        <v>446.47692307692301</v>
      </c>
      <c r="C61" s="257">
        <v>40</v>
      </c>
      <c r="D61" s="179">
        <f t="shared" si="4"/>
        <v>17859.076923076922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18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7" customHeight="1" x14ac:dyDescent="0.3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7" customHeight="1" x14ac:dyDescent="0.3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7" customHeight="1" x14ac:dyDescent="0.3">
      <c r="A86" s="180">
        <f>'Données projet'!A89</f>
        <v>44</v>
      </c>
      <c r="B86" s="181">
        <f>'Données projet'!D89</f>
        <v>64.416666666666657</v>
      </c>
      <c r="C86" s="257">
        <v>10</v>
      </c>
      <c r="D86" s="179">
        <f t="shared" ref="D86:D104" si="6">B86*C86</f>
        <v>644.16666666666652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7" customHeight="1" x14ac:dyDescent="0.3">
      <c r="A87" s="180">
        <f>'Données projet'!A90</f>
        <v>51</v>
      </c>
      <c r="B87" s="181">
        <f>'Données projet'!D90</f>
        <v>37.685897435897431</v>
      </c>
      <c r="C87" s="257">
        <v>10</v>
      </c>
      <c r="D87" s="179">
        <f t="shared" si="6"/>
        <v>376.85897435897431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7" customHeight="1" x14ac:dyDescent="0.3">
      <c r="A88" s="180">
        <f>'Données projet'!A91</f>
        <v>59</v>
      </c>
      <c r="B88" s="181">
        <f>'Données projet'!D91</f>
        <v>38.942307692307693</v>
      </c>
      <c r="C88" s="257">
        <v>50</v>
      </c>
      <c r="D88" s="179">
        <f t="shared" si="6"/>
        <v>1947.1153846153848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7" customHeight="1" x14ac:dyDescent="0.3">
      <c r="A89" s="180">
        <f>'Données projet'!A92</f>
        <v>67</v>
      </c>
      <c r="B89" s="181">
        <f>'Données projet'!D92</f>
        <v>31.993589743589741</v>
      </c>
      <c r="C89" s="257">
        <v>50</v>
      </c>
      <c r="D89" s="179">
        <f t="shared" si="6"/>
        <v>1599.6794871794871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7" customHeight="1" x14ac:dyDescent="0.3">
      <c r="A90" s="180">
        <f>'Données projet'!A93</f>
        <v>75</v>
      </c>
      <c r="B90" s="181">
        <f>'Données projet'!D93</f>
        <v>30.916666666666664</v>
      </c>
      <c r="C90" s="257">
        <v>50</v>
      </c>
      <c r="D90" s="179">
        <f t="shared" si="6"/>
        <v>1545.8333333333333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84</v>
      </c>
      <c r="B91" s="181">
        <f>'Données projet'!D94</f>
        <v>35.083333333333329</v>
      </c>
      <c r="C91" s="257">
        <v>100</v>
      </c>
      <c r="D91" s="179">
        <f t="shared" si="6"/>
        <v>3508.333333333333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93</v>
      </c>
      <c r="B92" s="181">
        <f>'Données projet'!D95</f>
        <v>30.083333333333332</v>
      </c>
      <c r="C92" s="257">
        <v>100</v>
      </c>
      <c r="D92" s="179">
        <f t="shared" si="6"/>
        <v>3008.333333333333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103</v>
      </c>
      <c r="B93" s="181">
        <f>'Données projet'!D96</f>
        <v>39.512820512820511</v>
      </c>
      <c r="C93" s="257">
        <v>150</v>
      </c>
      <c r="D93" s="179">
        <f t="shared" si="6"/>
        <v>5926.9230769230762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113</v>
      </c>
      <c r="B94" s="181">
        <f>'Données projet'!D97</f>
        <v>31.602564102564099</v>
      </c>
      <c r="C94" s="257">
        <v>150</v>
      </c>
      <c r="D94" s="179">
        <f t="shared" si="6"/>
        <v>4740.3846153846152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125</v>
      </c>
      <c r="B95" s="181">
        <f>'Données projet'!D98</f>
        <v>48.160256410256409</v>
      </c>
      <c r="C95" s="257">
        <v>150</v>
      </c>
      <c r="D95" s="179">
        <f t="shared" si="6"/>
        <v>7224.038461538461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137</v>
      </c>
      <c r="B96" s="181">
        <f>'Données projet'!D99</f>
        <v>51.160256410256409</v>
      </c>
      <c r="C96" s="257">
        <v>200</v>
      </c>
      <c r="D96" s="179">
        <f t="shared" si="6"/>
        <v>10232.051282051281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149</v>
      </c>
      <c r="B97" s="181">
        <f>'Données projet'!D100</f>
        <v>120.50641025641026</v>
      </c>
      <c r="C97" s="257">
        <v>200</v>
      </c>
      <c r="D97" s="179">
        <f t="shared" si="6"/>
        <v>24101.282051282051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153</v>
      </c>
      <c r="B98" s="181">
        <f>'Données projet'!D101</f>
        <v>70.115384615384613</v>
      </c>
      <c r="C98" s="257">
        <v>200</v>
      </c>
      <c r="D98" s="179">
        <f t="shared" si="6"/>
        <v>14023.076923076922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157</v>
      </c>
      <c r="B99" s="181">
        <f>'Données projet'!D102</f>
        <v>45.71153846153846</v>
      </c>
      <c r="C99" s="257">
        <v>200</v>
      </c>
      <c r="D99" s="179">
        <f t="shared" si="6"/>
        <v>9142.3076923076915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161</v>
      </c>
      <c r="B100" s="181">
        <f>'Données projet'!D103</f>
        <v>91.365384615384613</v>
      </c>
      <c r="C100" s="257">
        <v>200</v>
      </c>
      <c r="D100" s="179">
        <f t="shared" si="6"/>
        <v>18273.076923076922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>
        <v>200</v>
      </c>
      <c r="D101" s="179">
        <f t="shared" si="6"/>
        <v>0</v>
      </c>
      <c r="E101" s="193">
        <v>150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19</v>
      </c>
      <c r="B107" s="174" t="str">
        <f>IF('Données projet'!B12="","",'Données projet'!B12)</f>
        <v>Chêne chevelu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7" customHeight="1" x14ac:dyDescent="0.3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7" customHeight="1" x14ac:dyDescent="0.3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7" customHeight="1" x14ac:dyDescent="0.3">
      <c r="A117" s="180">
        <f>'Données projet'!A115</f>
        <v>15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7" customHeight="1" x14ac:dyDescent="0.3">
      <c r="A118" s="180">
        <f>'Données projet'!A116</f>
        <v>20</v>
      </c>
      <c r="B118" s="181" t="str">
        <f>'Données projet'!D116</f>
        <v>54</v>
      </c>
      <c r="C118" s="257">
        <v>10</v>
      </c>
      <c r="D118" s="179">
        <f t="shared" si="8"/>
        <v>540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7" customHeight="1" x14ac:dyDescent="0.3">
      <c r="A119" s="180">
        <f>'Données projet'!A117</f>
        <v>25</v>
      </c>
      <c r="B119" s="181" t="str">
        <f>'Données projet'!D117</f>
        <v>26</v>
      </c>
      <c r="C119" s="257">
        <v>10</v>
      </c>
      <c r="D119" s="179">
        <f t="shared" si="8"/>
        <v>260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7" customHeight="1" x14ac:dyDescent="0.3">
      <c r="A120" s="180">
        <f>'Données projet'!A118</f>
        <v>30</v>
      </c>
      <c r="B120" s="181" t="str">
        <f>'Données projet'!D118</f>
        <v>27</v>
      </c>
      <c r="C120" s="257">
        <v>50</v>
      </c>
      <c r="D120" s="179">
        <f t="shared" si="8"/>
        <v>1350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7" customHeight="1" x14ac:dyDescent="0.3">
      <c r="A121" s="180">
        <f>'Données projet'!A119</f>
        <v>35</v>
      </c>
      <c r="B121" s="181" t="str">
        <f>'Données projet'!D119</f>
        <v>27</v>
      </c>
      <c r="C121" s="257">
        <v>50</v>
      </c>
      <c r="D121" s="179">
        <f t="shared" si="8"/>
        <v>1350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40</v>
      </c>
      <c r="B122" s="181" t="str">
        <f>'Données projet'!D120</f>
        <v>27</v>
      </c>
      <c r="C122" s="257">
        <v>50</v>
      </c>
      <c r="D122" s="179">
        <f t="shared" si="8"/>
        <v>1350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45</v>
      </c>
      <c r="B123" s="181" t="str">
        <f>'Données projet'!D121</f>
        <v>26</v>
      </c>
      <c r="C123" s="257">
        <v>100</v>
      </c>
      <c r="D123" s="179">
        <f t="shared" si="8"/>
        <v>2600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50</v>
      </c>
      <c r="B124" s="181" t="str">
        <f>'Données projet'!D122</f>
        <v>24</v>
      </c>
      <c r="C124" s="257">
        <v>100</v>
      </c>
      <c r="D124" s="179">
        <f t="shared" si="8"/>
        <v>2400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55</v>
      </c>
      <c r="B125" s="181" t="str">
        <f>'Données projet'!D123</f>
        <v>23</v>
      </c>
      <c r="C125" s="257">
        <v>150</v>
      </c>
      <c r="D125" s="179">
        <f t="shared" si="8"/>
        <v>3450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60</v>
      </c>
      <c r="B126" s="181" t="str">
        <f>'Données projet'!D124</f>
        <v>21</v>
      </c>
      <c r="C126" s="257">
        <v>150</v>
      </c>
      <c r="D126" s="179">
        <f t="shared" si="8"/>
        <v>3150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65</v>
      </c>
      <c r="B127" s="181" t="str">
        <f>'Données projet'!D125</f>
        <v>20</v>
      </c>
      <c r="C127" s="257">
        <v>150</v>
      </c>
      <c r="D127" s="179">
        <f t="shared" si="8"/>
        <v>3000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70</v>
      </c>
      <c r="B128" s="181" t="str">
        <f>'Données projet'!D126</f>
        <v>18</v>
      </c>
      <c r="C128" s="257">
        <v>200</v>
      </c>
      <c r="D128" s="179">
        <f t="shared" si="8"/>
        <v>3600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75</v>
      </c>
      <c r="B129" s="181" t="str">
        <f>'Données projet'!D127</f>
        <v>16</v>
      </c>
      <c r="C129" s="257">
        <v>200</v>
      </c>
      <c r="D129" s="179">
        <f t="shared" si="8"/>
        <v>3200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80</v>
      </c>
      <c r="B130" s="181" t="str">
        <f>'Données projet'!D128</f>
        <v>15</v>
      </c>
      <c r="C130" s="257">
        <v>200</v>
      </c>
      <c r="D130" s="179">
        <f t="shared" si="8"/>
        <v>3000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85</v>
      </c>
      <c r="B131" s="181" t="str">
        <f>'Données projet'!D129</f>
        <v>14</v>
      </c>
      <c r="C131" s="257">
        <v>200</v>
      </c>
      <c r="D131" s="179">
        <f t="shared" si="8"/>
        <v>2800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90</v>
      </c>
      <c r="B132" s="181" t="str">
        <f>'Données projet'!D130</f>
        <v>12</v>
      </c>
      <c r="C132" s="257">
        <v>200</v>
      </c>
      <c r="D132" s="179">
        <f t="shared" si="8"/>
        <v>2400</v>
      </c>
      <c r="E132" s="193">
        <v>150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95</v>
      </c>
      <c r="B133" s="181" t="str">
        <f>'Données projet'!D131</f>
        <v>12</v>
      </c>
      <c r="C133" s="191">
        <v>200</v>
      </c>
      <c r="D133" s="179">
        <f t="shared" si="8"/>
        <v>2400</v>
      </c>
      <c r="E133" s="193">
        <v>150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100</v>
      </c>
      <c r="B134" s="181" t="str">
        <f>'Données projet'!D132</f>
        <v>12</v>
      </c>
      <c r="C134" s="191">
        <v>200</v>
      </c>
      <c r="D134" s="179">
        <f t="shared" si="8"/>
        <v>2400</v>
      </c>
      <c r="E134" s="193">
        <v>150</v>
      </c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" customHeight="1" x14ac:dyDescent="0.3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D9B0CC4F-4164-4786-BAC8-542A25D047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Philomène  Block</cp:lastModifiedBy>
  <cp:revision/>
  <dcterms:created xsi:type="dcterms:W3CDTF">2021-02-01T08:22:39Z</dcterms:created>
  <dcterms:modified xsi:type="dcterms:W3CDTF">2025-05-13T08:28:48Z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